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03" documentId="8_{6EBD9597-F8C2-4398-9451-B35CEC42973F}" xr6:coauthVersionLast="47" xr6:coauthVersionMax="47" xr10:uidLastSave="{175ACB80-0821-4940-8CF7-906667F5BBC9}"/>
  <bookViews>
    <workbookView xWindow="30375" yWindow="3015" windowWidth="25410" windowHeight="11175" xr2:uid="{AD5FE48E-9CE6-4EDE-8F69-E8FD3B4EAF42}"/>
  </bookViews>
  <sheets>
    <sheet name="Report" sheetId="1" r:id="rId1"/>
    <sheet name="EDA" sheetId="4" r:id="rId2"/>
  </sheets>
  <externalReferences>
    <externalReference r:id="rId3"/>
  </externalReferences>
  <definedNames>
    <definedName name="_np">[1]Alt2!$N$3:$N$7</definedName>
    <definedName name="fInterpolate">_xlfn.LAMBDA(_xlpm.x,_xlpm.xdat,_xlpm.ydat,      _xlfn.LET(          _xlpm.xmin, _xlfn.XLOOKUP(_xlpm.x,_xlpm.xdat,_xlpm.xdat,,-1),          _xlpm.xmax, _xlfn.XLOOKUP(_xlpm.x,_xlpm.xdat,_xlpm.xdat,,1),          _xlpm.ymin, _xlfn.XLOOKUP(_xlpm.x,_xlpm.xdat,_xlpm.ydat,,-1),          _xlpm.ymax, _xlfn.XLOOKUP(_xlpm.x,_xlpm.xdat,_xlpm.ydat,,1),          IF(_xlpm.xmin=_xlpm.xmax,_xlpm.ymin,                      (_xlpm.ymin*(_xlpm.xmax-_xlpm.x)+_xlpm.ymax*(_xlpm.x-_xlpm.xmin))/(_xlpm.xmax-_xlpm.xmin))      )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1" l="1"/>
  <c r="C41" i="1" a="1"/>
  <c r="C41" i="1" s="1"/>
  <c r="V52" i="1"/>
  <c r="K54" i="1"/>
  <c r="AI45" i="4"/>
  <c r="AG55" i="4"/>
  <c r="AG56" i="4"/>
  <c r="AG44" i="4"/>
  <c r="AG45" i="4"/>
  <c r="AG46" i="4"/>
  <c r="AG47" i="4"/>
  <c r="AG48" i="4"/>
  <c r="AG49" i="4"/>
  <c r="AG50" i="4"/>
  <c r="AG51" i="4"/>
  <c r="AG52" i="4"/>
  <c r="AG53" i="4"/>
  <c r="AG54" i="4"/>
  <c r="AG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43" i="4"/>
  <c r="AC44" i="4" a="1"/>
  <c r="AC44" i="4"/>
  <c r="AC45" i="4" a="1"/>
  <c r="AC45" i="4" s="1"/>
  <c r="AC46" i="4" a="1"/>
  <c r="AC46" i="4" s="1"/>
  <c r="AC47" i="4" a="1"/>
  <c r="AC47" i="4"/>
  <c r="AC48" i="4" a="1"/>
  <c r="AC48" i="4"/>
  <c r="AC49" i="4" a="1"/>
  <c r="AC49" i="4" s="1"/>
  <c r="AC50" i="4" a="1"/>
  <c r="AC50" i="4"/>
  <c r="AC51" i="4" a="1"/>
  <c r="AC51" i="4" s="1"/>
  <c r="AC52" i="4" a="1"/>
  <c r="AC52" i="4" s="1"/>
  <c r="AC53" i="4" a="1"/>
  <c r="AC53" i="4"/>
  <c r="AC54" i="4" a="1"/>
  <c r="AC54" i="4"/>
  <c r="AC55" i="4" a="1"/>
  <c r="AC55" i="4" s="1"/>
  <c r="AC56" i="4" a="1"/>
  <c r="AC56" i="4"/>
  <c r="AC43" i="4" a="1"/>
  <c r="AC43" i="4" s="1"/>
  <c r="P63" i="1"/>
  <c r="O49" i="1" a="1"/>
  <c r="O49" i="1" s="1"/>
  <c r="L49" i="1" a="1"/>
  <c r="L49" i="1" s="1"/>
  <c r="M63" i="1" a="1"/>
  <c r="M63" i="1" s="1"/>
  <c r="N63" i="1" s="1"/>
  <c r="K50" i="1"/>
  <c r="K51" i="1"/>
  <c r="K52" i="1"/>
  <c r="K53" i="1" s="1"/>
  <c r="K55" i="1" s="1"/>
  <c r="K56" i="1" s="1"/>
  <c r="K57" i="1" s="1"/>
  <c r="K58" i="1" s="1"/>
  <c r="K59" i="1" s="1"/>
  <c r="K60" i="1" s="1"/>
  <c r="K61" i="1" s="1"/>
  <c r="K62" i="1" s="1"/>
  <c r="K49" i="1"/>
  <c r="L50" i="1" a="1"/>
  <c r="L50" i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/>
  <c r="K63" i="1" a="1"/>
  <c r="K63" i="1" s="1"/>
  <c r="I50" i="1"/>
  <c r="I51" i="1"/>
  <c r="J51" i="1" s="1"/>
  <c r="I52" i="1"/>
  <c r="J52" i="1" s="1"/>
  <c r="I53" i="1"/>
  <c r="J53" i="1" s="1"/>
  <c r="I54" i="1"/>
  <c r="I55" i="1"/>
  <c r="I56" i="1"/>
  <c r="I57" i="1"/>
  <c r="I58" i="1"/>
  <c r="J58" i="1" s="1"/>
  <c r="I59" i="1"/>
  <c r="J59" i="1" s="1"/>
  <c r="I60" i="1"/>
  <c r="J60" i="1" s="1"/>
  <c r="I61" i="1"/>
  <c r="I62" i="1"/>
  <c r="I63" i="1"/>
  <c r="J63" i="1" s="1"/>
  <c r="I49" i="1"/>
  <c r="J49" i="1" s="1"/>
  <c r="J50" i="1"/>
  <c r="J54" i="1"/>
  <c r="J55" i="1"/>
  <c r="J56" i="1"/>
  <c r="J57" i="1"/>
  <c r="J61" i="1"/>
  <c r="J62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49" i="1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H78" i="4"/>
  <c r="G78" i="4"/>
  <c r="G79" i="4" s="1"/>
  <c r="K68" i="4"/>
  <c r="J68" i="4"/>
  <c r="I66" i="4"/>
  <c r="I65" i="4"/>
  <c r="I64" i="4"/>
  <c r="I62" i="4"/>
  <c r="I60" i="4"/>
  <c r="R58" i="4" a="1"/>
  <c r="R58" i="4" s="1"/>
  <c r="I57" i="4"/>
  <c r="J57" i="4" s="1"/>
  <c r="J56" i="4"/>
  <c r="I56" i="4"/>
  <c r="I55" i="4"/>
  <c r="J55" i="4" s="1"/>
  <c r="I52" i="4"/>
  <c r="J52" i="4" s="1"/>
  <c r="I51" i="4"/>
  <c r="J51" i="4" s="1"/>
  <c r="I50" i="4"/>
  <c r="J50" i="4" s="1"/>
  <c r="J49" i="4"/>
  <c r="I49" i="4"/>
  <c r="I48" i="4"/>
  <c r="J48" i="4" s="1"/>
  <c r="J47" i="4"/>
  <c r="I47" i="4"/>
  <c r="I42" i="4"/>
  <c r="I41" i="4"/>
  <c r="H40" i="4"/>
  <c r="H41" i="4" s="1"/>
  <c r="D40" i="4"/>
  <c r="D39" i="4"/>
  <c r="Q25" i="4" a="1"/>
  <c r="Q25" i="4" s="1"/>
  <c r="L21" i="4"/>
  <c r="L21" i="4" a="1"/>
  <c r="C21" i="4" a="1"/>
  <c r="F22" i="4" s="1" a="1"/>
  <c r="F22" i="4" s="1"/>
  <c r="B35" i="1" a="1"/>
  <c r="B35" i="1" s="1"/>
  <c r="A35" i="1" a="1"/>
  <c r="A35" i="1" s="1"/>
  <c r="K19" i="1" a="1"/>
  <c r="K19" i="1" s="1"/>
  <c r="B19" i="1" a="1"/>
  <c r="B19" i="1" s="1"/>
  <c r="H19" i="1" s="1" a="1"/>
  <c r="H19" i="1" s="1"/>
  <c r="D49" i="1" l="1" a="1"/>
  <c r="D49" i="1" s="1"/>
  <c r="E49" i="1" s="1"/>
  <c r="D46" i="1" a="1"/>
  <c r="D46" i="1" s="1"/>
  <c r="E46" i="1" s="1"/>
  <c r="D48" i="1" a="1"/>
  <c r="D48" i="1" s="1"/>
  <c r="E48" i="1" s="1"/>
  <c r="D45" i="1" a="1"/>
  <c r="D45" i="1" s="1"/>
  <c r="E45" i="1" s="1"/>
  <c r="D47" i="1" a="1"/>
  <c r="D47" i="1" s="1"/>
  <c r="E47" i="1" s="1"/>
  <c r="D44" i="1" a="1"/>
  <c r="D44" i="1" s="1"/>
  <c r="E44" i="1" s="1"/>
  <c r="D43" i="1" a="1"/>
  <c r="D43" i="1" s="1"/>
  <c r="E43" i="1" s="1"/>
  <c r="D42" i="1" a="1"/>
  <c r="D42" i="1" s="1"/>
  <c r="E42" i="1" s="1"/>
  <c r="D52" i="1" a="1"/>
  <c r="D52" i="1" s="1"/>
  <c r="D51" i="1" a="1"/>
  <c r="D51" i="1" s="1"/>
  <c r="D50" i="1" a="1"/>
  <c r="D50" i="1" s="1"/>
  <c r="E50" i="1" s="1"/>
  <c r="M58" i="1" a="1"/>
  <c r="M58" i="1" s="1"/>
  <c r="N58" i="1" s="1"/>
  <c r="Q58" i="1" s="1"/>
  <c r="P50" i="1"/>
  <c r="P49" i="1"/>
  <c r="M50" i="1" a="1"/>
  <c r="M50" i="1" s="1"/>
  <c r="N50" i="1" s="1"/>
  <c r="Q50" i="1" s="1"/>
  <c r="M59" i="1" a="1"/>
  <c r="M59" i="1" s="1"/>
  <c r="N59" i="1" s="1"/>
  <c r="Q59" i="1" s="1"/>
  <c r="M49" i="1" a="1"/>
  <c r="M49" i="1" s="1"/>
  <c r="N49" i="1" s="1"/>
  <c r="Q49" i="1" s="1"/>
  <c r="P54" i="1"/>
  <c r="P51" i="1"/>
  <c r="M51" i="1" a="1"/>
  <c r="M51" i="1" s="1"/>
  <c r="N51" i="1" s="1"/>
  <c r="Q51" i="1" s="1"/>
  <c r="M60" i="1" a="1"/>
  <c r="M60" i="1" s="1"/>
  <c r="N60" i="1" s="1"/>
  <c r="Q60" i="1" s="1"/>
  <c r="D41" i="1" a="1"/>
  <c r="D41" i="1" s="1"/>
  <c r="E41" i="1" s="1"/>
  <c r="B58" i="1" a="1"/>
  <c r="B58" i="1" s="1"/>
  <c r="P52" i="1"/>
  <c r="M61" i="1" a="1"/>
  <c r="M61" i="1" s="1"/>
  <c r="N61" i="1" s="1"/>
  <c r="Q61" i="1" s="1"/>
  <c r="P53" i="1"/>
  <c r="P55" i="1"/>
  <c r="M52" i="1" a="1"/>
  <c r="M52" i="1" s="1"/>
  <c r="N52" i="1" s="1"/>
  <c r="Q52" i="1" s="1"/>
  <c r="M62" i="1" a="1"/>
  <c r="M62" i="1" s="1"/>
  <c r="N62" i="1" s="1"/>
  <c r="Q62" i="1" s="1"/>
  <c r="P56" i="1"/>
  <c r="M53" i="1" a="1"/>
  <c r="M53" i="1" s="1"/>
  <c r="N53" i="1" s="1"/>
  <c r="Q53" i="1" s="1"/>
  <c r="P57" i="1"/>
  <c r="M54" i="1" a="1"/>
  <c r="M54" i="1" s="1"/>
  <c r="N54" i="1" s="1"/>
  <c r="Q54" i="1" s="1"/>
  <c r="P58" i="1"/>
  <c r="P60" i="1"/>
  <c r="M56" i="1" a="1"/>
  <c r="M56" i="1" s="1"/>
  <c r="N56" i="1" s="1"/>
  <c r="Q56" i="1" s="1"/>
  <c r="P59" i="1"/>
  <c r="M55" i="1" a="1"/>
  <c r="M55" i="1" s="1"/>
  <c r="N55" i="1" s="1"/>
  <c r="Q55" i="1" s="1"/>
  <c r="R55" i="1" s="1"/>
  <c r="P61" i="1"/>
  <c r="M57" i="1" a="1"/>
  <c r="M57" i="1" s="1"/>
  <c r="N57" i="1" s="1"/>
  <c r="Q57" i="1" s="1"/>
  <c r="P62" i="1"/>
  <c r="K78" i="4"/>
  <c r="L78" i="4" s="1"/>
  <c r="G80" i="4"/>
  <c r="H42" i="4"/>
  <c r="H43" i="4" s="1"/>
  <c r="H44" i="4" s="1"/>
  <c r="E39" i="4" a="1"/>
  <c r="E39" i="4" s="1"/>
  <c r="D41" i="4"/>
  <c r="C21" i="4"/>
  <c r="I78" i="4"/>
  <c r="R57" i="1" l="1"/>
  <c r="R52" i="1"/>
  <c r="R59" i="1"/>
  <c r="R53" i="1"/>
  <c r="R60" i="1"/>
  <c r="R51" i="1"/>
  <c r="R50" i="1"/>
  <c r="R54" i="1"/>
  <c r="R62" i="1"/>
  <c r="R49" i="1"/>
  <c r="T60" i="1" a="1"/>
  <c r="T60" i="1" s="1"/>
  <c r="R61" i="1"/>
  <c r="R56" i="1"/>
  <c r="R58" i="1"/>
  <c r="G81" i="4"/>
  <c r="I40" i="4"/>
  <c r="E40" i="4" a="1"/>
  <c r="E40" i="4" s="1"/>
  <c r="E41" i="4" a="1"/>
  <c r="E41" i="4" s="1"/>
  <c r="D42" i="4"/>
  <c r="G82" i="4" l="1"/>
  <c r="D43" i="4"/>
  <c r="E42" i="4" a="1"/>
  <c r="E42" i="4" s="1"/>
  <c r="I43" i="4" s="1"/>
  <c r="K40" i="4"/>
  <c r="J40" i="4"/>
  <c r="E43" i="4" l="1" a="1"/>
  <c r="E43" i="4" s="1"/>
  <c r="J43" i="4" s="1"/>
  <c r="D44" i="4"/>
  <c r="G83" i="4"/>
  <c r="G84" i="4" l="1"/>
  <c r="D45" i="4"/>
  <c r="E44" i="4" a="1"/>
  <c r="E44" i="4" s="1"/>
  <c r="K43" i="4" s="1"/>
  <c r="E45" i="4" l="1" a="1"/>
  <c r="E45" i="4" s="1"/>
  <c r="D46" i="4"/>
  <c r="H84" i="4"/>
  <c r="I84" i="4" s="1"/>
  <c r="K84" i="4" s="1"/>
  <c r="L84" i="4" s="1"/>
  <c r="G85" i="4"/>
  <c r="G86" i="4" l="1"/>
  <c r="E46" i="4" a="1"/>
  <c r="E46" i="4" s="1"/>
  <c r="L43" i="4" s="1"/>
  <c r="D47" i="4"/>
  <c r="D48" i="4" l="1"/>
  <c r="E47" i="4" a="1"/>
  <c r="E47" i="4" s="1"/>
  <c r="M43" i="4" s="1"/>
  <c r="G87" i="4"/>
  <c r="G88" i="4" l="1"/>
  <c r="E48" i="4" a="1"/>
  <c r="E48" i="4" s="1"/>
  <c r="D49" i="4"/>
  <c r="O43" i="4" l="1"/>
  <c r="G69" i="4" a="1"/>
  <c r="G69" i="4" s="1"/>
  <c r="H69" i="4" s="1" a="1"/>
  <c r="H69" i="4" s="1"/>
  <c r="I69" i="4" s="1" a="1"/>
  <c r="I69" i="4" s="1"/>
  <c r="J69" i="4" s="1" a="1"/>
  <c r="J69" i="4" s="1"/>
  <c r="D50" i="4"/>
  <c r="E49" i="4" a="1"/>
  <c r="E49" i="4" s="1"/>
  <c r="H86" i="4"/>
  <c r="I86" i="4" s="1"/>
  <c r="K86" i="4" s="1"/>
  <c r="L86" i="4" s="1"/>
  <c r="H82" i="4"/>
  <c r="I82" i="4" s="1"/>
  <c r="K82" i="4" s="1"/>
  <c r="L82" i="4" s="1"/>
  <c r="G89" i="4"/>
  <c r="H88" i="4"/>
  <c r="I88" i="4" s="1"/>
  <c r="K88" i="4" s="1"/>
  <c r="L88" i="4" s="1"/>
  <c r="H87" i="4"/>
  <c r="I87" i="4" s="1"/>
  <c r="K87" i="4" s="1"/>
  <c r="L87" i="4" s="1"/>
  <c r="H89" i="4" l="1"/>
  <c r="I89" i="4" s="1"/>
  <c r="K89" i="4" s="1"/>
  <c r="L89" i="4" s="1"/>
  <c r="G90" i="4"/>
  <c r="E50" i="4" a="1"/>
  <c r="E50" i="4" s="1"/>
  <c r="H80" i="4"/>
  <c r="I80" i="4" s="1"/>
  <c r="K80" i="4" s="1"/>
  <c r="L80" i="4" s="1"/>
  <c r="H81" i="4"/>
  <c r="I81" i="4" s="1"/>
  <c r="K81" i="4" s="1"/>
  <c r="L81" i="4" s="1"/>
  <c r="H85" i="4"/>
  <c r="I85" i="4" s="1"/>
  <c r="K85" i="4" s="1"/>
  <c r="L85" i="4" s="1"/>
  <c r="H83" i="4"/>
  <c r="I83" i="4" s="1"/>
  <c r="K83" i="4" s="1"/>
  <c r="L83" i="4" s="1"/>
  <c r="H79" i="4"/>
  <c r="H90" i="4" l="1"/>
  <c r="I90" i="4" s="1"/>
  <c r="K90" i="4" s="1"/>
  <c r="L90" i="4" s="1"/>
  <c r="G91" i="4"/>
  <c r="H91" i="4" s="1"/>
  <c r="I91" i="4" s="1"/>
  <c r="K91" i="4" s="1"/>
  <c r="L91" i="4" s="1"/>
  <c r="I79" i="4"/>
  <c r="K79" i="4" s="1"/>
  <c r="L79" i="4" s="1"/>
  <c r="M78" i="4" l="1" a="1"/>
  <c r="M78" i="4" l="1"/>
  <c r="O78" i="4" s="1" a="1"/>
  <c r="O78" i="4" s="1"/>
  <c r="O82" i="4" a="1"/>
  <c r="O82" i="4" s="1"/>
  <c r="O81" i="4" a="1"/>
  <c r="O81" i="4" s="1"/>
  <c r="O84" i="4" a="1"/>
  <c r="O84" i="4" s="1"/>
  <c r="O80" i="4" a="1"/>
  <c r="O80" i="4" s="1"/>
  <c r="O87" i="4" a="1"/>
  <c r="O87" i="4" s="1"/>
  <c r="O79" i="4" a="1"/>
  <c r="O79" i="4" s="1"/>
  <c r="O85" i="4" a="1"/>
  <c r="O85" i="4" s="1"/>
  <c r="O83" i="4" a="1"/>
  <c r="O83" i="4" s="1"/>
  <c r="O86" i="4" a="1"/>
  <c r="O8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<sst xmlns="http://schemas.openxmlformats.org/spreadsheetml/2006/main" count="81" uniqueCount="50">
  <si>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A</t>
  </si>
  <si>
    <t>B</t>
  </si>
  <si>
    <t>C</t>
  </si>
  <si>
    <t>Grand Total</t>
  </si>
  <si>
    <t>Mapping of Charges to Payment</t>
  </si>
  <si>
    <t>ID</t>
  </si>
  <si>
    <t>Date</t>
  </si>
  <si>
    <t>Cost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</si>
  <si>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</si>
  <si>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</si>
  <si>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</si>
  <si>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</si>
  <si>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</si>
  <si>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</si>
  <si>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</si>
  <si>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</si>
  <si>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</si>
  <si>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</si>
  <si>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</si>
  <si>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</si>
  <si>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Payment</t>
  </si>
  <si>
    <t>P1</t>
  </si>
  <si>
    <t>P2</t>
  </si>
  <si>
    <t>P3</t>
  </si>
  <si>
    <t>P4</t>
  </si>
  <si>
    <t>P5</t>
  </si>
  <si>
    <t>Receipts</t>
  </si>
  <si>
    <t>Weight Mean</t>
  </si>
  <si>
    <t>Alternative 2</t>
  </si>
  <si>
    <t>Alternative 1: Dumb Approach</t>
  </si>
  <si>
    <t>I augment the payment matrix and use BYROW</t>
  </si>
  <si>
    <t>Charge-Payment Matrix Generation</t>
  </si>
  <si>
    <t>Question Table 1 Recipts</t>
  </si>
  <si>
    <t>Question Table 2 Payment</t>
  </si>
  <si>
    <t>Result</t>
  </si>
  <si>
    <t>https://www.linkedin.com/feed/update/urn:li:activity:7245900078995922944/</t>
  </si>
  <si>
    <t>Recipt ID</t>
  </si>
  <si>
    <t>Duration</t>
  </si>
  <si>
    <t>NP</t>
  </si>
  <si>
    <t>This is my first try. It is not too bad.</t>
  </si>
  <si>
    <t>D</t>
  </si>
  <si>
    <t>E</t>
  </si>
  <si>
    <t>I am thinking that I am not going to get much more out of this drill, except for finding an alternative approach.</t>
  </si>
  <si>
    <t>Credit</t>
  </si>
  <si>
    <t>Pvalue</t>
  </si>
  <si>
    <t>Cum</t>
  </si>
  <si>
    <t>CDate</t>
  </si>
  <si>
    <t>Pdate</t>
  </si>
  <si>
    <t>Delta</t>
  </si>
  <si>
    <t>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</si>
</sst>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6" formatCode="m/d/yyyy;@"/>
    <numFmt numFmtId="167" formatCode="d/m/yyyy"/>
    <numFmt numFmtId="168" formatCode="&quot;$&quot;#,##0;[Red]\-&quot;$&quot;#,##0"/>
    <numFmt numFmtId="174" formatCode="0;\-0;0;@"/>
    <numFmt numFmtId="175" formatCode="0.0;\-0.0;0.0;@"/>
    <numFmt numFmtId="186" formatCode="0.0000000000000"/>
    <numFmt numFmtId="192" formatCode="0.0000000000000000000"/>
  </numFmts>
  <fonts count="2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sz val="11"/>
      <color theme="1"/>
      <name val="Century Gothic"/>
      <family val="2"/>
    </font>
    <font>
      <sz val="11"/>
      <color theme="1"/>
      <name val="Consolas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u/>
      <sz val="11"/>
      <color theme="10"/>
      <name val="Consolas"/>
      <family val="2"/>
      <scheme val="minor"/>
    </font>
    <font>
      <sz val="11"/>
      <color rgb="FF000000"/>
      <name val="Consolas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95B6C5"/>
        <bgColor rgb="FF95B6C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3F6373"/>
        <bgColor rgb="FF3F637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5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0" borderId="0"/>
    <xf numFmtId="0" fontId="21" fillId="0" borderId="0" applyNumberFormat="0" applyFill="0" applyBorder="0" applyAlignment="0" applyProtection="0"/>
  </cellStyleXfs>
  <cellXfs count="53">
    <xf numFmtId="0" fontId="0" fillId="0" borderId="0" xfId="0"/>
    <xf numFmtId="0" fontId="3" fillId="2" borderId="0" xfId="2"/>
    <xf numFmtId="0" fontId="14" fillId="0" borderId="0" xfId="16"/>
    <xf numFmtId="2" fontId="0" fillId="0" borderId="0" xfId="0" applyNumberFormat="1"/>
    <xf numFmtId="0" fontId="0" fillId="7" borderId="0" xfId="0" applyFill="1"/>
    <xf numFmtId="166" fontId="0" fillId="7" borderId="0" xfId="0" applyNumberFormat="1" applyFill="1"/>
    <xf numFmtId="0" fontId="0" fillId="8" borderId="0" xfId="0" applyFill="1"/>
    <xf numFmtId="0" fontId="18" fillId="0" borderId="0" xfId="17" applyFont="1" applyAlignment="1">
      <alignment vertical="center"/>
    </xf>
    <xf numFmtId="0" fontId="19" fillId="9" borderId="0" xfId="17" applyFont="1" applyFill="1" applyAlignment="1">
      <alignment horizontal="center" vertical="center"/>
    </xf>
    <xf numFmtId="0" fontId="20" fillId="0" borderId="0" xfId="17" applyFont="1"/>
    <xf numFmtId="0" fontId="19" fillId="9" borderId="12" xfId="17" applyFont="1" applyFill="1" applyBorder="1" applyAlignment="1">
      <alignment horizontal="center" vertical="center"/>
    </xf>
    <xf numFmtId="0" fontId="20" fillId="0" borderId="13" xfId="17" applyFont="1" applyBorder="1"/>
    <xf numFmtId="0" fontId="21" fillId="0" borderId="0" xfId="18" applyAlignment="1">
      <alignment vertical="center"/>
    </xf>
    <xf numFmtId="0" fontId="17" fillId="0" borderId="0" xfId="17"/>
    <xf numFmtId="0" fontId="16" fillId="0" borderId="0" xfId="17" applyFont="1"/>
    <xf numFmtId="0" fontId="16" fillId="6" borderId="14" xfId="17" applyFont="1" applyFill="1" applyBorder="1" applyAlignment="1">
      <alignment horizontal="center"/>
    </xf>
    <xf numFmtId="0" fontId="16" fillId="6" borderId="3" xfId="17" applyFont="1" applyFill="1" applyBorder="1" applyAlignment="1">
      <alignment horizontal="center"/>
    </xf>
    <xf numFmtId="0" fontId="16" fillId="6" borderId="4" xfId="17" applyFont="1" applyFill="1" applyBorder="1" applyAlignment="1">
      <alignment horizontal="center"/>
    </xf>
    <xf numFmtId="0" fontId="16" fillId="6" borderId="5" xfId="17" applyFont="1" applyFill="1" applyBorder="1" applyAlignment="1">
      <alignment horizontal="center"/>
    </xf>
    <xf numFmtId="0" fontId="16" fillId="6" borderId="3" xfId="17" applyFont="1" applyFill="1" applyBorder="1" applyAlignment="1">
      <alignment horizontal="center" vertical="center"/>
    </xf>
    <xf numFmtId="0" fontId="16" fillId="6" borderId="15" xfId="17" applyFont="1" applyFill="1" applyBorder="1" applyAlignment="1">
      <alignment horizontal="center" vertical="center"/>
    </xf>
    <xf numFmtId="167" fontId="16" fillId="0" borderId="16" xfId="17" applyNumberFormat="1" applyFont="1" applyBorder="1" applyAlignment="1">
      <alignment horizontal="center"/>
    </xf>
    <xf numFmtId="168" fontId="16" fillId="0" borderId="16" xfId="17" applyNumberFormat="1" applyFont="1" applyBorder="1" applyAlignment="1">
      <alignment horizontal="center"/>
    </xf>
    <xf numFmtId="167" fontId="16" fillId="0" borderId="6" xfId="17" applyNumberFormat="1" applyFont="1" applyBorder="1" applyAlignment="1">
      <alignment horizontal="center"/>
    </xf>
    <xf numFmtId="167" fontId="16" fillId="0" borderId="7" xfId="17" applyNumberFormat="1" applyFont="1" applyBorder="1"/>
    <xf numFmtId="168" fontId="16" fillId="0" borderId="8" xfId="17" applyNumberFormat="1" applyFont="1" applyBorder="1" applyAlignment="1">
      <alignment horizontal="center"/>
    </xf>
    <xf numFmtId="0" fontId="16" fillId="6" borderId="6" xfId="17" applyFont="1" applyFill="1" applyBorder="1" applyAlignment="1">
      <alignment horizontal="center" vertical="center"/>
    </xf>
    <xf numFmtId="3" fontId="16" fillId="0" borderId="17" xfId="17" applyNumberFormat="1" applyFont="1" applyBorder="1" applyAlignment="1">
      <alignment horizontal="center" vertical="center"/>
    </xf>
    <xf numFmtId="167" fontId="16" fillId="0" borderId="18" xfId="17" applyNumberFormat="1" applyFont="1" applyBorder="1" applyAlignment="1">
      <alignment horizontal="center"/>
    </xf>
    <xf numFmtId="168" fontId="16" fillId="0" borderId="18" xfId="17" applyNumberFormat="1" applyFont="1" applyBorder="1" applyAlignment="1">
      <alignment horizontal="center"/>
    </xf>
    <xf numFmtId="167" fontId="16" fillId="0" borderId="9" xfId="17" applyNumberFormat="1" applyFont="1" applyBorder="1" applyAlignment="1">
      <alignment horizontal="center"/>
    </xf>
    <xf numFmtId="167" fontId="16" fillId="0" borderId="10" xfId="17" applyNumberFormat="1" applyFont="1" applyBorder="1"/>
    <xf numFmtId="168" fontId="16" fillId="0" borderId="11" xfId="17" applyNumberFormat="1" applyFont="1" applyBorder="1" applyAlignment="1">
      <alignment horizontal="center"/>
    </xf>
    <xf numFmtId="167" fontId="16" fillId="0" borderId="0" xfId="17" applyNumberFormat="1" applyFont="1"/>
    <xf numFmtId="0" fontId="16" fillId="6" borderId="9" xfId="17" applyFont="1" applyFill="1" applyBorder="1" applyAlignment="1">
      <alignment horizontal="center" vertical="center"/>
    </xf>
    <xf numFmtId="3" fontId="16" fillId="0" borderId="19" xfId="17" applyNumberFormat="1" applyFont="1" applyBorder="1" applyAlignment="1">
      <alignment horizontal="center" vertical="center"/>
    </xf>
    <xf numFmtId="0" fontId="16" fillId="0" borderId="0" xfId="17" applyFont="1" applyAlignment="1">
      <alignment horizontal="center"/>
    </xf>
    <xf numFmtId="0" fontId="16" fillId="0" borderId="0" xfId="17" applyFont="1" applyAlignment="1">
      <alignment horizontal="left"/>
    </xf>
    <xf numFmtId="174" fontId="16" fillId="0" borderId="0" xfId="17" applyNumberFormat="1" applyFont="1"/>
    <xf numFmtId="168" fontId="16" fillId="0" borderId="0" xfId="17" applyNumberFormat="1" applyFont="1"/>
    <xf numFmtId="0" fontId="3" fillId="10" borderId="20" xfId="17" applyFont="1" applyFill="1" applyBorder="1"/>
    <xf numFmtId="0" fontId="3" fillId="10" borderId="21" xfId="17" applyFont="1" applyFill="1" applyBorder="1"/>
    <xf numFmtId="2" fontId="16" fillId="0" borderId="7" xfId="17" applyNumberFormat="1" applyFont="1" applyBorder="1"/>
    <xf numFmtId="0" fontId="22" fillId="0" borderId="0" xfId="17" applyFont="1"/>
    <xf numFmtId="175" fontId="16" fillId="0" borderId="0" xfId="17" applyNumberFormat="1" applyFont="1"/>
    <xf numFmtId="2" fontId="16" fillId="0" borderId="0" xfId="17" applyNumberFormat="1" applyFont="1"/>
    <xf numFmtId="0" fontId="16" fillId="11" borderId="0" xfId="17" applyFont="1" applyFill="1"/>
    <xf numFmtId="0" fontId="23" fillId="0" borderId="0" xfId="17" applyFont="1"/>
    <xf numFmtId="1" fontId="0" fillId="7" borderId="0" xfId="0" applyNumberFormat="1" applyFill="1"/>
    <xf numFmtId="0" fontId="17" fillId="12" borderId="0" xfId="17" applyFill="1"/>
    <xf numFmtId="174" fontId="24" fillId="0" borderId="0" xfId="0" applyNumberFormat="1" applyFont="1"/>
    <xf numFmtId="186" fontId="0" fillId="0" borderId="0" xfId="0" applyNumberFormat="1"/>
    <xf numFmtId="192" fontId="0" fillId="0" borderId="0" xfId="0" applyNumberFormat="1"/>
  </cellXfs>
  <cellStyles count="19">
    <cellStyle name="Calculation" xfId="15" builtinId="22" customBuiltin="1"/>
    <cellStyle name="Comment" xfId="8" xr:uid="{C4DDEBC2-DCD2-4316-AAE7-A5F6C47DBA99}"/>
    <cellStyle name="Explanatory Text" xfId="16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Hyperlink 2" xfId="18" xr:uid="{65600875-E73A-4ADC-AEDE-1EE823ECAA93}"/>
    <cellStyle name="Input" xfId="13" builtinId="20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Normal 2" xfId="17" xr:uid="{1E3F3FE4-2E4A-4CDA-9740-2D40D109E261}"/>
    <cellStyle name="Output" xfId="14" builtinId="21" customBuiltin="1"/>
    <cellStyle name="Title" xfId="1" builtinId="15" hidden="1"/>
    <cellStyle name="Total" xfId="6" builtinId="25" customBuiltin="1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3"/>
      <tableStyleElement type="headerRow" dxfId="22"/>
      <tableStyleElement type="totalRow" dxfId="21"/>
      <tableStyleElement type="firstColumnStripe" dxfId="20"/>
      <tableStyleElement type="firstHeaderCell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iegertm\Downloads\CH-120%20payments%20Durations.xlsx" TargetMode="External"/><Relationship Id="rId1" Type="http://schemas.openxmlformats.org/officeDocument/2006/relationships/externalLinkPath" Target="file:///C:\Users\biegertm\Downloads\CH-120%20payments%20Dur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"/>
      <sheetName val="_tReceipts"/>
      <sheetName val="_tPayments"/>
      <sheetName val="ALT"/>
      <sheetName val="Alt2"/>
      <sheetName val="EDA"/>
    </sheetNames>
    <sheetDataSet>
      <sheetData sheetId="0"/>
      <sheetData sheetId="1"/>
      <sheetData sheetId="2"/>
      <sheetData sheetId="3"/>
      <sheetData sheetId="4">
        <row r="3">
          <cell r="N3">
            <v>600</v>
          </cell>
        </row>
        <row r="4">
          <cell r="N4">
            <v>50</v>
          </cell>
        </row>
        <row r="5">
          <cell r="N5">
            <v>112</v>
          </cell>
        </row>
        <row r="6">
          <cell r="N6">
            <v>800</v>
          </cell>
        </row>
        <row r="7">
          <cell r="N7">
            <v>1800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459000789959229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Z71"/>
  <sheetViews>
    <sheetView tabSelected="1" topLeftCell="A36" zoomScale="115" zoomScaleNormal="115" workbookViewId="0">
      <selection activeCell="K44" sqref="K44"/>
    </sheetView>
  </sheetViews>
  <sheetFormatPr defaultRowHeight="13" x14ac:dyDescent="0.3"/>
  <cols>
    <col min="2" max="2" width="11.81640625" bestFit="1" customWidth="1"/>
    <col min="3" max="3" width="24.1796875" customWidth="1"/>
    <col min="7" max="7" width="10.81640625" customWidth="1"/>
    <col min="8" max="8" width="9.81640625" bestFit="1" customWidth="1"/>
    <col min="10" max="10" width="9.81640625" bestFit="1" customWidth="1"/>
    <col min="11" max="12" width="10.81640625" bestFit="1" customWidth="1"/>
    <col min="22" max="22" width="18" bestFit="1" customWidth="1"/>
  </cols>
  <sheetData>
    <row r="2" spans="1:17" ht="14.5" x14ac:dyDescent="0.35">
      <c r="A2" s="1" t="s">
        <v>4</v>
      </c>
      <c r="J2" s="1" t="s">
        <v>26</v>
      </c>
      <c r="O2" s="1" t="s">
        <v>20</v>
      </c>
    </row>
    <row r="3" spans="1:17" x14ac:dyDescent="0.3">
      <c r="K3" s="6" t="s">
        <v>5</v>
      </c>
      <c r="L3" s="6" t="s">
        <v>6</v>
      </c>
      <c r="M3" s="6" t="s">
        <v>7</v>
      </c>
      <c r="O3" s="6" t="s">
        <v>5</v>
      </c>
      <c r="P3" s="6" t="s">
        <v>6</v>
      </c>
      <c r="Q3" s="6" t="s">
        <v>20</v>
      </c>
    </row>
    <row r="4" spans="1:17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K4" s="4">
        <v>1</v>
      </c>
      <c r="L4" s="48">
        <v>45325</v>
      </c>
      <c r="M4" s="4">
        <v>120</v>
      </c>
      <c r="O4" s="4">
        <v>1</v>
      </c>
      <c r="P4" s="4">
        <v>45278</v>
      </c>
      <c r="Q4" s="4">
        <v>600</v>
      </c>
    </row>
    <row r="5" spans="1:17" x14ac:dyDescent="0.3">
      <c r="A5">
        <v>1</v>
      </c>
      <c r="B5">
        <v>120</v>
      </c>
      <c r="G5" s="5">
        <v>45325</v>
      </c>
      <c r="H5" s="4">
        <v>120</v>
      </c>
      <c r="K5" s="4">
        <v>2</v>
      </c>
      <c r="L5" s="48">
        <v>45338</v>
      </c>
      <c r="M5" s="4">
        <v>356</v>
      </c>
      <c r="O5" s="4">
        <v>2</v>
      </c>
      <c r="P5" s="4">
        <v>45286</v>
      </c>
      <c r="Q5" s="4">
        <v>50</v>
      </c>
    </row>
    <row r="6" spans="1:17" x14ac:dyDescent="0.3">
      <c r="A6">
        <v>2</v>
      </c>
      <c r="B6">
        <v>356</v>
      </c>
      <c r="G6" s="5">
        <v>45338</v>
      </c>
      <c r="H6" s="4">
        <v>356</v>
      </c>
      <c r="K6" s="4">
        <v>3</v>
      </c>
      <c r="L6" s="48">
        <v>45341</v>
      </c>
      <c r="M6" s="4">
        <v>312</v>
      </c>
      <c r="O6" s="4">
        <v>3</v>
      </c>
      <c r="P6" s="4">
        <v>45312</v>
      </c>
      <c r="Q6" s="4">
        <v>112</v>
      </c>
    </row>
    <row r="7" spans="1:17" x14ac:dyDescent="0.3">
      <c r="A7">
        <v>3</v>
      </c>
      <c r="B7">
        <v>124</v>
      </c>
      <c r="C7">
        <v>50</v>
      </c>
      <c r="D7">
        <v>112</v>
      </c>
      <c r="E7">
        <v>26</v>
      </c>
      <c r="G7" s="5">
        <v>45341</v>
      </c>
      <c r="H7" s="4">
        <v>312</v>
      </c>
      <c r="K7" s="4">
        <v>4</v>
      </c>
      <c r="L7" s="48">
        <v>45355</v>
      </c>
      <c r="M7" s="4">
        <v>437</v>
      </c>
      <c r="O7" s="4">
        <v>4</v>
      </c>
      <c r="P7" s="4">
        <v>45315</v>
      </c>
      <c r="Q7" s="4">
        <v>800</v>
      </c>
    </row>
    <row r="8" spans="1:17" x14ac:dyDescent="0.3">
      <c r="A8">
        <v>4</v>
      </c>
      <c r="E8">
        <v>437</v>
      </c>
      <c r="G8" s="5">
        <v>45355</v>
      </c>
      <c r="H8" s="4">
        <v>437</v>
      </c>
      <c r="K8" s="4">
        <v>5</v>
      </c>
      <c r="L8" s="48">
        <v>45364</v>
      </c>
      <c r="M8" s="4">
        <v>374</v>
      </c>
      <c r="O8" s="4">
        <v>5</v>
      </c>
      <c r="P8" s="4">
        <v>45327</v>
      </c>
      <c r="Q8" s="4">
        <v>1800</v>
      </c>
    </row>
    <row r="9" spans="1:17" x14ac:dyDescent="0.3">
      <c r="A9">
        <v>5</v>
      </c>
      <c r="E9">
        <v>337</v>
      </c>
      <c r="F9">
        <v>37</v>
      </c>
      <c r="G9" s="5">
        <v>45364</v>
      </c>
      <c r="H9" s="4">
        <v>374</v>
      </c>
      <c r="K9" s="4">
        <v>6</v>
      </c>
      <c r="L9" s="48">
        <v>45365</v>
      </c>
      <c r="M9" s="4">
        <v>258</v>
      </c>
      <c r="P9" s="4">
        <v>0</v>
      </c>
    </row>
    <row r="10" spans="1:17" x14ac:dyDescent="0.3">
      <c r="A10">
        <v>6</v>
      </c>
      <c r="F10">
        <v>258</v>
      </c>
      <c r="G10" s="5">
        <v>45365</v>
      </c>
      <c r="H10" s="4">
        <v>258</v>
      </c>
      <c r="K10" s="4">
        <v>7</v>
      </c>
      <c r="L10" s="48">
        <v>45370</v>
      </c>
      <c r="M10" s="4">
        <v>369</v>
      </c>
    </row>
    <row r="11" spans="1:17" x14ac:dyDescent="0.3">
      <c r="A11">
        <v>7</v>
      </c>
      <c r="F11">
        <v>369</v>
      </c>
      <c r="G11" s="5">
        <v>45370</v>
      </c>
      <c r="H11" s="4">
        <v>369</v>
      </c>
      <c r="K11" s="4">
        <v>8</v>
      </c>
      <c r="L11" s="48">
        <v>45376</v>
      </c>
      <c r="M11" s="4">
        <v>418</v>
      </c>
    </row>
    <row r="12" spans="1:17" x14ac:dyDescent="0.3">
      <c r="A12">
        <v>8</v>
      </c>
      <c r="F12">
        <v>418</v>
      </c>
      <c r="G12" s="5">
        <v>45376</v>
      </c>
      <c r="H12" s="4">
        <v>418</v>
      </c>
      <c r="K12" s="4">
        <v>9</v>
      </c>
      <c r="L12" s="48">
        <v>45384</v>
      </c>
      <c r="M12" s="4">
        <v>308</v>
      </c>
    </row>
    <row r="13" spans="1:17" x14ac:dyDescent="0.3">
      <c r="A13">
        <v>9</v>
      </c>
      <c r="F13">
        <v>308</v>
      </c>
      <c r="G13" s="5">
        <v>45384</v>
      </c>
      <c r="H13" s="4">
        <v>308</v>
      </c>
      <c r="K13" s="4">
        <v>10</v>
      </c>
      <c r="L13" s="48">
        <v>45397</v>
      </c>
      <c r="M13" s="4">
        <v>410</v>
      </c>
    </row>
    <row r="14" spans="1:17" x14ac:dyDescent="0.3">
      <c r="A14">
        <v>10</v>
      </c>
      <c r="F14">
        <v>410</v>
      </c>
      <c r="G14" s="5">
        <v>45397</v>
      </c>
      <c r="H14" s="4">
        <v>410</v>
      </c>
      <c r="K14" s="4">
        <v>11</v>
      </c>
      <c r="L14" s="48">
        <v>45406</v>
      </c>
      <c r="M14" s="4">
        <v>491</v>
      </c>
    </row>
    <row r="15" spans="1:17" x14ac:dyDescent="0.3">
      <c r="K15" s="4">
        <v>12</v>
      </c>
      <c r="L15" s="48">
        <v>45409</v>
      </c>
      <c r="M15" s="4">
        <v>50</v>
      </c>
    </row>
    <row r="17" spans="1:12" ht="14.5" x14ac:dyDescent="0.35">
      <c r="A17" s="1" t="s">
        <v>29</v>
      </c>
      <c r="J17" s="1" t="s">
        <v>28</v>
      </c>
      <c r="L17" s="2" t="s">
        <v>30</v>
      </c>
    </row>
    <row r="18" spans="1:12" x14ac:dyDescent="0.3">
      <c r="B18">
        <v>45278</v>
      </c>
      <c r="C18">
        <v>45286</v>
      </c>
      <c r="D18">
        <v>45312</v>
      </c>
      <c r="E18">
        <v>45315</v>
      </c>
      <c r="F18">
        <v>45327</v>
      </c>
      <c r="H18" t="s">
        <v>27</v>
      </c>
    </row>
    <row r="19" spans="1:12" x14ac:dyDescent="0.3">
      <c r="A19">
        <v>45325</v>
      </c>
      <c r="B19" cm="1">
        <f t="array" ref="B19:F30">B18:F18-A19:A30</f>
        <v>-47</v>
      </c>
      <c r="C19">
        <v>-39</v>
      </c>
      <c r="D19">
        <v>-13</v>
      </c>
      <c r="E19">
        <v>-10</v>
      </c>
      <c r="F19">
        <v>2</v>
      </c>
      <c r="H19" s="3" cm="1">
        <f t="array" ref="H19:H28">INDEX(MMULT(IF(ISBLANK(B5:F14),0,B5:F14),TRANSPOSE(_xlfn.ANCHORARRAY(B19))),_xlfn.SEQUENCE(10),_xlfn.SEQUENCE(10))/M4:M13</f>
        <v>-47</v>
      </c>
      <c r="J19" s="3"/>
      <c r="K19" s="3" cm="1">
        <f t="array" ref="K19:K28">_xlfn.LET(_xlpm.z,B5:H14,_xlfn.BYROW(IF(ISBLANK(_xlpm.z),0,_xlpm.z),_xlfn.LAMBDA(_xlpm.r,SUMPRODUCT(INDEX(_xlpm.r,,_xlfn.SEQUENCE(,5)),TRANSPOSE(P4:P8)-INDEX(_xlpm.r,,6))/INDEX(_xlpm.r,,7))))</f>
        <v>-47</v>
      </c>
    </row>
    <row r="20" spans="1:12" x14ac:dyDescent="0.3">
      <c r="A20">
        <v>45338</v>
      </c>
      <c r="B20">
        <v>-60</v>
      </c>
      <c r="C20">
        <v>-52</v>
      </c>
      <c r="D20">
        <v>-26</v>
      </c>
      <c r="E20">
        <v>-23</v>
      </c>
      <c r="F20">
        <v>-11</v>
      </c>
      <c r="H20" s="3">
        <v>-60</v>
      </c>
      <c r="J20" s="3"/>
      <c r="K20" s="3">
        <v>-60</v>
      </c>
    </row>
    <row r="21" spans="1:12" x14ac:dyDescent="0.3">
      <c r="A21">
        <v>45341</v>
      </c>
      <c r="B21">
        <v>-63</v>
      </c>
      <c r="C21">
        <v>-55</v>
      </c>
      <c r="D21">
        <v>-29</v>
      </c>
      <c r="E21">
        <v>-26</v>
      </c>
      <c r="F21">
        <v>-14</v>
      </c>
      <c r="H21" s="3">
        <v>-46.429487179487182</v>
      </c>
      <c r="J21" s="3"/>
      <c r="K21" s="3">
        <v>-46.429487179487182</v>
      </c>
    </row>
    <row r="22" spans="1:12" x14ac:dyDescent="0.3">
      <c r="A22">
        <v>45355</v>
      </c>
      <c r="B22">
        <v>-77</v>
      </c>
      <c r="C22">
        <v>-69</v>
      </c>
      <c r="D22">
        <v>-43</v>
      </c>
      <c r="E22">
        <v>-40</v>
      </c>
      <c r="F22">
        <v>-28</v>
      </c>
      <c r="H22" s="3">
        <v>-40</v>
      </c>
      <c r="J22" s="3"/>
      <c r="K22" s="3">
        <v>-40</v>
      </c>
    </row>
    <row r="23" spans="1:12" x14ac:dyDescent="0.3">
      <c r="A23">
        <v>45364</v>
      </c>
      <c r="B23">
        <v>-86</v>
      </c>
      <c r="C23">
        <v>-78</v>
      </c>
      <c r="D23">
        <v>-52</v>
      </c>
      <c r="E23">
        <v>-49</v>
      </c>
      <c r="F23">
        <v>-37</v>
      </c>
      <c r="H23" s="3">
        <v>-47.81283422459893</v>
      </c>
      <c r="J23" s="3"/>
      <c r="K23" s="3">
        <v>-47.81283422459893</v>
      </c>
    </row>
    <row r="24" spans="1:12" x14ac:dyDescent="0.3">
      <c r="A24">
        <v>45365</v>
      </c>
      <c r="B24">
        <v>-87</v>
      </c>
      <c r="C24">
        <v>-79</v>
      </c>
      <c r="D24">
        <v>-53</v>
      </c>
      <c r="E24">
        <v>-50</v>
      </c>
      <c r="F24">
        <v>-38</v>
      </c>
      <c r="H24" s="3">
        <v>-38</v>
      </c>
      <c r="J24" s="3"/>
      <c r="K24" s="3">
        <v>-38</v>
      </c>
    </row>
    <row r="25" spans="1:12" x14ac:dyDescent="0.3">
      <c r="A25">
        <v>45370</v>
      </c>
      <c r="B25">
        <v>-92</v>
      </c>
      <c r="C25">
        <v>-84</v>
      </c>
      <c r="D25">
        <v>-58</v>
      </c>
      <c r="E25">
        <v>-55</v>
      </c>
      <c r="F25">
        <v>-43</v>
      </c>
      <c r="H25" s="3">
        <v>-43</v>
      </c>
      <c r="J25" s="3"/>
      <c r="K25" s="3">
        <v>-43</v>
      </c>
    </row>
    <row r="26" spans="1:12" x14ac:dyDescent="0.3">
      <c r="A26">
        <v>45376</v>
      </c>
      <c r="B26">
        <v>-98</v>
      </c>
      <c r="C26">
        <v>-90</v>
      </c>
      <c r="D26">
        <v>-64</v>
      </c>
      <c r="E26">
        <v>-61</v>
      </c>
      <c r="F26">
        <v>-49</v>
      </c>
      <c r="H26" s="3">
        <v>-49</v>
      </c>
      <c r="J26" s="3"/>
      <c r="K26" s="3">
        <v>-49</v>
      </c>
    </row>
    <row r="27" spans="1:12" x14ac:dyDescent="0.3">
      <c r="A27">
        <v>45384</v>
      </c>
      <c r="B27">
        <v>-106</v>
      </c>
      <c r="C27">
        <v>-98</v>
      </c>
      <c r="D27">
        <v>-72</v>
      </c>
      <c r="E27">
        <v>-69</v>
      </c>
      <c r="F27">
        <v>-57</v>
      </c>
      <c r="H27" s="3">
        <v>-57</v>
      </c>
      <c r="J27" s="3"/>
      <c r="K27" s="3">
        <v>-57</v>
      </c>
    </row>
    <row r="28" spans="1:12" x14ac:dyDescent="0.3">
      <c r="A28">
        <v>45397</v>
      </c>
      <c r="B28">
        <v>-119</v>
      </c>
      <c r="C28">
        <v>-111</v>
      </c>
      <c r="D28">
        <v>-85</v>
      </c>
      <c r="E28">
        <v>-82</v>
      </c>
      <c r="F28">
        <v>-70</v>
      </c>
      <c r="H28" s="3">
        <v>-70</v>
      </c>
      <c r="J28" s="3"/>
      <c r="K28" s="3">
        <v>-70</v>
      </c>
    </row>
    <row r="29" spans="1:12" x14ac:dyDescent="0.3">
      <c r="A29">
        <v>45406</v>
      </c>
      <c r="B29">
        <v>-128</v>
      </c>
      <c r="C29">
        <v>-120</v>
      </c>
      <c r="D29">
        <v>-94</v>
      </c>
      <c r="E29">
        <v>-91</v>
      </c>
      <c r="F29">
        <v>-79</v>
      </c>
    </row>
    <row r="30" spans="1:12" x14ac:dyDescent="0.3">
      <c r="A30">
        <v>45409</v>
      </c>
      <c r="B30">
        <v>-131</v>
      </c>
      <c r="C30">
        <v>-123</v>
      </c>
      <c r="D30">
        <v>-97</v>
      </c>
      <c r="E30">
        <v>-94</v>
      </c>
      <c r="F30">
        <v>-82</v>
      </c>
    </row>
    <row r="33" spans="1:15" ht="14.5" x14ac:dyDescent="0.35">
      <c r="A33" s="1" t="s">
        <v>31</v>
      </c>
    </row>
    <row r="34" spans="1:15" x14ac:dyDescent="0.3">
      <c r="A34">
        <v>0</v>
      </c>
      <c r="B34">
        <v>0</v>
      </c>
    </row>
    <row r="35" spans="1:15" x14ac:dyDescent="0.3">
      <c r="A35" cm="1">
        <f t="array" ref="A35:A39">_xlfn.SEQUENCE(5)</f>
        <v>1</v>
      </c>
      <c r="B35" cm="1">
        <f t="array" ref="B35:B39">_xlfn.SCAN(,Q4:Q8,_xleta.SUM)</f>
        <v>600</v>
      </c>
    </row>
    <row r="36" spans="1:15" x14ac:dyDescent="0.3">
      <c r="A36">
        <v>2</v>
      </c>
      <c r="B36">
        <v>650</v>
      </c>
    </row>
    <row r="37" spans="1:15" x14ac:dyDescent="0.3">
      <c r="A37">
        <v>3</v>
      </c>
      <c r="B37">
        <v>762</v>
      </c>
    </row>
    <row r="38" spans="1:15" x14ac:dyDescent="0.3">
      <c r="A38">
        <v>4</v>
      </c>
      <c r="B38">
        <v>1562</v>
      </c>
    </row>
    <row r="39" spans="1:15" x14ac:dyDescent="0.3">
      <c r="A39">
        <v>5</v>
      </c>
      <c r="B39">
        <v>3362</v>
      </c>
    </row>
    <row r="40" spans="1:15" x14ac:dyDescent="0.3">
      <c r="H40">
        <v>1</v>
      </c>
      <c r="I40">
        <v>2</v>
      </c>
      <c r="J40">
        <v>3</v>
      </c>
      <c r="K40">
        <v>4</v>
      </c>
      <c r="L40">
        <v>5</v>
      </c>
    </row>
    <row r="41" spans="1:15" x14ac:dyDescent="0.3">
      <c r="A41">
        <v>1</v>
      </c>
      <c r="B41">
        <v>120</v>
      </c>
      <c r="C41" s="51" cm="1">
        <f t="array" ref="C41:C52">_xlfn.SCAN(,B41:B52,_xlfn.LAMBDA(_xlpm.a,_xlpm.v,_xlpm.a+_xlpm.v+B54))</f>
        <v>120</v>
      </c>
      <c r="D41" cm="1">
        <f t="array" ref="D41">fInterpolate(C41,$B$34:$B$39,$A$34:$A$39)</f>
        <v>0.2</v>
      </c>
      <c r="E41">
        <f>ROUNDUP(D41,0)</f>
        <v>1</v>
      </c>
    </row>
    <row r="42" spans="1:15" x14ac:dyDescent="0.3">
      <c r="A42">
        <v>2</v>
      </c>
      <c r="B42">
        <v>356</v>
      </c>
      <c r="C42" s="51">
        <v>476</v>
      </c>
      <c r="D42" cm="1">
        <f t="array" ref="D42">fInterpolate(C42,$B$34:$B$39,$A$34:$A$39)</f>
        <v>0.79333333333333333</v>
      </c>
      <c r="E42">
        <f t="shared" ref="E42:E50" si="0">ROUNDUP(D42,0)</f>
        <v>1</v>
      </c>
    </row>
    <row r="43" spans="1:15" x14ac:dyDescent="0.3">
      <c r="A43">
        <v>3</v>
      </c>
      <c r="B43">
        <v>312</v>
      </c>
      <c r="C43" s="51">
        <v>788</v>
      </c>
      <c r="D43" cm="1">
        <f t="array" ref="D43">fInterpolate(C43,$B$34:$B$39,$A$34:$A$39)</f>
        <v>3.0325000000000002</v>
      </c>
      <c r="E43">
        <f t="shared" si="0"/>
        <v>4</v>
      </c>
    </row>
    <row r="44" spans="1:15" x14ac:dyDescent="0.3">
      <c r="A44">
        <v>4</v>
      </c>
      <c r="B44">
        <v>437</v>
      </c>
      <c r="C44" s="51">
        <v>1225</v>
      </c>
      <c r="D44" cm="1">
        <f t="array" ref="D44">fInterpolate(C44,$B$34:$B$39,$A$34:$A$39)</f>
        <v>3.5787499999999999</v>
      </c>
      <c r="E44">
        <f t="shared" si="0"/>
        <v>4</v>
      </c>
    </row>
    <row r="45" spans="1:15" x14ac:dyDescent="0.3">
      <c r="A45">
        <v>5</v>
      </c>
      <c r="B45">
        <v>374</v>
      </c>
      <c r="C45" s="51">
        <v>1599</v>
      </c>
      <c r="D45" cm="1">
        <f t="array" ref="D45">fInterpolate(C45,$B$34:$B$39,$A$34:$A$39)</f>
        <v>4.0205555555555552</v>
      </c>
      <c r="E45">
        <f t="shared" si="0"/>
        <v>5</v>
      </c>
    </row>
    <row r="46" spans="1:15" x14ac:dyDescent="0.3">
      <c r="A46">
        <v>6</v>
      </c>
      <c r="B46">
        <v>258</v>
      </c>
      <c r="C46" s="51">
        <v>1857</v>
      </c>
      <c r="D46" cm="1">
        <f t="array" ref="D46">fInterpolate(C46,$B$34:$B$39,$A$34:$A$39)</f>
        <v>4.1638888888888888</v>
      </c>
      <c r="E46">
        <f t="shared" si="0"/>
        <v>5</v>
      </c>
    </row>
    <row r="47" spans="1:15" x14ac:dyDescent="0.3">
      <c r="A47">
        <v>7</v>
      </c>
      <c r="B47">
        <v>369</v>
      </c>
      <c r="C47" s="51">
        <v>2226</v>
      </c>
      <c r="D47" cm="1">
        <f t="array" ref="D47">fInterpolate(C47,$B$34:$B$39,$A$34:$A$39)</f>
        <v>4.3688888888888888</v>
      </c>
      <c r="E47">
        <f t="shared" si="0"/>
        <v>5</v>
      </c>
    </row>
    <row r="48" spans="1:15" x14ac:dyDescent="0.3">
      <c r="A48">
        <v>8</v>
      </c>
      <c r="B48">
        <v>418</v>
      </c>
      <c r="C48" s="51">
        <v>2644</v>
      </c>
      <c r="D48" cm="1">
        <f t="array" ref="D48">fInterpolate(C48,$B$34:$B$39,$A$34:$A$39)</f>
        <v>4.6011111111111109</v>
      </c>
      <c r="E48">
        <f t="shared" si="0"/>
        <v>5</v>
      </c>
      <c r="L48" t="s">
        <v>20</v>
      </c>
      <c r="M48" t="s">
        <v>43</v>
      </c>
      <c r="O48" t="s">
        <v>20</v>
      </c>
    </row>
    <row r="49" spans="1:26" x14ac:dyDescent="0.3">
      <c r="A49">
        <v>9</v>
      </c>
      <c r="B49">
        <v>308</v>
      </c>
      <c r="C49" s="52">
        <v>2952</v>
      </c>
      <c r="D49" cm="1">
        <f t="array" ref="D49">fInterpolate(C49,$B$34:$B$39,$A$34:$A$39)</f>
        <v>4.7722222222222221</v>
      </c>
      <c r="E49">
        <f t="shared" si="0"/>
        <v>5</v>
      </c>
      <c r="F49">
        <v>0</v>
      </c>
      <c r="G49">
        <v>0.2</v>
      </c>
      <c r="H49">
        <f>G49-F49</f>
        <v>0.2</v>
      </c>
      <c r="I49">
        <f>_xlfn.XLOOKUP(G49,$O$4:$O$8,$Q$4:$Q$8,,1)</f>
        <v>600</v>
      </c>
      <c r="J49">
        <f>I49*H49</f>
        <v>120</v>
      </c>
      <c r="K49">
        <f>K48+J49</f>
        <v>120</v>
      </c>
      <c r="L49" cm="1">
        <f t="array" ref="L49">INDEX($P$4:$P$8,ROUNDUP(G49,0))</f>
        <v>45278</v>
      </c>
      <c r="M49" cm="1">
        <f t="array" ref="M49">INDEX($L$4:$L$15,_xlfn.XLOOKUP(K49,$C$41:$C$50,$A$41:$A$50,,1))</f>
        <v>45325</v>
      </c>
      <c r="N49">
        <f>(L49-M49)</f>
        <v>-47</v>
      </c>
      <c r="O49" cm="1">
        <f t="array" ref="O49:O62">ROUNDUP(G49:G62,0)</f>
        <v>1</v>
      </c>
      <c r="P49">
        <f>_xlfn.XLOOKUP(K49,$C$41:$C$50,$A$41:$A$50,,1)</f>
        <v>1</v>
      </c>
      <c r="Q49">
        <f>N49*J49</f>
        <v>-5640</v>
      </c>
      <c r="R49">
        <f>Q49/_xlfn.XLOOKUP(P49,$A$41:$A$50,$B$41:$B$50)</f>
        <v>-47</v>
      </c>
      <c r="T49">
        <v>5640</v>
      </c>
    </row>
    <row r="50" spans="1:26" x14ac:dyDescent="0.3">
      <c r="A50">
        <v>10</v>
      </c>
      <c r="B50">
        <v>410</v>
      </c>
      <c r="C50" s="52">
        <v>3362</v>
      </c>
      <c r="D50" cm="1">
        <f t="array" ref="D50">fInterpolate(C50,$B$34:$B$39,$A$34:$A$39)</f>
        <v>5</v>
      </c>
      <c r="E50">
        <f t="shared" si="0"/>
        <v>5</v>
      </c>
      <c r="F50">
        <v>0.2</v>
      </c>
      <c r="G50">
        <v>0.79333333333333333</v>
      </c>
      <c r="H50">
        <f t="shared" ref="H50:H63" si="1">G50-F50</f>
        <v>0.59333333333333327</v>
      </c>
      <c r="I50">
        <f t="shared" ref="I50:I63" si="2">_xlfn.XLOOKUP(G50,$O$4:$O$8,$Q$4:$Q$8,,1)</f>
        <v>600</v>
      </c>
      <c r="J50">
        <f t="shared" ref="J50:J63" si="3">I50*H50</f>
        <v>355.99999999999994</v>
      </c>
      <c r="K50">
        <f t="shared" ref="K50:K62" si="4">K49+J50</f>
        <v>475.99999999999994</v>
      </c>
      <c r="L50" cm="1">
        <f t="array" ref="L50">INDEX($P$4:$P$8,ROUNDUP(G50,0))</f>
        <v>45278</v>
      </c>
      <c r="M50" cm="1">
        <f t="array" ref="M50">INDEX($L$4:$L$15,_xlfn.XLOOKUP(K50,$C$41:$C$50,$A$41:$A$50,,1))</f>
        <v>45338</v>
      </c>
      <c r="N50">
        <f t="shared" ref="N50:N63" si="5">(L50-M50)</f>
        <v>-60</v>
      </c>
      <c r="O50">
        <v>1</v>
      </c>
      <c r="P50">
        <f t="shared" ref="P50:P63" si="6">_xlfn.XLOOKUP(K50,$C$41:$C$50,$A$41:$A$50,,1)</f>
        <v>2</v>
      </c>
      <c r="Q50">
        <f>N50*J50</f>
        <v>-21359.999999999996</v>
      </c>
      <c r="R50">
        <f t="shared" ref="R50:R62" si="7">Q50/_xlfn.XLOOKUP(P50,$A$41:$A$50,$B$41:$B$50)</f>
        <v>-59.999999999999993</v>
      </c>
      <c r="T50">
        <v>21360</v>
      </c>
    </row>
    <row r="51" spans="1:26" x14ac:dyDescent="0.3">
      <c r="A51">
        <v>11</v>
      </c>
      <c r="B51">
        <v>491</v>
      </c>
      <c r="C51" s="52">
        <v>3853</v>
      </c>
      <c r="D51" t="e" cm="1">
        <f t="array" ref="D51">fInterpolate(C51,$B$34:$B$39,$A$34:$A$39)</f>
        <v>#N/A</v>
      </c>
      <c r="F51">
        <v>0.79333333333333333</v>
      </c>
      <c r="G51">
        <v>1</v>
      </c>
      <c r="H51">
        <f t="shared" si="1"/>
        <v>0.20666666666666667</v>
      </c>
      <c r="I51">
        <f t="shared" si="2"/>
        <v>600</v>
      </c>
      <c r="J51">
        <f t="shared" si="3"/>
        <v>124</v>
      </c>
      <c r="K51">
        <f t="shared" si="4"/>
        <v>600</v>
      </c>
      <c r="L51" cm="1">
        <f t="array" ref="L51">INDEX($P$4:$P$8,ROUNDUP(G51,0))</f>
        <v>45278</v>
      </c>
      <c r="M51" cm="1">
        <f t="array" ref="M51">INDEX($L$4:$L$15,_xlfn.XLOOKUP(K51,$C$41:$C$50,$A$41:$A$50,,1))</f>
        <v>45341</v>
      </c>
      <c r="N51">
        <f t="shared" si="5"/>
        <v>-63</v>
      </c>
      <c r="O51">
        <v>1</v>
      </c>
      <c r="P51">
        <f t="shared" si="6"/>
        <v>3</v>
      </c>
      <c r="Q51">
        <f>N51*J51</f>
        <v>-7812</v>
      </c>
      <c r="R51">
        <f t="shared" si="7"/>
        <v>-25.03846153846154</v>
      </c>
      <c r="T51">
        <v>14486</v>
      </c>
    </row>
    <row r="52" spans="1:26" x14ac:dyDescent="0.3">
      <c r="A52">
        <v>12</v>
      </c>
      <c r="B52">
        <v>50</v>
      </c>
      <c r="C52" s="52">
        <v>3903</v>
      </c>
      <c r="D52" t="e" cm="1">
        <f t="array" ref="D52">fInterpolate(C52,$B$34:$B$39,$A$34:$A$39)</f>
        <v>#N/A</v>
      </c>
      <c r="F52">
        <v>1</v>
      </c>
      <c r="G52">
        <v>2</v>
      </c>
      <c r="H52">
        <f t="shared" si="1"/>
        <v>1</v>
      </c>
      <c r="I52">
        <f t="shared" si="2"/>
        <v>50</v>
      </c>
      <c r="J52">
        <f t="shared" si="3"/>
        <v>50</v>
      </c>
      <c r="K52">
        <f t="shared" si="4"/>
        <v>650</v>
      </c>
      <c r="L52" cm="1">
        <f t="array" ref="L52">INDEX($P$4:$P$8,ROUNDUP(G52,0))</f>
        <v>45286</v>
      </c>
      <c r="M52" cm="1">
        <f t="array" ref="M52">INDEX($L$4:$L$15,_xlfn.XLOOKUP(K52,$C$41:$C$50,$A$41:$A$50,,1))</f>
        <v>45341</v>
      </c>
      <c r="N52">
        <f t="shared" si="5"/>
        <v>-55</v>
      </c>
      <c r="O52">
        <v>2</v>
      </c>
      <c r="P52">
        <f t="shared" si="6"/>
        <v>3</v>
      </c>
      <c r="Q52">
        <f>N52*J52</f>
        <v>-2750</v>
      </c>
      <c r="R52">
        <f t="shared" si="7"/>
        <v>-8.8141025641025639</v>
      </c>
      <c r="T52">
        <v>17480</v>
      </c>
      <c r="V52" s="51">
        <f>SUM(J49:J54)</f>
        <v>788.00000000000011</v>
      </c>
    </row>
    <row r="53" spans="1:26" x14ac:dyDescent="0.3">
      <c r="F53">
        <v>2</v>
      </c>
      <c r="G53">
        <v>3</v>
      </c>
      <c r="H53">
        <f t="shared" si="1"/>
        <v>1</v>
      </c>
      <c r="I53">
        <f t="shared" si="2"/>
        <v>112</v>
      </c>
      <c r="J53">
        <f t="shared" si="3"/>
        <v>112</v>
      </c>
      <c r="K53">
        <f t="shared" si="4"/>
        <v>762</v>
      </c>
      <c r="L53" cm="1">
        <f t="array" ref="L53">INDEX($P$4:$P$8,ROUNDUP(G53,0))</f>
        <v>45312</v>
      </c>
      <c r="M53" cm="1">
        <f t="array" ref="M53">INDEX($L$4:$L$15,_xlfn.XLOOKUP(K53,$C$41:$C$50,$A$41:$A$50,,1))</f>
        <v>45341</v>
      </c>
      <c r="N53">
        <f t="shared" si="5"/>
        <v>-29</v>
      </c>
      <c r="O53">
        <v>3</v>
      </c>
      <c r="P53">
        <f>_xlfn.XLOOKUP(K53,$C$41:$C$50,$A$41:$A$50,,1)</f>
        <v>3</v>
      </c>
      <c r="Q53">
        <f>N53*J53</f>
        <v>-3248</v>
      </c>
      <c r="R53">
        <f t="shared" si="7"/>
        <v>-10.410256410256411</v>
      </c>
      <c r="T53">
        <v>17882</v>
      </c>
    </row>
    <row r="54" spans="1:26" x14ac:dyDescent="0.3">
      <c r="B54">
        <f>0.00000000000001</f>
        <v>1E-14</v>
      </c>
      <c r="F54">
        <v>3</v>
      </c>
      <c r="G54">
        <v>3.0325000000000002</v>
      </c>
      <c r="H54">
        <f t="shared" si="1"/>
        <v>3.2500000000000195E-2</v>
      </c>
      <c r="I54">
        <f t="shared" si="2"/>
        <v>800</v>
      </c>
      <c r="J54">
        <f t="shared" si="3"/>
        <v>26.000000000000156</v>
      </c>
      <c r="K54">
        <f>K53+J54</f>
        <v>788.00000000000011</v>
      </c>
      <c r="L54" cm="1">
        <f t="array" ref="L54">INDEX($P$4:$P$8,ROUNDUP(G54,0))</f>
        <v>45315</v>
      </c>
      <c r="M54" cm="1">
        <f t="array" ref="M54">INDEX($L$4:$L$15,_xlfn.XLOOKUP(K54,$C$41:$C$50,$A$41:$A$50,,1))</f>
        <v>45355</v>
      </c>
      <c r="N54">
        <f t="shared" si="5"/>
        <v>-40</v>
      </c>
      <c r="O54">
        <v>4</v>
      </c>
      <c r="P54">
        <f>_xlfn.XLOOKUP(K54,$C$41:$C$50,$A$41:$A$50,,1)</f>
        <v>4</v>
      </c>
      <c r="Q54">
        <f>N54*J54</f>
        <v>-1040.0000000000064</v>
      </c>
      <c r="R54">
        <f t="shared" si="7"/>
        <v>-2.3798627002288475</v>
      </c>
      <c r="T54">
        <v>9804</v>
      </c>
    </row>
    <row r="55" spans="1:26" x14ac:dyDescent="0.3">
      <c r="F55">
        <v>3.0325000000000002</v>
      </c>
      <c r="G55">
        <v>3.5787499999999999</v>
      </c>
      <c r="H55">
        <f t="shared" si="1"/>
        <v>0.54624999999999968</v>
      </c>
      <c r="I55">
        <f t="shared" si="2"/>
        <v>800</v>
      </c>
      <c r="J55">
        <f t="shared" si="3"/>
        <v>436.99999999999977</v>
      </c>
      <c r="K55">
        <f t="shared" si="4"/>
        <v>1225</v>
      </c>
      <c r="L55" cm="1">
        <f t="array" ref="L55">INDEX($P$4:$P$8,ROUNDUP(G55,0))</f>
        <v>45315</v>
      </c>
      <c r="M55" cm="1">
        <f t="array" ref="M55">INDEX($L$4:$L$15,_xlfn.XLOOKUP(K55,$C$41:$C$50,$A$41:$A$50,,1))</f>
        <v>45355</v>
      </c>
      <c r="N55">
        <f t="shared" si="5"/>
        <v>-40</v>
      </c>
      <c r="O55">
        <v>4</v>
      </c>
      <c r="P55">
        <f t="shared" si="6"/>
        <v>4</v>
      </c>
      <c r="Q55">
        <f>N55*J55</f>
        <v>-17479.999999999993</v>
      </c>
      <c r="R55">
        <f t="shared" si="7"/>
        <v>-39.999999999999986</v>
      </c>
      <c r="T55">
        <v>15867</v>
      </c>
    </row>
    <row r="56" spans="1:26" x14ac:dyDescent="0.3">
      <c r="F56">
        <v>3.5787499999999999</v>
      </c>
      <c r="G56">
        <v>4</v>
      </c>
      <c r="H56">
        <f t="shared" si="1"/>
        <v>0.42125000000000012</v>
      </c>
      <c r="I56">
        <f t="shared" si="2"/>
        <v>800</v>
      </c>
      <c r="J56">
        <f t="shared" si="3"/>
        <v>337.00000000000011</v>
      </c>
      <c r="K56">
        <f t="shared" si="4"/>
        <v>1562</v>
      </c>
      <c r="L56" cm="1">
        <f t="array" ref="L56">INDEX($P$4:$P$8,ROUNDUP(G56,0))</f>
        <v>45315</v>
      </c>
      <c r="M56" cm="1">
        <f t="array" ref="M56">INDEX($L$4:$L$15,_xlfn.XLOOKUP(K56,$C$41:$C$50,$A$41:$A$50,,1))</f>
        <v>45364</v>
      </c>
      <c r="N56">
        <f t="shared" si="5"/>
        <v>-49</v>
      </c>
      <c r="O56">
        <v>4</v>
      </c>
      <c r="P56">
        <f t="shared" si="6"/>
        <v>5</v>
      </c>
      <c r="Q56">
        <f>N56*J56</f>
        <v>-16513.000000000007</v>
      </c>
      <c r="R56">
        <f t="shared" si="7"/>
        <v>-44.152406417112317</v>
      </c>
      <c r="T56">
        <v>20482</v>
      </c>
    </row>
    <row r="57" spans="1:26" x14ac:dyDescent="0.3">
      <c r="F57">
        <v>4</v>
      </c>
      <c r="G57">
        <v>4.0205555555555552</v>
      </c>
      <c r="H57">
        <f t="shared" si="1"/>
        <v>2.0555555555555216E-2</v>
      </c>
      <c r="I57">
        <f t="shared" si="2"/>
        <v>1800</v>
      </c>
      <c r="J57">
        <f t="shared" si="3"/>
        <v>36.999999999999389</v>
      </c>
      <c r="K57">
        <f t="shared" si="4"/>
        <v>1598.9999999999993</v>
      </c>
      <c r="L57" cm="1">
        <f t="array" ref="L57">INDEX($P$4:$P$8,ROUNDUP(G57,0))</f>
        <v>45327</v>
      </c>
      <c r="M57" cm="1">
        <f t="array" ref="M57">INDEX($L$4:$L$15,_xlfn.XLOOKUP(K57,$C$41:$C$50,$A$41:$A$50,,1))</f>
        <v>45364</v>
      </c>
      <c r="N57">
        <f t="shared" si="5"/>
        <v>-37</v>
      </c>
      <c r="O57">
        <v>5</v>
      </c>
      <c r="P57">
        <f t="shared" si="6"/>
        <v>5</v>
      </c>
      <c r="Q57">
        <f>N57*J57</f>
        <v>-1368.9999999999775</v>
      </c>
      <c r="R57">
        <f t="shared" si="7"/>
        <v>-3.6604278074865708</v>
      </c>
      <c r="T57">
        <v>17556</v>
      </c>
    </row>
    <row r="58" spans="1:26" x14ac:dyDescent="0.3">
      <c r="B58" t="b" cm="1">
        <f t="array" ref="B58:B67">K53&lt;=$C$41:$C$50</f>
        <v>0</v>
      </c>
      <c r="F58">
        <v>4.0205555555555552</v>
      </c>
      <c r="G58">
        <v>4.1638888888888888</v>
      </c>
      <c r="H58">
        <f t="shared" si="1"/>
        <v>0.14333333333333353</v>
      </c>
      <c r="I58">
        <f t="shared" si="2"/>
        <v>1800</v>
      </c>
      <c r="J58">
        <f t="shared" si="3"/>
        <v>258.00000000000034</v>
      </c>
      <c r="K58">
        <f t="shared" si="4"/>
        <v>1856.9999999999995</v>
      </c>
      <c r="L58" cm="1">
        <f t="array" ref="L58">INDEX($P$4:$P$8,ROUNDUP(G58,0))</f>
        <v>45327</v>
      </c>
      <c r="M58" cm="1">
        <f t="array" ref="M58">INDEX($L$4:$L$15,_xlfn.XLOOKUP(K58,$C$41:$C$50,$A$41:$A$50,,1))</f>
        <v>45365</v>
      </c>
      <c r="N58">
        <f t="shared" si="5"/>
        <v>-38</v>
      </c>
      <c r="O58">
        <v>5</v>
      </c>
      <c r="P58">
        <f t="shared" si="6"/>
        <v>6</v>
      </c>
      <c r="Q58">
        <f>N58*J58</f>
        <v>-9804.0000000000127</v>
      </c>
      <c r="R58">
        <f t="shared" si="7"/>
        <v>-38.00000000000005</v>
      </c>
      <c r="T58">
        <v>28700</v>
      </c>
    </row>
    <row r="59" spans="1:26" x14ac:dyDescent="0.3">
      <c r="B59" t="b">
        <v>0</v>
      </c>
      <c r="F59">
        <v>4.1638888888888888</v>
      </c>
      <c r="G59">
        <v>4.3688888888888888</v>
      </c>
      <c r="H59">
        <f t="shared" si="1"/>
        <v>0.20500000000000007</v>
      </c>
      <c r="I59">
        <f t="shared" si="2"/>
        <v>1800</v>
      </c>
      <c r="J59">
        <f t="shared" si="3"/>
        <v>369.00000000000011</v>
      </c>
      <c r="K59">
        <f t="shared" si="4"/>
        <v>2225.9999999999995</v>
      </c>
      <c r="L59" cm="1">
        <f t="array" ref="L59">INDEX($P$4:$P$8,ROUNDUP(G59,0))</f>
        <v>45327</v>
      </c>
      <c r="M59" cm="1">
        <f t="array" ref="M59">INDEX($L$4:$L$15,_xlfn.XLOOKUP(K59,$C$41:$C$50,$A$41:$A$50,,1))</f>
        <v>45370</v>
      </c>
      <c r="N59">
        <f t="shared" si="5"/>
        <v>-43</v>
      </c>
      <c r="O59">
        <v>5</v>
      </c>
      <c r="P59">
        <f t="shared" si="6"/>
        <v>7</v>
      </c>
      <c r="Q59">
        <f>N59*J59</f>
        <v>-15867.000000000005</v>
      </c>
      <c r="R59">
        <f t="shared" si="7"/>
        <v>-43.000000000000014</v>
      </c>
    </row>
    <row r="60" spans="1:26" x14ac:dyDescent="0.3">
      <c r="B60" t="b">
        <v>1</v>
      </c>
      <c r="F60">
        <v>4.3688888888888888</v>
      </c>
      <c r="G60">
        <v>4.6011111111111109</v>
      </c>
      <c r="H60">
        <f t="shared" si="1"/>
        <v>0.23222222222222211</v>
      </c>
      <c r="I60">
        <f t="shared" si="2"/>
        <v>1800</v>
      </c>
      <c r="J60">
        <f t="shared" si="3"/>
        <v>417.99999999999977</v>
      </c>
      <c r="K60">
        <f t="shared" si="4"/>
        <v>2643.9999999999991</v>
      </c>
      <c r="L60" cm="1">
        <f t="array" ref="L60">INDEX($P$4:$P$8,ROUNDUP(G60,0))</f>
        <v>45327</v>
      </c>
      <c r="M60" cm="1">
        <f t="array" ref="M60">INDEX($L$4:$L$15,_xlfn.XLOOKUP(K60,$C$41:$C$50,$A$41:$A$50,,1))</f>
        <v>45376</v>
      </c>
      <c r="N60">
        <f t="shared" si="5"/>
        <v>-49</v>
      </c>
      <c r="O60">
        <v>5</v>
      </c>
      <c r="P60">
        <f t="shared" si="6"/>
        <v>8</v>
      </c>
      <c r="Q60">
        <f>N60*J60</f>
        <v>-20481.999999999989</v>
      </c>
      <c r="R60">
        <f t="shared" si="7"/>
        <v>-48.999999999999972</v>
      </c>
      <c r="T60" t="str" cm="1">
        <f t="array" ref="T60:Z71">_xlfn.PIVOTBY(P49:P62,_xlfn.ANCHORARRAY(O49),Q49:Q62,_xleta.SUM)</f>
        <v/>
      </c>
      <c r="U60">
        <v>1</v>
      </c>
      <c r="V60">
        <v>2</v>
      </c>
      <c r="W60">
        <v>3</v>
      </c>
      <c r="X60">
        <v>4</v>
      </c>
      <c r="Y60">
        <v>5</v>
      </c>
      <c r="Z60" t="str">
        <v>Total</v>
      </c>
    </row>
    <row r="61" spans="1:26" x14ac:dyDescent="0.3">
      <c r="B61" t="b">
        <v>1</v>
      </c>
      <c r="F61">
        <v>4.6011111111111109</v>
      </c>
      <c r="G61">
        <v>4.7722222222222221</v>
      </c>
      <c r="H61">
        <f t="shared" si="1"/>
        <v>0.17111111111111121</v>
      </c>
      <c r="I61">
        <f t="shared" si="2"/>
        <v>1800</v>
      </c>
      <c r="J61">
        <f t="shared" si="3"/>
        <v>308.00000000000017</v>
      </c>
      <c r="K61">
        <f t="shared" si="4"/>
        <v>2951.9999999999991</v>
      </c>
      <c r="L61" cm="1">
        <f t="array" ref="L61">INDEX($P$4:$P$8,ROUNDUP(G61,0))</f>
        <v>45327</v>
      </c>
      <c r="M61" cm="1">
        <f t="array" ref="M61">INDEX($L$4:$L$15,_xlfn.XLOOKUP(K61,$C$41:$C$50,$A$41:$A$50,,1))</f>
        <v>45384</v>
      </c>
      <c r="N61">
        <f t="shared" si="5"/>
        <v>-57</v>
      </c>
      <c r="O61">
        <v>5</v>
      </c>
      <c r="P61">
        <f t="shared" si="6"/>
        <v>9</v>
      </c>
      <c r="Q61">
        <f>N61*J61</f>
        <v>-17556.000000000011</v>
      </c>
      <c r="R61">
        <f t="shared" si="7"/>
        <v>-57.000000000000036</v>
      </c>
      <c r="T61">
        <v>1</v>
      </c>
      <c r="U61">
        <v>-5640</v>
      </c>
      <c r="V61" t="str">
        <v/>
      </c>
      <c r="W61" t="str">
        <v/>
      </c>
      <c r="X61" t="str">
        <v/>
      </c>
      <c r="Y61" t="str">
        <v/>
      </c>
      <c r="Z61">
        <v>-5640</v>
      </c>
    </row>
    <row r="62" spans="1:26" x14ac:dyDescent="0.3">
      <c r="B62" t="b">
        <v>1</v>
      </c>
      <c r="F62">
        <v>4.7722222222222221</v>
      </c>
      <c r="G62">
        <v>5</v>
      </c>
      <c r="H62">
        <f t="shared" si="1"/>
        <v>0.22777777777777786</v>
      </c>
      <c r="I62">
        <f t="shared" si="2"/>
        <v>1800</v>
      </c>
      <c r="J62">
        <f t="shared" si="3"/>
        <v>410.00000000000011</v>
      </c>
      <c r="K62">
        <f t="shared" si="4"/>
        <v>3361.9999999999991</v>
      </c>
      <c r="L62" cm="1">
        <f t="array" ref="L62">INDEX($P$4:$P$8,ROUNDUP(G62,0))</f>
        <v>45327</v>
      </c>
      <c r="M62" cm="1">
        <f t="array" ref="M62">INDEX($L$4:$L$15,_xlfn.XLOOKUP(K62,$C$41:$C$50,$A$41:$A$50,,1))</f>
        <v>45397</v>
      </c>
      <c r="N62">
        <f t="shared" si="5"/>
        <v>-70</v>
      </c>
      <c r="O62">
        <v>5</v>
      </c>
      <c r="P62">
        <f t="shared" si="6"/>
        <v>10</v>
      </c>
      <c r="Q62">
        <f>N62*J62</f>
        <v>-28700.000000000007</v>
      </c>
      <c r="R62">
        <f t="shared" si="7"/>
        <v>-70.000000000000014</v>
      </c>
      <c r="T62">
        <v>2</v>
      </c>
      <c r="U62">
        <v>-21359.999999999996</v>
      </c>
      <c r="V62" t="str">
        <v/>
      </c>
      <c r="W62" t="str">
        <v/>
      </c>
      <c r="X62" t="str">
        <v/>
      </c>
      <c r="Y62" t="str">
        <v/>
      </c>
      <c r="Z62">
        <v>-21359.999999999996</v>
      </c>
    </row>
    <row r="63" spans="1:26" x14ac:dyDescent="0.3">
      <c r="B63" t="b">
        <v>1</v>
      </c>
      <c r="F63">
        <v>5</v>
      </c>
      <c r="G63">
        <v>6</v>
      </c>
      <c r="H63">
        <f t="shared" si="1"/>
        <v>1</v>
      </c>
      <c r="I63" t="e">
        <f t="shared" si="2"/>
        <v>#N/A</v>
      </c>
      <c r="J63" t="e">
        <f t="shared" si="3"/>
        <v>#N/A</v>
      </c>
      <c r="K63" t="e" cm="1">
        <f t="array" ref="K63">INDEX($P$4:$P$8,ROUNDUP(G63,0))</f>
        <v>#REF!</v>
      </c>
      <c r="M63" t="e" cm="1">
        <f t="array" ref="M63">INDEX($L$4:$L$15,_xlfn.XLOOKUP(K63,$C$41:$C$50,$A$41:$A$50,,1))</f>
        <v>#REF!</v>
      </c>
      <c r="N63" t="e">
        <f t="shared" si="5"/>
        <v>#REF!</v>
      </c>
      <c r="P63" t="e">
        <f t="shared" si="6"/>
        <v>#REF!</v>
      </c>
      <c r="T63">
        <v>3</v>
      </c>
      <c r="U63">
        <v>-7812</v>
      </c>
      <c r="V63">
        <v>-2750</v>
      </c>
      <c r="W63">
        <v>-3248</v>
      </c>
      <c r="X63" t="str">
        <v/>
      </c>
      <c r="Y63" t="str">
        <v/>
      </c>
      <c r="Z63">
        <v>-13810</v>
      </c>
    </row>
    <row r="64" spans="1:26" x14ac:dyDescent="0.3">
      <c r="B64" t="b">
        <v>1</v>
      </c>
      <c r="T64">
        <v>4</v>
      </c>
      <c r="U64" t="str">
        <v/>
      </c>
      <c r="V64" t="str">
        <v/>
      </c>
      <c r="W64" t="str">
        <v/>
      </c>
      <c r="X64">
        <v>-18520</v>
      </c>
      <c r="Y64" t="str">
        <v/>
      </c>
      <c r="Z64">
        <v>-18520</v>
      </c>
    </row>
    <row r="65" spans="2:26" x14ac:dyDescent="0.3">
      <c r="B65" t="b">
        <v>1</v>
      </c>
      <c r="T65">
        <v>5</v>
      </c>
      <c r="U65" t="str">
        <v/>
      </c>
      <c r="V65" t="str">
        <v/>
      </c>
      <c r="W65" t="str">
        <v/>
      </c>
      <c r="X65">
        <v>-16513.000000000007</v>
      </c>
      <c r="Y65">
        <v>-1368.9999999999775</v>
      </c>
      <c r="Z65">
        <v>-17881.999999999985</v>
      </c>
    </row>
    <row r="66" spans="2:26" x14ac:dyDescent="0.3">
      <c r="B66" t="b">
        <v>1</v>
      </c>
      <c r="T66">
        <v>6</v>
      </c>
      <c r="U66" t="str">
        <v/>
      </c>
      <c r="V66" t="str">
        <v/>
      </c>
      <c r="W66" t="str">
        <v/>
      </c>
      <c r="X66" t="str">
        <v/>
      </c>
      <c r="Y66">
        <v>-9804.0000000000127</v>
      </c>
      <c r="Z66">
        <v>-9804.0000000000127</v>
      </c>
    </row>
    <row r="67" spans="2:26" x14ac:dyDescent="0.3">
      <c r="B67" t="b">
        <v>1</v>
      </c>
      <c r="T67">
        <v>7</v>
      </c>
      <c r="U67" t="str">
        <v/>
      </c>
      <c r="V67" t="str">
        <v/>
      </c>
      <c r="W67" t="str">
        <v/>
      </c>
      <c r="X67" t="str">
        <v/>
      </c>
      <c r="Y67">
        <v>-15867.000000000005</v>
      </c>
      <c r="Z67">
        <v>-15867.000000000005</v>
      </c>
    </row>
    <row r="68" spans="2:26" x14ac:dyDescent="0.3">
      <c r="T68">
        <v>8</v>
      </c>
      <c r="U68" t="str">
        <v/>
      </c>
      <c r="V68" t="str">
        <v/>
      </c>
      <c r="W68" t="str">
        <v/>
      </c>
      <c r="X68" t="str">
        <v/>
      </c>
      <c r="Y68">
        <v>-20481.999999999989</v>
      </c>
      <c r="Z68">
        <v>-20481.999999999989</v>
      </c>
    </row>
    <row r="69" spans="2:26" x14ac:dyDescent="0.3">
      <c r="T69">
        <v>9</v>
      </c>
      <c r="U69" t="str">
        <v/>
      </c>
      <c r="V69" t="str">
        <v/>
      </c>
      <c r="W69" t="str">
        <v/>
      </c>
      <c r="X69" t="str">
        <v/>
      </c>
      <c r="Y69">
        <v>-17556.000000000011</v>
      </c>
      <c r="Z69">
        <v>-17556.000000000011</v>
      </c>
    </row>
    <row r="70" spans="2:26" x14ac:dyDescent="0.3">
      <c r="T70">
        <v>10</v>
      </c>
      <c r="U70" t="str">
        <v/>
      </c>
      <c r="V70" t="str">
        <v/>
      </c>
      <c r="W70" t="str">
        <v/>
      </c>
      <c r="X70" t="str">
        <v/>
      </c>
      <c r="Y70">
        <v>-28700.000000000007</v>
      </c>
      <c r="Z70">
        <v>-28700.000000000007</v>
      </c>
    </row>
    <row r="71" spans="2:26" x14ac:dyDescent="0.3">
      <c r="T71" t="str">
        <v>Total</v>
      </c>
      <c r="U71">
        <v>-34812</v>
      </c>
      <c r="V71">
        <v>-2750</v>
      </c>
      <c r="W71">
        <v>-3248</v>
      </c>
      <c r="X71">
        <v>-35033.000000000007</v>
      </c>
      <c r="Y71">
        <v>-93778</v>
      </c>
      <c r="Z71">
        <v>-169620.99999999997</v>
      </c>
    </row>
  </sheetData>
  <sortState xmlns:xlrd2="http://schemas.microsoft.com/office/spreadsheetml/2017/richdata2" ref="F50:F63">
    <sortCondition ref="F50:F63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9D42-A49A-4ACD-8D2C-1C755F1F4402}">
  <dimension ref="A1:AI1000"/>
  <sheetViews>
    <sheetView topLeftCell="F1" workbookViewId="0">
      <selection activeCell="W48" sqref="W48:W52"/>
    </sheetView>
  </sheetViews>
  <sheetFormatPr defaultColWidth="13.7265625" defaultRowHeight="15" customHeight="1" x14ac:dyDescent="0.35"/>
  <cols>
    <col min="1" max="1" width="3.26953125" style="13" customWidth="1"/>
    <col min="2" max="2" width="4.453125" style="13" customWidth="1"/>
    <col min="3" max="3" width="13.26953125" style="13" customWidth="1"/>
    <col min="4" max="4" width="12.6328125" style="13" customWidth="1"/>
    <col min="5" max="5" width="9.36328125" style="13" customWidth="1"/>
    <col min="6" max="6" width="16.453125" style="13" customWidth="1"/>
    <col min="7" max="7" width="11.36328125" style="13" customWidth="1"/>
    <col min="8" max="8" width="11.90625" style="13" customWidth="1"/>
    <col min="9" max="9" width="10.453125" style="13" customWidth="1"/>
    <col min="10" max="12" width="11.90625" style="13" customWidth="1"/>
    <col min="13" max="14" width="11.453125" style="13" customWidth="1"/>
    <col min="15" max="27" width="9.36328125" style="13" customWidth="1"/>
    <col min="28" max="16384" width="13.7265625" style="13"/>
  </cols>
  <sheetData>
    <row r="1" spans="1:27" ht="22.5" customHeight="1" x14ac:dyDescent="0.35">
      <c r="A1" s="7"/>
      <c r="B1" s="8" t="s">
        <v>32</v>
      </c>
      <c r="C1" s="9"/>
      <c r="D1" s="9"/>
      <c r="E1" s="7"/>
      <c r="F1" s="8" t="s">
        <v>33</v>
      </c>
      <c r="G1" s="9"/>
      <c r="H1" s="9"/>
      <c r="I1" s="7"/>
      <c r="J1" s="7"/>
      <c r="K1" s="10" t="s">
        <v>34</v>
      </c>
      <c r="L1" s="11"/>
      <c r="M1" s="7"/>
      <c r="N1" s="7"/>
      <c r="O1" s="7"/>
      <c r="P1" s="12" t="s">
        <v>35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3.5" customHeight="1" x14ac:dyDescent="0.35">
      <c r="A2" s="14"/>
      <c r="B2" s="15" t="s">
        <v>5</v>
      </c>
      <c r="C2" s="15" t="s">
        <v>6</v>
      </c>
      <c r="D2" s="15" t="s">
        <v>7</v>
      </c>
      <c r="E2" s="14"/>
      <c r="F2" s="16" t="s">
        <v>5</v>
      </c>
      <c r="G2" s="17" t="s">
        <v>6</v>
      </c>
      <c r="H2" s="18" t="s">
        <v>20</v>
      </c>
      <c r="I2" s="14"/>
      <c r="J2" s="14"/>
      <c r="K2" s="19" t="s">
        <v>36</v>
      </c>
      <c r="L2" s="20" t="s">
        <v>37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3.5" customHeight="1" x14ac:dyDescent="0.35">
      <c r="A3" s="14">
        <v>1</v>
      </c>
      <c r="B3" s="21" t="s">
        <v>8</v>
      </c>
      <c r="C3" s="21">
        <v>45325</v>
      </c>
      <c r="D3" s="22">
        <v>120</v>
      </c>
      <c r="E3" s="14">
        <v>1</v>
      </c>
      <c r="F3" s="23" t="s">
        <v>21</v>
      </c>
      <c r="G3" s="24">
        <v>45278</v>
      </c>
      <c r="H3" s="25">
        <v>600</v>
      </c>
      <c r="I3" s="14"/>
      <c r="J3" s="14"/>
      <c r="K3" s="26" t="s">
        <v>8</v>
      </c>
      <c r="L3" s="27">
        <v>-47</v>
      </c>
      <c r="M3" s="14"/>
      <c r="N3" s="14"/>
      <c r="O3" s="14">
        <v>-47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3.5" customHeight="1" x14ac:dyDescent="0.35">
      <c r="A4" s="14">
        <v>2</v>
      </c>
      <c r="B4" s="21" t="s">
        <v>9</v>
      </c>
      <c r="C4" s="28">
        <v>45338</v>
      </c>
      <c r="D4" s="29">
        <v>356</v>
      </c>
      <c r="E4" s="14">
        <v>2</v>
      </c>
      <c r="F4" s="23" t="s">
        <v>22</v>
      </c>
      <c r="G4" s="24">
        <v>45286</v>
      </c>
      <c r="H4" s="25">
        <v>50</v>
      </c>
      <c r="I4" s="14"/>
      <c r="J4" s="14"/>
      <c r="K4" s="26" t="s">
        <v>9</v>
      </c>
      <c r="L4" s="27">
        <v>-60</v>
      </c>
      <c r="M4" s="14"/>
      <c r="N4" s="14"/>
      <c r="O4" s="14">
        <v>-59.999999999999993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3.5" customHeight="1" x14ac:dyDescent="0.35">
      <c r="A5" s="14">
        <v>3</v>
      </c>
      <c r="B5" s="21" t="s">
        <v>10</v>
      </c>
      <c r="C5" s="28">
        <v>45341</v>
      </c>
      <c r="D5" s="29">
        <v>312</v>
      </c>
      <c r="E5" s="14">
        <v>3</v>
      </c>
      <c r="F5" s="23" t="s">
        <v>23</v>
      </c>
      <c r="G5" s="24">
        <v>45312</v>
      </c>
      <c r="H5" s="25">
        <v>112</v>
      </c>
      <c r="I5" s="14"/>
      <c r="J5" s="14"/>
      <c r="K5" s="26" t="s">
        <v>10</v>
      </c>
      <c r="L5" s="27">
        <v>-46.429487179487182</v>
      </c>
      <c r="M5" s="14"/>
      <c r="N5" s="14"/>
      <c r="O5" s="14">
        <v>-44.262820512820511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3.5" customHeight="1" x14ac:dyDescent="0.35">
      <c r="A6" s="14">
        <v>4</v>
      </c>
      <c r="B6" s="21" t="s">
        <v>11</v>
      </c>
      <c r="C6" s="28">
        <v>45355</v>
      </c>
      <c r="D6" s="29">
        <v>437</v>
      </c>
      <c r="E6" s="14">
        <v>4</v>
      </c>
      <c r="F6" s="23" t="s">
        <v>24</v>
      </c>
      <c r="G6" s="24">
        <v>45315</v>
      </c>
      <c r="H6" s="25">
        <v>800</v>
      </c>
      <c r="I6" s="14"/>
      <c r="J6" s="14"/>
      <c r="K6" s="26" t="s">
        <v>11</v>
      </c>
      <c r="L6" s="27">
        <v>-40</v>
      </c>
      <c r="M6" s="14"/>
      <c r="N6" s="14"/>
      <c r="O6" s="14">
        <v>-42.379862700228834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3.5" customHeight="1" x14ac:dyDescent="0.35">
      <c r="A7" s="14">
        <v>5</v>
      </c>
      <c r="B7" s="21" t="s">
        <v>12</v>
      </c>
      <c r="C7" s="28">
        <v>45364</v>
      </c>
      <c r="D7" s="29">
        <v>374</v>
      </c>
      <c r="E7" s="14">
        <v>5</v>
      </c>
      <c r="F7" s="30" t="s">
        <v>25</v>
      </c>
      <c r="G7" s="31">
        <v>45327</v>
      </c>
      <c r="H7" s="32">
        <v>1800</v>
      </c>
      <c r="I7" s="14"/>
      <c r="J7" s="14"/>
      <c r="K7" s="26" t="s">
        <v>12</v>
      </c>
      <c r="L7" s="27">
        <v>-47.81283422459893</v>
      </c>
      <c r="M7" s="14"/>
      <c r="N7" s="14"/>
      <c r="O7" s="14">
        <v>-47.812834224598895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3.5" customHeight="1" x14ac:dyDescent="0.35">
      <c r="A8" s="14">
        <v>6</v>
      </c>
      <c r="B8" s="21" t="s">
        <v>13</v>
      </c>
      <c r="C8" s="28">
        <v>45365</v>
      </c>
      <c r="D8" s="29">
        <v>258</v>
      </c>
      <c r="E8" s="14"/>
      <c r="F8" s="14"/>
      <c r="G8" s="14"/>
      <c r="H8" s="14"/>
      <c r="I8" s="14"/>
      <c r="J8" s="14"/>
      <c r="K8" s="26" t="s">
        <v>13</v>
      </c>
      <c r="L8" s="27">
        <v>-38</v>
      </c>
      <c r="M8" s="14"/>
      <c r="N8" s="14"/>
      <c r="O8" s="14">
        <v>-38.00000000000005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3.5" customHeight="1" x14ac:dyDescent="0.35">
      <c r="A9" s="14">
        <v>7</v>
      </c>
      <c r="B9" s="21" t="s">
        <v>14</v>
      </c>
      <c r="C9" s="28">
        <v>45370</v>
      </c>
      <c r="D9" s="29">
        <v>369</v>
      </c>
      <c r="E9" s="14"/>
      <c r="F9" s="14"/>
      <c r="G9" s="14"/>
      <c r="H9" s="14"/>
      <c r="I9" s="14"/>
      <c r="J9" s="14"/>
      <c r="K9" s="26" t="s">
        <v>14</v>
      </c>
      <c r="L9" s="27">
        <v>-43</v>
      </c>
      <c r="M9" s="14"/>
      <c r="N9" s="14"/>
      <c r="O9" s="14">
        <v>-43.000000000000014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3.5" customHeight="1" x14ac:dyDescent="0.35">
      <c r="A10" s="14">
        <v>8</v>
      </c>
      <c r="B10" s="21" t="s">
        <v>15</v>
      </c>
      <c r="C10" s="28">
        <v>45376</v>
      </c>
      <c r="D10" s="29">
        <v>418</v>
      </c>
      <c r="E10" s="14"/>
      <c r="F10" s="14"/>
      <c r="G10" s="14"/>
      <c r="H10" s="14"/>
      <c r="I10" s="14"/>
      <c r="J10" s="14"/>
      <c r="K10" s="26" t="s">
        <v>15</v>
      </c>
      <c r="L10" s="27">
        <v>-49</v>
      </c>
      <c r="M10" s="14"/>
      <c r="N10" s="14"/>
      <c r="O10" s="14">
        <v>-48.999999999999972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3.5" customHeight="1" x14ac:dyDescent="0.35">
      <c r="A11" s="14">
        <v>9</v>
      </c>
      <c r="B11" s="21" t="s">
        <v>16</v>
      </c>
      <c r="C11" s="28">
        <v>45384</v>
      </c>
      <c r="D11" s="29">
        <v>308</v>
      </c>
      <c r="E11" s="14"/>
      <c r="F11" s="14"/>
      <c r="G11" s="14"/>
      <c r="H11" s="14"/>
      <c r="I11" s="14"/>
      <c r="J11" s="14"/>
      <c r="K11" s="26" t="s">
        <v>16</v>
      </c>
      <c r="L11" s="27">
        <v>-57</v>
      </c>
      <c r="M11" s="14"/>
      <c r="N11" s="14"/>
      <c r="O11" s="14">
        <v>-57.000000000000036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3.5" customHeight="1" x14ac:dyDescent="0.35">
      <c r="A12" s="14">
        <v>10</v>
      </c>
      <c r="B12" s="21" t="s">
        <v>17</v>
      </c>
      <c r="C12" s="28">
        <v>45397</v>
      </c>
      <c r="D12" s="29">
        <v>410</v>
      </c>
      <c r="E12" s="14"/>
      <c r="F12" s="14"/>
      <c r="G12" s="33"/>
      <c r="H12" s="14"/>
      <c r="I12" s="14"/>
      <c r="J12" s="14"/>
      <c r="K12" s="26" t="s">
        <v>17</v>
      </c>
      <c r="L12" s="27">
        <v>-70</v>
      </c>
      <c r="M12" s="14"/>
      <c r="N12" s="14"/>
      <c r="O12" s="14">
        <v>-70.000000000000014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13.5" customHeight="1" x14ac:dyDescent="0.35">
      <c r="A13" s="14">
        <v>11</v>
      </c>
      <c r="B13" s="21" t="s">
        <v>18</v>
      </c>
      <c r="C13" s="28">
        <v>45406</v>
      </c>
      <c r="D13" s="29">
        <v>491</v>
      </c>
      <c r="E13" s="14"/>
      <c r="F13" s="14"/>
      <c r="G13" s="33"/>
      <c r="H13" s="14"/>
      <c r="I13" s="14"/>
      <c r="J13" s="14"/>
      <c r="K13" s="26" t="s">
        <v>18</v>
      </c>
      <c r="L13" s="27" t="s">
        <v>38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3.5" customHeight="1" x14ac:dyDescent="0.35">
      <c r="A14" s="14">
        <v>12</v>
      </c>
      <c r="B14" s="21" t="s">
        <v>19</v>
      </c>
      <c r="C14" s="28">
        <v>45409</v>
      </c>
      <c r="D14" s="29">
        <v>50</v>
      </c>
      <c r="E14" s="14"/>
      <c r="F14" s="14"/>
      <c r="G14" s="33"/>
      <c r="H14" s="14"/>
      <c r="I14" s="14"/>
      <c r="J14" s="14"/>
      <c r="K14" s="34" t="s">
        <v>19</v>
      </c>
      <c r="L14" s="35" t="s">
        <v>38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13.5" customHeight="1" x14ac:dyDescent="0.35">
      <c r="A15" s="14"/>
      <c r="B15" s="14"/>
      <c r="C15" s="14"/>
      <c r="D15" s="14"/>
      <c r="E15" s="14"/>
      <c r="F15" s="14"/>
      <c r="G15" s="3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3.5" customHeight="1" x14ac:dyDescent="0.35">
      <c r="A16" s="14"/>
      <c r="B16" s="36"/>
      <c r="C16" s="36"/>
      <c r="D16" s="14"/>
      <c r="E16" s="14"/>
      <c r="F16" s="14"/>
      <c r="G16" s="3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3.5" customHeight="1" x14ac:dyDescent="0.35">
      <c r="A17" s="14"/>
      <c r="B17" s="36"/>
      <c r="C17" s="36"/>
      <c r="D17" s="14"/>
      <c r="E17" s="14"/>
      <c r="F17" s="14"/>
      <c r="G17" s="3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3.5" customHeight="1" x14ac:dyDescent="0.35">
      <c r="A18" s="14"/>
      <c r="B18" s="36"/>
      <c r="C18" s="36"/>
      <c r="D18" s="14"/>
      <c r="E18" s="14"/>
      <c r="F18" s="14"/>
      <c r="G18" s="3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3.5" customHeight="1" x14ac:dyDescent="0.35">
      <c r="A19" s="14"/>
      <c r="B19" s="36"/>
      <c r="C19" s="37" t="s">
        <v>39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3.5" customHeight="1" x14ac:dyDescent="0.35">
      <c r="A20" s="14"/>
      <c r="B20" s="36"/>
      <c r="C20" s="36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3.5" customHeight="1" x14ac:dyDescent="0.35">
      <c r="A21" s="14"/>
      <c r="B21" s="36"/>
      <c r="C21" s="19" t="str" cm="1">
        <f t="array" aca="1" ref="C21:D33" ca="1">_xlfn.LET(
_xlpm.c, _xlfn.DROP(_xlfn.REDUCE("",B3:B14,_xlfn.LAMBDA(_xlpm.a,_xlpm.v,_xlfn.VSTACK(_xlpm.a,_xlfn.SEQUENCE(OFFSET(_xlpm.v,,2),1,RIGHT(_xlpm.v,LEN(_xlpm.v)-1)+0,0)))),1)+0,
_xlpm.p, _xlfn.EXPAND(_xlfn.DROP(_xlfn.REDUCE("",F3:F7,_xlfn.LAMBDA(_xlpm.a,_xlpm.v,_xlfn.VSTACK(_xlpm.a,_xlfn.SEQUENCE(OFFSET(_xlpm.v,,2),1,RIGHT(_xlpm.v,1)+0,0)))),1)+0,ROWS(_xlpm.c),1,-1),
_xlpm.z, _xlfn.LET(_xlpm.y,_xlfn.DROP(_xlfn.DROP(_xlfn.CHOOSECOLS(_xlfn.PIVOTBY(_xlpm.c,_xlpm.p,_xlpm.p,_xleta.COUNTA),3,4,5,6,7),-1),1),_xlfn.MAP(_xlpm.y,_xlfn.LAMBDA(_xlpm.x,IF(ISNUMBER(_xlpm.x),_xlpm.x,0)))),
_xlpm.q, -TRANSPOSE(C3:C14-TRANSPOSE(G3:G7)),
_xlfn.VSTACK(K2:L2,_xlfn.HSTACK(K3:K14,_xlfn.LET(_xlpm.yy,INDEX(MMULT(_xlpm.z,_xlpm.q),_xlfn.SEQUENCE(12),_xlfn.SEQUENCE(12))/D3:D14,IF(_xlpm.yy=0,"NP",_xlpm.yy))))
)</f>
        <v>Recipt ID</v>
      </c>
      <c r="D21" s="20" t="str">
        <f ca="1"/>
        <v>Duration</v>
      </c>
      <c r="E21" s="14"/>
      <c r="F21" s="14"/>
      <c r="G21" s="14"/>
      <c r="H21" s="14"/>
      <c r="I21" s="13" t="s">
        <v>0</v>
      </c>
      <c r="J21" s="13">
        <v>1</v>
      </c>
      <c r="L21" s="13" t="str" cm="1">
        <f t="array" ref="L21:M23">_xlfn.DROP(I21:J25,2)</f>
        <v>C</v>
      </c>
      <c r="M21" s="13">
        <v>3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3.5" customHeight="1" x14ac:dyDescent="0.35">
      <c r="A22" s="14"/>
      <c r="B22" s="36"/>
      <c r="C22" s="26" t="str">
        <f ca="1"/>
        <v>C1</v>
      </c>
      <c r="D22" s="27">
        <f ca="1"/>
        <v>-47</v>
      </c>
      <c r="E22" s="14"/>
      <c r="F22" s="14" t="b" cm="1">
        <f t="array" aca="1" ref="F22:G33" ca="1">C22:D33=K3:L14</f>
        <v>1</v>
      </c>
      <c r="G22" s="14" t="b">
        <f ca="1"/>
        <v>1</v>
      </c>
      <c r="H22" s="14"/>
      <c r="I22" s="13" t="s">
        <v>1</v>
      </c>
      <c r="J22" s="13">
        <v>2</v>
      </c>
      <c r="L22" s="13" t="str">
        <v>D</v>
      </c>
      <c r="M22" s="13">
        <v>4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3.5" customHeight="1" x14ac:dyDescent="0.35">
      <c r="A23" s="14"/>
      <c r="B23" s="36"/>
      <c r="C23" s="26" t="str">
        <f ca="1"/>
        <v>C2</v>
      </c>
      <c r="D23" s="27">
        <f ca="1"/>
        <v>-60</v>
      </c>
      <c r="E23" s="14"/>
      <c r="F23" s="14" t="b">
        <f ca="1"/>
        <v>1</v>
      </c>
      <c r="G23" s="14" t="b">
        <f ca="1"/>
        <v>1</v>
      </c>
      <c r="H23" s="14"/>
      <c r="I23" s="13" t="s">
        <v>2</v>
      </c>
      <c r="J23" s="13">
        <v>3</v>
      </c>
      <c r="L23" s="13" t="str">
        <v>E</v>
      </c>
      <c r="M23" s="13">
        <v>5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3.5" customHeight="1" x14ac:dyDescent="0.35">
      <c r="A24" s="14"/>
      <c r="B24" s="36"/>
      <c r="C24" s="26" t="str">
        <f ca="1"/>
        <v>C3</v>
      </c>
      <c r="D24" s="27">
        <f ca="1"/>
        <v>-46.429487179487182</v>
      </c>
      <c r="E24" s="14"/>
      <c r="F24" s="14" t="b">
        <f ca="1"/>
        <v>1</v>
      </c>
      <c r="G24" s="14" t="b">
        <f ca="1"/>
        <v>1</v>
      </c>
      <c r="H24" s="14"/>
      <c r="I24" s="13" t="s">
        <v>40</v>
      </c>
      <c r="J24" s="13">
        <v>4</v>
      </c>
      <c r="O24" s="14"/>
      <c r="U24" s="14"/>
      <c r="V24" s="14"/>
      <c r="W24" s="14"/>
      <c r="X24" s="14"/>
      <c r="Y24" s="14"/>
      <c r="Z24" s="14"/>
      <c r="AA24" s="14"/>
    </row>
    <row r="25" spans="1:27" ht="13.5" customHeight="1" x14ac:dyDescent="0.35">
      <c r="A25" s="14"/>
      <c r="B25" s="36"/>
      <c r="C25" s="26" t="str">
        <f ca="1"/>
        <v>C4</v>
      </c>
      <c r="D25" s="27">
        <f ca="1"/>
        <v>-40</v>
      </c>
      <c r="E25" s="14"/>
      <c r="F25" s="14" t="b">
        <f ca="1"/>
        <v>1</v>
      </c>
      <c r="G25" s="14" t="b">
        <f ca="1"/>
        <v>1</v>
      </c>
      <c r="H25" s="14"/>
      <c r="I25" s="13" t="s">
        <v>41</v>
      </c>
      <c r="J25" s="13">
        <v>5</v>
      </c>
      <c r="O25" s="14"/>
      <c r="Q25" s="38" cm="1">
        <f t="array" ref="Q25:U36">C3:C14-TRANSPOSE(G3:G7)</f>
        <v>47</v>
      </c>
      <c r="R25" s="38">
        <v>39</v>
      </c>
      <c r="S25" s="38">
        <v>13</v>
      </c>
      <c r="T25" s="38">
        <v>10</v>
      </c>
      <c r="U25" s="38">
        <v>-2</v>
      </c>
      <c r="V25" s="14"/>
      <c r="W25" s="14"/>
      <c r="X25" s="14"/>
      <c r="Y25" s="14"/>
      <c r="Z25" s="14"/>
      <c r="AA25" s="14"/>
    </row>
    <row r="26" spans="1:27" ht="13.5" customHeight="1" x14ac:dyDescent="0.35">
      <c r="A26" s="14"/>
      <c r="B26" s="36"/>
      <c r="C26" s="26" t="str">
        <f ca="1"/>
        <v>C5</v>
      </c>
      <c r="D26" s="27">
        <f ca="1"/>
        <v>-47.81283422459893</v>
      </c>
      <c r="E26" s="14"/>
      <c r="F26" s="14" t="b">
        <f ca="1"/>
        <v>1</v>
      </c>
      <c r="G26" s="14" t="b">
        <f ca="1"/>
        <v>1</v>
      </c>
      <c r="H26" s="14"/>
      <c r="O26" s="14"/>
      <c r="Q26" s="38">
        <v>60</v>
      </c>
      <c r="R26" s="38">
        <v>52</v>
      </c>
      <c r="S26" s="38">
        <v>26</v>
      </c>
      <c r="T26" s="38">
        <v>23</v>
      </c>
      <c r="U26" s="38">
        <v>11</v>
      </c>
      <c r="V26" s="14"/>
      <c r="W26" s="14"/>
      <c r="X26" s="14"/>
      <c r="Y26" s="14"/>
      <c r="Z26" s="14"/>
      <c r="AA26" s="14"/>
    </row>
    <row r="27" spans="1:27" ht="13.5" customHeight="1" x14ac:dyDescent="0.35">
      <c r="A27" s="14"/>
      <c r="B27" s="36"/>
      <c r="C27" s="26" t="str">
        <f ca="1"/>
        <v>C6</v>
      </c>
      <c r="D27" s="27">
        <f ca="1"/>
        <v>-38</v>
      </c>
      <c r="E27" s="14"/>
      <c r="F27" s="14" t="b">
        <f ca="1"/>
        <v>1</v>
      </c>
      <c r="G27" s="14" t="b">
        <f ca="1"/>
        <v>1</v>
      </c>
      <c r="H27" s="14"/>
      <c r="O27" s="14"/>
      <c r="Q27" s="38">
        <v>63</v>
      </c>
      <c r="R27" s="38">
        <v>55</v>
      </c>
      <c r="S27" s="38">
        <v>29</v>
      </c>
      <c r="T27" s="38">
        <v>26</v>
      </c>
      <c r="U27" s="38">
        <v>14</v>
      </c>
      <c r="V27" s="14"/>
      <c r="W27" s="14"/>
      <c r="X27" s="14"/>
      <c r="Y27" s="14"/>
      <c r="Z27" s="14"/>
      <c r="AA27" s="14"/>
    </row>
    <row r="28" spans="1:27" ht="13.5" customHeight="1" x14ac:dyDescent="0.35">
      <c r="A28" s="14"/>
      <c r="B28" s="36"/>
      <c r="C28" s="26" t="str">
        <f ca="1"/>
        <v>C7</v>
      </c>
      <c r="D28" s="27">
        <f ca="1"/>
        <v>-43</v>
      </c>
      <c r="E28" s="14"/>
      <c r="F28" s="14" t="b">
        <f ca="1"/>
        <v>1</v>
      </c>
      <c r="G28" s="14" t="b">
        <f ca="1"/>
        <v>1</v>
      </c>
      <c r="H28" s="14"/>
      <c r="O28" s="14"/>
      <c r="Q28" s="38">
        <v>77</v>
      </c>
      <c r="R28" s="38">
        <v>69</v>
      </c>
      <c r="S28" s="38">
        <v>43</v>
      </c>
      <c r="T28" s="38">
        <v>40</v>
      </c>
      <c r="U28" s="38">
        <v>28</v>
      </c>
      <c r="V28" s="14"/>
      <c r="W28" s="14"/>
      <c r="X28" s="14"/>
      <c r="Y28" s="14"/>
      <c r="Z28" s="14"/>
      <c r="AA28" s="14"/>
    </row>
    <row r="29" spans="1:27" ht="13.5" customHeight="1" x14ac:dyDescent="0.35">
      <c r="A29" s="14"/>
      <c r="B29" s="36"/>
      <c r="C29" s="26" t="str">
        <f ca="1"/>
        <v>C8</v>
      </c>
      <c r="D29" s="27">
        <f ca="1"/>
        <v>-49</v>
      </c>
      <c r="E29" s="14"/>
      <c r="F29" s="14" t="b">
        <f ca="1"/>
        <v>1</v>
      </c>
      <c r="G29" s="14" t="b">
        <f ca="1"/>
        <v>1</v>
      </c>
      <c r="H29" s="14"/>
      <c r="O29" s="14"/>
      <c r="Q29" s="38">
        <v>86</v>
      </c>
      <c r="R29" s="38">
        <v>78</v>
      </c>
      <c r="S29" s="38">
        <v>52</v>
      </c>
      <c r="T29" s="38">
        <v>49</v>
      </c>
      <c r="U29" s="38">
        <v>37</v>
      </c>
      <c r="V29" s="14"/>
      <c r="W29" s="14"/>
      <c r="X29" s="14"/>
      <c r="Y29" s="14"/>
      <c r="Z29" s="14"/>
      <c r="AA29" s="14"/>
    </row>
    <row r="30" spans="1:27" ht="13.5" customHeight="1" x14ac:dyDescent="0.35">
      <c r="A30" s="14"/>
      <c r="B30" s="36"/>
      <c r="C30" s="26" t="str">
        <f ca="1"/>
        <v>C9</v>
      </c>
      <c r="D30" s="27">
        <f ca="1"/>
        <v>-57</v>
      </c>
      <c r="E30" s="14"/>
      <c r="F30" s="14" t="b">
        <f ca="1"/>
        <v>1</v>
      </c>
      <c r="G30" s="14" t="b">
        <f ca="1"/>
        <v>1</v>
      </c>
      <c r="H30" s="14"/>
      <c r="O30" s="14"/>
      <c r="Q30" s="38">
        <v>87</v>
      </c>
      <c r="R30" s="38">
        <v>79</v>
      </c>
      <c r="S30" s="38">
        <v>53</v>
      </c>
      <c r="T30" s="38">
        <v>50</v>
      </c>
      <c r="U30" s="38">
        <v>38</v>
      </c>
      <c r="V30" s="14"/>
      <c r="W30" s="14"/>
      <c r="X30" s="14"/>
      <c r="Y30" s="14"/>
      <c r="Z30" s="14"/>
      <c r="AA30" s="14"/>
    </row>
    <row r="31" spans="1:27" ht="13.5" customHeight="1" x14ac:dyDescent="0.35">
      <c r="A31" s="14"/>
      <c r="B31" s="36"/>
      <c r="C31" s="26" t="str">
        <f ca="1"/>
        <v>C10</v>
      </c>
      <c r="D31" s="27">
        <f ca="1"/>
        <v>-70</v>
      </c>
      <c r="E31" s="14"/>
      <c r="F31" s="14" t="b">
        <f ca="1"/>
        <v>1</v>
      </c>
      <c r="G31" s="14" t="b">
        <f ca="1"/>
        <v>1</v>
      </c>
      <c r="H31" s="14"/>
      <c r="O31" s="14"/>
      <c r="Q31" s="38">
        <v>92</v>
      </c>
      <c r="R31" s="38">
        <v>84</v>
      </c>
      <c r="S31" s="38">
        <v>58</v>
      </c>
      <c r="T31" s="38">
        <v>55</v>
      </c>
      <c r="U31" s="38">
        <v>43</v>
      </c>
      <c r="V31" s="14"/>
      <c r="W31" s="14"/>
      <c r="X31" s="14"/>
      <c r="Y31" s="14"/>
      <c r="Z31" s="14"/>
      <c r="AA31" s="14"/>
    </row>
    <row r="32" spans="1:27" ht="13.5" customHeight="1" x14ac:dyDescent="0.35">
      <c r="A32" s="14"/>
      <c r="B32" s="36"/>
      <c r="C32" s="26" t="str">
        <f ca="1"/>
        <v>C11</v>
      </c>
      <c r="D32" s="27" t="str">
        <f ca="1"/>
        <v>NP</v>
      </c>
      <c r="E32" s="14"/>
      <c r="F32" s="14" t="b">
        <f ca="1"/>
        <v>1</v>
      </c>
      <c r="G32" s="14" t="b">
        <f ca="1"/>
        <v>1</v>
      </c>
      <c r="H32" s="14"/>
      <c r="O32" s="14"/>
      <c r="Q32" s="38">
        <v>98</v>
      </c>
      <c r="R32" s="38">
        <v>90</v>
      </c>
      <c r="S32" s="38">
        <v>64</v>
      </c>
      <c r="T32" s="38">
        <v>61</v>
      </c>
      <c r="U32" s="38">
        <v>49</v>
      </c>
      <c r="V32" s="14"/>
      <c r="W32" s="14"/>
      <c r="X32" s="14"/>
      <c r="Y32" s="14"/>
      <c r="Z32" s="14"/>
      <c r="AA32" s="14"/>
    </row>
    <row r="33" spans="1:35" ht="13.5" customHeight="1" x14ac:dyDescent="0.35">
      <c r="A33" s="14"/>
      <c r="B33" s="36"/>
      <c r="C33" s="34" t="str">
        <f ca="1"/>
        <v>C12</v>
      </c>
      <c r="D33" s="35" t="str">
        <f ca="1"/>
        <v>NP</v>
      </c>
      <c r="E33" s="14"/>
      <c r="F33" s="14" t="b">
        <f ca="1"/>
        <v>1</v>
      </c>
      <c r="G33" s="14" t="b">
        <f ca="1"/>
        <v>1</v>
      </c>
      <c r="H33" s="14"/>
      <c r="I33" s="14"/>
      <c r="J33" s="14"/>
      <c r="K33" s="14"/>
      <c r="L33" s="14"/>
      <c r="M33" s="14"/>
      <c r="N33" s="14"/>
      <c r="O33" s="14"/>
      <c r="Q33" s="38">
        <v>106</v>
      </c>
      <c r="R33" s="38">
        <v>98</v>
      </c>
      <c r="S33" s="38">
        <v>72</v>
      </c>
      <c r="T33" s="38">
        <v>69</v>
      </c>
      <c r="U33" s="38">
        <v>57</v>
      </c>
      <c r="V33" s="14"/>
      <c r="W33" s="14"/>
      <c r="X33" s="14"/>
      <c r="Y33" s="14"/>
      <c r="Z33" s="14"/>
      <c r="AA33" s="14"/>
    </row>
    <row r="34" spans="1:35" ht="13.5" customHeight="1" x14ac:dyDescent="0.35">
      <c r="A34" s="14"/>
      <c r="B34" s="36"/>
      <c r="C34" s="3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Q34" s="38">
        <v>119</v>
      </c>
      <c r="R34" s="38">
        <v>111</v>
      </c>
      <c r="S34" s="38">
        <v>85</v>
      </c>
      <c r="T34" s="38">
        <v>82</v>
      </c>
      <c r="U34" s="38">
        <v>70</v>
      </c>
      <c r="V34" s="14"/>
      <c r="W34" s="14"/>
      <c r="X34" s="14"/>
      <c r="Y34" s="14"/>
      <c r="Z34" s="14"/>
      <c r="AA34" s="14"/>
    </row>
    <row r="35" spans="1:35" ht="13.5" customHeight="1" x14ac:dyDescent="0.35">
      <c r="A35" s="14"/>
      <c r="B35" s="36"/>
      <c r="C35" s="36"/>
      <c r="D35" s="14"/>
      <c r="E35" s="14"/>
      <c r="F35" s="14"/>
      <c r="G35" s="39"/>
      <c r="H35" s="14"/>
      <c r="I35" s="14"/>
      <c r="J35" s="14"/>
      <c r="K35" s="14"/>
      <c r="L35" s="14"/>
      <c r="M35" s="14"/>
      <c r="N35" s="14"/>
      <c r="O35" s="14"/>
      <c r="Q35" s="38">
        <v>128</v>
      </c>
      <c r="R35" s="38">
        <v>120</v>
      </c>
      <c r="S35" s="38">
        <v>94</v>
      </c>
      <c r="T35" s="38">
        <v>91</v>
      </c>
      <c r="U35" s="38">
        <v>79</v>
      </c>
      <c r="V35" s="14"/>
      <c r="W35" s="14"/>
      <c r="X35" s="14"/>
      <c r="Y35" s="14"/>
      <c r="Z35" s="14"/>
      <c r="AA35" s="14"/>
    </row>
    <row r="36" spans="1:35" ht="13.5" customHeight="1" x14ac:dyDescent="0.35">
      <c r="A36" s="14"/>
      <c r="B36" s="36"/>
      <c r="C36" s="37" t="s">
        <v>42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38">
        <v>131</v>
      </c>
      <c r="R36" s="38">
        <v>123</v>
      </c>
      <c r="S36" s="38">
        <v>97</v>
      </c>
      <c r="T36" s="38">
        <v>94</v>
      </c>
      <c r="U36" s="38">
        <v>82</v>
      </c>
      <c r="V36" s="14"/>
      <c r="W36" s="14"/>
      <c r="X36" s="14"/>
      <c r="Y36" s="14"/>
      <c r="Z36" s="14"/>
      <c r="AA36" s="14"/>
    </row>
    <row r="37" spans="1:35" ht="13.5" customHeight="1" x14ac:dyDescent="0.35">
      <c r="A37" s="14"/>
      <c r="B37" s="36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35" ht="13.5" customHeight="1" x14ac:dyDescent="0.35">
      <c r="A38" s="14"/>
      <c r="B38" s="36"/>
      <c r="C38" s="36"/>
      <c r="D38" s="14"/>
      <c r="E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35" ht="13.5" customHeight="1" x14ac:dyDescent="0.35">
      <c r="A39" s="14"/>
      <c r="B39" s="36"/>
      <c r="C39" s="36">
        <v>1</v>
      </c>
      <c r="D39" s="39">
        <f>D3+D38</f>
        <v>120</v>
      </c>
      <c r="E39" s="14" cm="1">
        <f t="array" ref="E39">fInterpolate(D39,$H$39:$H$44,$G$39:$G$44)</f>
        <v>0.2</v>
      </c>
      <c r="F39" s="13">
        <v>0</v>
      </c>
      <c r="G39" s="14">
        <v>0</v>
      </c>
      <c r="H39" s="14">
        <v>0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35" ht="13.5" customHeight="1" x14ac:dyDescent="0.35">
      <c r="A40" s="14"/>
      <c r="B40" s="36"/>
      <c r="C40" s="36">
        <v>2</v>
      </c>
      <c r="D40" s="39">
        <f>D4+D39</f>
        <v>476</v>
      </c>
      <c r="E40" s="14" cm="1">
        <f t="array" ref="E40">fInterpolate(D40,$H$39:$H$44,$G$39:$G$44)</f>
        <v>0.79333333333333333</v>
      </c>
      <c r="F40" s="13">
        <v>600</v>
      </c>
      <c r="G40" s="14">
        <v>1</v>
      </c>
      <c r="H40" s="39">
        <f>H3+H39</f>
        <v>600</v>
      </c>
      <c r="I40" s="39">
        <f>E39*F40</f>
        <v>120</v>
      </c>
      <c r="J40" s="39">
        <f>F40*(E40-E39)</f>
        <v>355.99999999999994</v>
      </c>
      <c r="K40" s="39">
        <f>(1-E40)*F40</f>
        <v>124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35" ht="13.5" customHeight="1" x14ac:dyDescent="0.35">
      <c r="A41" s="14"/>
      <c r="B41" s="36"/>
      <c r="C41" s="36">
        <v>3</v>
      </c>
      <c r="D41" s="39">
        <f t="shared" ref="D41:D50" si="0">D5+D40</f>
        <v>788</v>
      </c>
      <c r="E41" s="14" cm="1">
        <f t="array" ref="E41">fInterpolate(D41,$H$39:$H$44,$G$39:$G$44)</f>
        <v>3.0325000000000002</v>
      </c>
      <c r="F41" s="13">
        <v>50</v>
      </c>
      <c r="G41" s="14">
        <v>2</v>
      </c>
      <c r="H41" s="39">
        <f>H4+H40</f>
        <v>650</v>
      </c>
      <c r="I41" s="39">
        <f>(2-1)*F41</f>
        <v>50</v>
      </c>
      <c r="J41" s="39"/>
      <c r="K41" s="39"/>
      <c r="L41" s="39"/>
      <c r="M41" s="39"/>
      <c r="N41" s="39"/>
      <c r="O41" s="39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35" ht="13.5" customHeight="1" x14ac:dyDescent="0.35">
      <c r="A42" s="14"/>
      <c r="B42" s="36"/>
      <c r="C42" s="36">
        <v>4</v>
      </c>
      <c r="D42" s="39">
        <f t="shared" si="0"/>
        <v>1225</v>
      </c>
      <c r="E42" s="14" cm="1">
        <f t="array" ref="E42">fInterpolate(D42,$H$39:$H$44,$G$39:$G$44)</f>
        <v>3.5787499999999999</v>
      </c>
      <c r="F42" s="13">
        <v>112</v>
      </c>
      <c r="G42" s="14">
        <v>3</v>
      </c>
      <c r="H42" s="39">
        <f>H5+H41</f>
        <v>762</v>
      </c>
      <c r="I42" s="39">
        <f>(3-2)*F42</f>
        <v>112</v>
      </c>
      <c r="J42" s="39"/>
      <c r="K42" s="39"/>
      <c r="L42" s="39"/>
      <c r="M42" s="39"/>
      <c r="N42" s="39"/>
      <c r="O42" s="39"/>
      <c r="Q42" s="40" t="s">
        <v>43</v>
      </c>
      <c r="R42" s="40">
        <v>-1</v>
      </c>
      <c r="S42" s="40">
        <v>1</v>
      </c>
      <c r="T42" s="40">
        <v>2</v>
      </c>
      <c r="U42" s="40">
        <v>3</v>
      </c>
      <c r="V42" s="40">
        <v>4</v>
      </c>
      <c r="W42" s="40">
        <v>5</v>
      </c>
      <c r="X42" s="14"/>
      <c r="Y42" s="14"/>
      <c r="Z42" s="14"/>
      <c r="AA42" s="14" t="s">
        <v>43</v>
      </c>
      <c r="AB42" s="13" t="s">
        <v>20</v>
      </c>
      <c r="AC42" s="13" t="s">
        <v>47</v>
      </c>
      <c r="AD42" s="13" t="s">
        <v>49</v>
      </c>
    </row>
    <row r="43" spans="1:35" ht="13.5" customHeight="1" x14ac:dyDescent="0.35">
      <c r="A43" s="14"/>
      <c r="B43" s="36"/>
      <c r="C43" s="36">
        <v>5</v>
      </c>
      <c r="D43" s="39">
        <f t="shared" si="0"/>
        <v>1599</v>
      </c>
      <c r="E43" s="14" cm="1">
        <f t="array" ref="E43">fInterpolate(D43,$H$39:$H$44,$G$39:$G$44)</f>
        <v>4.0205555555555552</v>
      </c>
      <c r="F43" s="13">
        <v>800</v>
      </c>
      <c r="G43" s="14">
        <v>4</v>
      </c>
      <c r="H43" s="39">
        <f>H6+H42</f>
        <v>1562</v>
      </c>
      <c r="I43" s="39">
        <f>(4-E42)*F43</f>
        <v>337.00000000000011</v>
      </c>
      <c r="J43" s="39">
        <f>(E43-4)*F43</f>
        <v>16.444444444444173</v>
      </c>
      <c r="K43" s="39">
        <f>(E44-E43)*F43</f>
        <v>114.66666666666683</v>
      </c>
      <c r="L43" s="39">
        <f>(E46-E45)*F43</f>
        <v>185.77777777777769</v>
      </c>
      <c r="M43" s="39">
        <f>(E47-E46)*F43</f>
        <v>136.88888888888897</v>
      </c>
      <c r="N43" s="39"/>
      <c r="O43" s="39">
        <f>(E48-E47)*F43</f>
        <v>182.22222222222229</v>
      </c>
      <c r="Q43" s="13">
        <v>1</v>
      </c>
      <c r="S43" s="13">
        <v>120</v>
      </c>
      <c r="X43" s="14"/>
      <c r="Y43" s="14">
        <v>120</v>
      </c>
      <c r="Z43" s="14">
        <v>1</v>
      </c>
      <c r="AA43" s="14">
        <v>1</v>
      </c>
      <c r="AB43" s="13">
        <v>1</v>
      </c>
      <c r="AC43" s="13" cm="1">
        <f t="array" ref="AC43">INDEX($G$3:$G$7,AB43)</f>
        <v>45278</v>
      </c>
      <c r="AD43" s="13">
        <f>_xlfn.XLOOKUP(AA43,$A$3:$A$14,$C$3:$C$14)</f>
        <v>45325</v>
      </c>
      <c r="AE43" s="13">
        <f>AC43-AD43</f>
        <v>-47</v>
      </c>
      <c r="AF43" s="13">
        <v>-47</v>
      </c>
      <c r="AG43" s="13">
        <f>AE43*Y43</f>
        <v>-5640</v>
      </c>
      <c r="AH43" s="13">
        <v>-5640</v>
      </c>
    </row>
    <row r="44" spans="1:35" ht="13.5" customHeight="1" x14ac:dyDescent="0.35">
      <c r="A44" s="14"/>
      <c r="B44" s="36"/>
      <c r="C44" s="36">
        <v>6</v>
      </c>
      <c r="D44" s="39">
        <f t="shared" si="0"/>
        <v>1857</v>
      </c>
      <c r="E44" s="14" cm="1">
        <f t="array" ref="E44">fInterpolate(D44,$H$39:$H$44,$G$39:$G$44)</f>
        <v>4.1638888888888888</v>
      </c>
      <c r="F44" s="14">
        <v>1800</v>
      </c>
      <c r="G44" s="14">
        <v>5</v>
      </c>
      <c r="H44" s="39">
        <f>H7+H43</f>
        <v>3362</v>
      </c>
      <c r="I44" s="39"/>
      <c r="J44" s="14"/>
      <c r="K44" s="14"/>
      <c r="L44" s="14"/>
      <c r="M44" s="14"/>
      <c r="N44" s="14"/>
      <c r="Q44" s="13">
        <v>2</v>
      </c>
      <c r="S44" s="13">
        <v>356</v>
      </c>
      <c r="X44" s="14"/>
      <c r="Y44" s="14">
        <v>355.99999999999994</v>
      </c>
      <c r="Z44" s="14">
        <v>2</v>
      </c>
      <c r="AA44" s="14">
        <v>2</v>
      </c>
      <c r="AB44" s="13">
        <v>1</v>
      </c>
      <c r="AC44" s="13" cm="1">
        <f t="array" ref="AC44">INDEX($G$3:$G$7,AB44)</f>
        <v>45278</v>
      </c>
      <c r="AD44" s="13">
        <f t="shared" ref="AD44:AD56" si="1">_xlfn.XLOOKUP(AA44,$A$3:$A$14,$C$3:$C$14)</f>
        <v>45338</v>
      </c>
      <c r="AE44" s="13">
        <f t="shared" ref="AE44:AE56" si="2">AC44-AD44</f>
        <v>-60</v>
      </c>
      <c r="AF44" s="13">
        <v>-60</v>
      </c>
      <c r="AG44" s="13">
        <f t="shared" ref="AG44:AG56" si="3">AE44*Y44</f>
        <v>-21359.999999999996</v>
      </c>
      <c r="AH44" s="13">
        <v>-21359.999999999996</v>
      </c>
    </row>
    <row r="45" spans="1:35" ht="13.5" customHeight="1" x14ac:dyDescent="0.35">
      <c r="A45" s="14"/>
      <c r="B45" s="36"/>
      <c r="C45" s="36">
        <v>7</v>
      </c>
      <c r="D45" s="39">
        <f t="shared" si="0"/>
        <v>2226</v>
      </c>
      <c r="E45" s="14" cm="1">
        <f t="array" ref="E45">fInterpolate(D45,$H$39:$H$44,$G$39:$G$44)</f>
        <v>4.3688888888888888</v>
      </c>
      <c r="F45" s="14"/>
      <c r="G45" s="14"/>
      <c r="H45" s="14"/>
      <c r="I45" s="14"/>
      <c r="J45" s="14"/>
      <c r="K45" s="14"/>
      <c r="L45" s="14"/>
      <c r="M45" s="14"/>
      <c r="N45" s="14"/>
      <c r="Q45" s="13">
        <v>3</v>
      </c>
      <c r="S45" s="13">
        <v>124</v>
      </c>
      <c r="T45" s="13">
        <v>50</v>
      </c>
      <c r="U45" s="13">
        <v>112</v>
      </c>
      <c r="V45" s="13">
        <v>26</v>
      </c>
      <c r="X45" s="14"/>
      <c r="Y45" s="14">
        <v>124</v>
      </c>
      <c r="Z45" s="14">
        <v>3</v>
      </c>
      <c r="AA45" s="14">
        <v>3</v>
      </c>
      <c r="AB45" s="13">
        <v>1</v>
      </c>
      <c r="AC45" s="13" cm="1">
        <f t="array" ref="AC45">INDEX($G$3:$G$7,AB45)</f>
        <v>45278</v>
      </c>
      <c r="AD45" s="13">
        <f t="shared" si="1"/>
        <v>45341</v>
      </c>
      <c r="AE45" s="13">
        <f t="shared" si="2"/>
        <v>-63</v>
      </c>
      <c r="AF45" s="13">
        <v>-63</v>
      </c>
      <c r="AG45" s="13">
        <f t="shared" si="3"/>
        <v>-7812</v>
      </c>
      <c r="AH45" s="49">
        <v>-7812</v>
      </c>
      <c r="AI45" s="13">
        <f>SUM(AH45:AH47)/SUM(Y45:Y47)</f>
        <v>-48.286713286713287</v>
      </c>
    </row>
    <row r="46" spans="1:35" ht="13.5" customHeight="1" x14ac:dyDescent="0.35">
      <c r="A46" s="14"/>
      <c r="B46" s="36"/>
      <c r="C46" s="36">
        <v>8</v>
      </c>
      <c r="D46" s="39">
        <f t="shared" si="0"/>
        <v>2644</v>
      </c>
      <c r="E46" s="14" cm="1">
        <f t="array" ref="E46">fInterpolate(D46,$H$39:$H$44,$G$39:$G$44)</f>
        <v>4.6011111111111109</v>
      </c>
      <c r="F46" s="14"/>
      <c r="G46" s="14"/>
      <c r="H46" s="14"/>
      <c r="I46" s="14"/>
      <c r="J46" s="14"/>
      <c r="K46" s="14"/>
      <c r="L46" s="14"/>
      <c r="M46" s="14"/>
      <c r="N46" s="14"/>
      <c r="Q46" s="13">
        <v>4</v>
      </c>
      <c r="V46" s="13">
        <v>437</v>
      </c>
      <c r="X46" s="14"/>
      <c r="Y46" s="14">
        <v>50</v>
      </c>
      <c r="Z46" s="14">
        <v>3</v>
      </c>
      <c r="AA46" s="14">
        <v>3</v>
      </c>
      <c r="AB46" s="13">
        <v>2</v>
      </c>
      <c r="AC46" s="13" cm="1">
        <f t="array" ref="AC46">INDEX($G$3:$G$7,AB46)</f>
        <v>45286</v>
      </c>
      <c r="AD46" s="13">
        <f t="shared" si="1"/>
        <v>45341</v>
      </c>
      <c r="AE46" s="13">
        <f t="shared" si="2"/>
        <v>-55</v>
      </c>
      <c r="AF46" s="13">
        <v>-55</v>
      </c>
      <c r="AG46" s="13">
        <f t="shared" si="3"/>
        <v>-2750</v>
      </c>
      <c r="AH46" s="49">
        <v>-2750</v>
      </c>
    </row>
    <row r="47" spans="1:35" ht="13.5" customHeight="1" x14ac:dyDescent="0.35">
      <c r="A47" s="14"/>
      <c r="B47" s="36"/>
      <c r="C47" s="36">
        <v>9</v>
      </c>
      <c r="D47" s="39">
        <f t="shared" si="0"/>
        <v>2952</v>
      </c>
      <c r="E47" s="14" cm="1">
        <f t="array" ref="E47">fInterpolate(D47,$H$39:$H$44,$G$39:$G$44)</f>
        <v>4.7722222222222221</v>
      </c>
      <c r="F47" s="14"/>
      <c r="G47" s="14">
        <v>4</v>
      </c>
      <c r="H47" s="14">
        <v>4.0205555555555552</v>
      </c>
      <c r="I47" s="14">
        <f>H47-G47</f>
        <v>2.0555555555555216E-2</v>
      </c>
      <c r="J47" s="14">
        <f>$F$44*I47</f>
        <v>36.999999999999389</v>
      </c>
      <c r="K47" s="14"/>
      <c r="L47" s="14"/>
      <c r="M47" s="14"/>
      <c r="N47" s="14"/>
      <c r="Q47" s="13">
        <v>5</v>
      </c>
      <c r="V47" s="13">
        <v>337</v>
      </c>
      <c r="W47" s="13">
        <v>37</v>
      </c>
      <c r="X47" s="14"/>
      <c r="Y47" s="14">
        <v>112</v>
      </c>
      <c r="Z47" s="14">
        <v>3</v>
      </c>
      <c r="AA47" s="14">
        <v>3</v>
      </c>
      <c r="AB47" s="13">
        <v>3</v>
      </c>
      <c r="AC47" s="13" cm="1">
        <f t="array" ref="AC47">INDEX($G$3:$G$7,AB47)</f>
        <v>45312</v>
      </c>
      <c r="AD47" s="13">
        <f t="shared" si="1"/>
        <v>45341</v>
      </c>
      <c r="AE47" s="13">
        <f t="shared" si="2"/>
        <v>-29</v>
      </c>
      <c r="AF47" s="13">
        <v>-29</v>
      </c>
      <c r="AG47" s="13">
        <f t="shared" si="3"/>
        <v>-3248</v>
      </c>
      <c r="AH47" s="49">
        <v>-3248</v>
      </c>
    </row>
    <row r="48" spans="1:35" ht="13.5" customHeight="1" x14ac:dyDescent="0.35">
      <c r="A48" s="14"/>
      <c r="B48" s="36"/>
      <c r="C48" s="36">
        <v>10</v>
      </c>
      <c r="D48" s="39">
        <f t="shared" si="0"/>
        <v>3362</v>
      </c>
      <c r="E48" s="14" cm="1">
        <f t="array" ref="E48">fInterpolate(D48,$H$39:$H$44,$G$39:$G$44)</f>
        <v>5</v>
      </c>
      <c r="F48" s="14"/>
      <c r="G48" s="14">
        <v>4.0205555555555552</v>
      </c>
      <c r="H48" s="14">
        <v>4.1638888888888888</v>
      </c>
      <c r="I48" s="14">
        <f t="shared" ref="I48:I52" si="4">H48-G48</f>
        <v>0.14333333333333353</v>
      </c>
      <c r="J48" s="14">
        <f t="shared" ref="J48:J52" si="5">$F$44*I48</f>
        <v>258.00000000000034</v>
      </c>
      <c r="K48" s="14"/>
      <c r="L48" s="14"/>
      <c r="M48" s="14"/>
      <c r="N48" s="14"/>
      <c r="Q48" s="13">
        <v>6</v>
      </c>
      <c r="W48" s="13">
        <v>258</v>
      </c>
      <c r="X48" s="14"/>
      <c r="Y48" s="14">
        <v>26.000000000000156</v>
      </c>
      <c r="Z48" s="14">
        <v>3</v>
      </c>
      <c r="AA48" s="14">
        <v>4</v>
      </c>
      <c r="AB48" s="13">
        <v>4</v>
      </c>
      <c r="AC48" s="13" cm="1">
        <f t="array" ref="AC48">INDEX($G$3:$G$7,AB48)</f>
        <v>45315</v>
      </c>
      <c r="AD48" s="13">
        <f t="shared" si="1"/>
        <v>45355</v>
      </c>
      <c r="AE48" s="13">
        <f t="shared" si="2"/>
        <v>-40</v>
      </c>
      <c r="AF48" s="13">
        <v>-40</v>
      </c>
      <c r="AG48" s="13">
        <f t="shared" si="3"/>
        <v>-1040.0000000000064</v>
      </c>
      <c r="AH48" s="13">
        <v>-1040.0000000000064</v>
      </c>
    </row>
    <row r="49" spans="1:34" ht="13.5" customHeight="1" x14ac:dyDescent="0.35">
      <c r="A49" s="14"/>
      <c r="B49" s="36"/>
      <c r="C49" s="36">
        <v>11</v>
      </c>
      <c r="D49" s="39">
        <f t="shared" si="0"/>
        <v>3853</v>
      </c>
      <c r="E49" s="14" t="e" cm="1">
        <f t="array" ref="E49">fInterpolate(D49,$H$39:$H$44,$G$39:$G$44)</f>
        <v>#N/A</v>
      </c>
      <c r="F49" s="14"/>
      <c r="G49" s="14">
        <v>4.1638888888888888</v>
      </c>
      <c r="H49" s="14">
        <v>4.3688888888888888</v>
      </c>
      <c r="I49" s="14">
        <f t="shared" si="4"/>
        <v>0.20500000000000007</v>
      </c>
      <c r="J49" s="14">
        <f t="shared" si="5"/>
        <v>369.00000000000011</v>
      </c>
      <c r="K49" s="14"/>
      <c r="L49" s="14"/>
      <c r="M49" s="14"/>
      <c r="N49" s="14"/>
      <c r="Q49" s="13">
        <v>7</v>
      </c>
      <c r="W49" s="13">
        <v>369</v>
      </c>
      <c r="X49" s="14"/>
      <c r="Y49" s="14">
        <v>436.99999999999977</v>
      </c>
      <c r="Z49" s="13">
        <v>4</v>
      </c>
      <c r="AA49" s="14">
        <v>4</v>
      </c>
      <c r="AB49" s="13">
        <v>4</v>
      </c>
      <c r="AC49" s="13" cm="1">
        <f t="array" ref="AC49">INDEX($G$3:$G$7,AB49)</f>
        <v>45315</v>
      </c>
      <c r="AD49" s="13">
        <f t="shared" si="1"/>
        <v>45355</v>
      </c>
      <c r="AE49" s="13">
        <f t="shared" si="2"/>
        <v>-40</v>
      </c>
      <c r="AF49" s="13">
        <v>-40</v>
      </c>
      <c r="AG49" s="13">
        <f t="shared" si="3"/>
        <v>-17479.999999999993</v>
      </c>
      <c r="AH49" s="13">
        <v>-17479.999999999993</v>
      </c>
    </row>
    <row r="50" spans="1:34" ht="13.5" customHeight="1" x14ac:dyDescent="0.35">
      <c r="A50" s="14"/>
      <c r="B50" s="36"/>
      <c r="C50" s="36">
        <v>12</v>
      </c>
      <c r="D50" s="39">
        <f t="shared" si="0"/>
        <v>3903</v>
      </c>
      <c r="E50" s="14" t="e" cm="1">
        <f t="array" ref="E50">fInterpolate(D50,$H$39:$H$44,$G$39:$G$44)</f>
        <v>#N/A</v>
      </c>
      <c r="F50" s="14"/>
      <c r="G50" s="14">
        <v>4.3688888888888888</v>
      </c>
      <c r="H50" s="14">
        <v>4.6011111111111109</v>
      </c>
      <c r="I50" s="14">
        <f t="shared" si="4"/>
        <v>0.23222222222222211</v>
      </c>
      <c r="J50" s="14">
        <f t="shared" si="5"/>
        <v>417.99999999999977</v>
      </c>
      <c r="K50" s="14"/>
      <c r="L50" s="14"/>
      <c r="M50" s="14"/>
      <c r="N50" s="14"/>
      <c r="Q50" s="13">
        <v>8</v>
      </c>
      <c r="W50" s="13">
        <v>418</v>
      </c>
      <c r="X50" s="14"/>
      <c r="Y50" s="14">
        <v>337.00000000000011</v>
      </c>
      <c r="Z50" s="14">
        <v>5</v>
      </c>
      <c r="AA50" s="14">
        <v>5</v>
      </c>
      <c r="AB50" s="13">
        <v>4</v>
      </c>
      <c r="AC50" s="13" cm="1">
        <f t="array" ref="AC50">INDEX($G$3:$G$7,AB50)</f>
        <v>45315</v>
      </c>
      <c r="AD50" s="13">
        <f t="shared" si="1"/>
        <v>45364</v>
      </c>
      <c r="AE50" s="13">
        <f t="shared" si="2"/>
        <v>-49</v>
      </c>
      <c r="AF50" s="13">
        <v>-49</v>
      </c>
      <c r="AG50" s="13">
        <f t="shared" si="3"/>
        <v>-16513.000000000007</v>
      </c>
      <c r="AH50" s="13">
        <v>-16513.000000000007</v>
      </c>
    </row>
    <row r="51" spans="1:34" ht="13.5" customHeight="1" x14ac:dyDescent="0.35">
      <c r="A51" s="14"/>
      <c r="B51" s="36"/>
      <c r="C51" s="36"/>
      <c r="D51" s="14"/>
      <c r="E51" s="14"/>
      <c r="F51" s="14"/>
      <c r="G51" s="14">
        <v>4.6011111111111109</v>
      </c>
      <c r="H51" s="14">
        <v>4.7722222222222221</v>
      </c>
      <c r="I51" s="14">
        <f t="shared" si="4"/>
        <v>0.17111111111111121</v>
      </c>
      <c r="J51" s="14">
        <f t="shared" si="5"/>
        <v>308.00000000000017</v>
      </c>
      <c r="K51" s="14"/>
      <c r="L51" s="14"/>
      <c r="M51" s="14"/>
      <c r="N51" s="14"/>
      <c r="Q51" s="13">
        <v>9</v>
      </c>
      <c r="W51" s="13">
        <v>308</v>
      </c>
      <c r="X51" s="14"/>
      <c r="Y51" s="14">
        <v>36.999999999999389</v>
      </c>
      <c r="Z51" s="14">
        <v>5</v>
      </c>
      <c r="AA51" s="14">
        <v>5</v>
      </c>
      <c r="AB51" s="13">
        <v>5</v>
      </c>
      <c r="AC51" s="13" cm="1">
        <f t="array" ref="AC51">INDEX($G$3:$G$7,AB51)</f>
        <v>45327</v>
      </c>
      <c r="AD51" s="13">
        <f t="shared" si="1"/>
        <v>45364</v>
      </c>
      <c r="AE51" s="13">
        <f t="shared" si="2"/>
        <v>-37</v>
      </c>
      <c r="AF51" s="13">
        <v>-37</v>
      </c>
      <c r="AG51" s="13">
        <f t="shared" si="3"/>
        <v>-1368.9999999999775</v>
      </c>
      <c r="AH51" s="13">
        <v>-1368.9999999999775</v>
      </c>
    </row>
    <row r="52" spans="1:34" ht="13.5" customHeight="1" x14ac:dyDescent="0.35">
      <c r="A52" s="14"/>
      <c r="B52" s="36"/>
      <c r="C52" s="36"/>
      <c r="D52" s="14"/>
      <c r="E52" s="14"/>
      <c r="F52" s="14"/>
      <c r="G52" s="14">
        <v>4.7722222222222221</v>
      </c>
      <c r="H52" s="14">
        <v>5</v>
      </c>
      <c r="I52" s="14">
        <f t="shared" si="4"/>
        <v>0.22777777777777786</v>
      </c>
      <c r="J52" s="14">
        <f t="shared" si="5"/>
        <v>410.00000000000011</v>
      </c>
      <c r="K52" s="14"/>
      <c r="L52" s="14"/>
      <c r="M52" s="14"/>
      <c r="N52" s="14"/>
      <c r="Q52" s="13">
        <v>10</v>
      </c>
      <c r="W52" s="13">
        <v>410</v>
      </c>
      <c r="X52" s="14"/>
      <c r="Y52" s="14">
        <v>258.00000000000034</v>
      </c>
      <c r="Z52" s="14">
        <v>6</v>
      </c>
      <c r="AA52" s="14">
        <v>6</v>
      </c>
      <c r="AB52" s="13">
        <v>5</v>
      </c>
      <c r="AC52" s="13" cm="1">
        <f t="array" ref="AC52">INDEX($G$3:$G$7,AB52)</f>
        <v>45327</v>
      </c>
      <c r="AD52" s="13">
        <f t="shared" si="1"/>
        <v>45365</v>
      </c>
      <c r="AE52" s="13">
        <f t="shared" si="2"/>
        <v>-38</v>
      </c>
      <c r="AF52" s="13">
        <v>-38</v>
      </c>
      <c r="AG52" s="13">
        <f t="shared" si="3"/>
        <v>-9804.0000000000127</v>
      </c>
      <c r="AH52" s="13">
        <v>-9804.0000000000127</v>
      </c>
    </row>
    <row r="53" spans="1:34" ht="13.5" customHeight="1" x14ac:dyDescent="0.35">
      <c r="A53" s="14"/>
      <c r="B53" s="36"/>
      <c r="C53" s="36"/>
      <c r="D53" s="14"/>
      <c r="E53" s="14"/>
      <c r="F53" s="14"/>
      <c r="G53" s="14">
        <v>5</v>
      </c>
      <c r="H53" s="14"/>
      <c r="I53" s="14"/>
      <c r="J53" s="14"/>
      <c r="K53" s="14"/>
      <c r="L53" s="14"/>
      <c r="M53" s="14"/>
      <c r="N53" s="14"/>
      <c r="Q53" s="13">
        <v>11</v>
      </c>
      <c r="R53" s="13">
        <v>491</v>
      </c>
      <c r="X53" s="14"/>
      <c r="Y53" s="14">
        <v>369.00000000000011</v>
      </c>
      <c r="Z53" s="14">
        <v>7</v>
      </c>
      <c r="AA53" s="14">
        <v>7</v>
      </c>
      <c r="AB53" s="13">
        <v>5</v>
      </c>
      <c r="AC53" s="13" cm="1">
        <f t="array" ref="AC53">INDEX($G$3:$G$7,AB53)</f>
        <v>45327</v>
      </c>
      <c r="AD53" s="13">
        <f t="shared" si="1"/>
        <v>45370</v>
      </c>
      <c r="AE53" s="13">
        <f t="shared" si="2"/>
        <v>-43</v>
      </c>
      <c r="AF53" s="13">
        <v>-43</v>
      </c>
      <c r="AG53" s="13">
        <f t="shared" si="3"/>
        <v>-15867.000000000005</v>
      </c>
      <c r="AH53" s="13">
        <v>-15867.000000000005</v>
      </c>
    </row>
    <row r="54" spans="1:34" ht="13.5" customHeight="1" x14ac:dyDescent="0.35">
      <c r="A54" s="14"/>
      <c r="B54" s="36"/>
      <c r="C54" s="36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Q54" s="13">
        <v>12</v>
      </c>
      <c r="R54" s="13">
        <v>50</v>
      </c>
      <c r="X54" s="14"/>
      <c r="Y54" s="14">
        <v>417.99999999999977</v>
      </c>
      <c r="Z54" s="14">
        <v>8</v>
      </c>
      <c r="AA54" s="14">
        <v>8</v>
      </c>
      <c r="AB54" s="13">
        <v>5</v>
      </c>
      <c r="AC54" s="13" cm="1">
        <f t="array" ref="AC54">INDEX($G$3:$G$7,AB54)</f>
        <v>45327</v>
      </c>
      <c r="AD54" s="13">
        <f t="shared" si="1"/>
        <v>45376</v>
      </c>
      <c r="AE54" s="13">
        <f t="shared" si="2"/>
        <v>-49</v>
      </c>
      <c r="AF54" s="13">
        <v>-49</v>
      </c>
      <c r="AG54" s="13">
        <f t="shared" si="3"/>
        <v>-20481.999999999989</v>
      </c>
      <c r="AH54" s="13">
        <v>-20481.999999999989</v>
      </c>
    </row>
    <row r="55" spans="1:34" ht="13.5" customHeight="1" x14ac:dyDescent="0.35">
      <c r="A55" s="14"/>
      <c r="B55" s="36"/>
      <c r="C55" s="36"/>
      <c r="D55" s="14"/>
      <c r="E55" s="14"/>
      <c r="F55" s="14"/>
      <c r="G55" s="14">
        <v>3</v>
      </c>
      <c r="H55" s="14">
        <v>3.0325000000000002</v>
      </c>
      <c r="I55" s="14">
        <f>H55-G55</f>
        <v>3.2500000000000195E-2</v>
      </c>
      <c r="J55" s="14">
        <f>I55*$F$43</f>
        <v>26.000000000000156</v>
      </c>
      <c r="K55" s="14"/>
      <c r="L55" s="14"/>
      <c r="M55" s="14"/>
      <c r="N55" s="14"/>
      <c r="Q55" s="41" t="s">
        <v>3</v>
      </c>
      <c r="R55" s="41">
        <v>541</v>
      </c>
      <c r="S55" s="41">
        <v>600</v>
      </c>
      <c r="T55" s="41">
        <v>50</v>
      </c>
      <c r="U55" s="41">
        <v>112</v>
      </c>
      <c r="V55" s="41">
        <v>800</v>
      </c>
      <c r="W55" s="41">
        <v>1800</v>
      </c>
      <c r="X55" s="14"/>
      <c r="Y55" s="14">
        <v>308.00000000000017</v>
      </c>
      <c r="Z55" s="14">
        <v>9</v>
      </c>
      <c r="AA55" s="14">
        <v>9</v>
      </c>
      <c r="AB55" s="13">
        <v>5</v>
      </c>
      <c r="AC55" s="13" cm="1">
        <f t="array" ref="AC55">INDEX($G$3:$G$7,AB55)</f>
        <v>45327</v>
      </c>
      <c r="AD55" s="13">
        <f t="shared" si="1"/>
        <v>45384</v>
      </c>
      <c r="AE55" s="13">
        <f t="shared" si="2"/>
        <v>-57</v>
      </c>
      <c r="AF55" s="13">
        <v>-57</v>
      </c>
      <c r="AG55" s="13">
        <f>AE55*Y55</f>
        <v>-17556.000000000011</v>
      </c>
      <c r="AH55" s="13">
        <v>-17556.000000000011</v>
      </c>
    </row>
    <row r="56" spans="1:34" ht="13.5" customHeight="1" x14ac:dyDescent="0.35">
      <c r="A56" s="14"/>
      <c r="B56" s="36"/>
      <c r="C56" s="36"/>
      <c r="D56" s="14"/>
      <c r="E56" s="14"/>
      <c r="F56" s="14"/>
      <c r="G56" s="14">
        <v>3.0325000000000002</v>
      </c>
      <c r="H56" s="14">
        <v>3.5787499999999999</v>
      </c>
      <c r="I56" s="14">
        <f t="shared" ref="I56:I57" si="6">H56-G56</f>
        <v>0.54624999999999968</v>
      </c>
      <c r="J56" s="14">
        <f t="shared" ref="J56:J57" si="7">I56*$F$43</f>
        <v>436.99999999999977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>
        <v>410.00000000000011</v>
      </c>
      <c r="Z56" s="14">
        <v>10</v>
      </c>
      <c r="AA56" s="14">
        <v>10</v>
      </c>
      <c r="AB56" s="13">
        <v>5</v>
      </c>
      <c r="AC56" s="13" cm="1">
        <f t="array" ref="AC56">INDEX($G$3:$G$7,AB56)</f>
        <v>45327</v>
      </c>
      <c r="AD56" s="13">
        <f t="shared" si="1"/>
        <v>45397</v>
      </c>
      <c r="AE56" s="13">
        <f t="shared" si="2"/>
        <v>-70</v>
      </c>
      <c r="AF56" s="13">
        <v>-70</v>
      </c>
      <c r="AG56" s="13">
        <f t="shared" si="3"/>
        <v>-28700.000000000007</v>
      </c>
      <c r="AH56" s="13">
        <v>-28700.000000000007</v>
      </c>
    </row>
    <row r="57" spans="1:34" ht="13.5" customHeight="1" x14ac:dyDescent="0.35">
      <c r="A57" s="14"/>
      <c r="B57" s="36"/>
      <c r="C57" s="36"/>
      <c r="D57" s="14"/>
      <c r="E57" s="14"/>
      <c r="F57" s="14"/>
      <c r="G57" s="14">
        <v>3.5787499999999999</v>
      </c>
      <c r="H57" s="14">
        <v>4</v>
      </c>
      <c r="I57" s="14">
        <f t="shared" si="6"/>
        <v>0.42125000000000012</v>
      </c>
      <c r="J57" s="14">
        <f t="shared" si="7"/>
        <v>337.00000000000011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34" ht="13.5" customHeight="1" x14ac:dyDescent="0.35">
      <c r="A58" s="14"/>
      <c r="B58" s="36"/>
      <c r="C58" s="36"/>
      <c r="D58" s="14"/>
      <c r="E58" s="14"/>
      <c r="F58" s="14"/>
      <c r="G58" s="14">
        <v>4.0205555555555552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 cm="1">
        <f t="array" ref="R58:R71">_xlfn.TOCOL(S43:W52,1)</f>
        <v>120</v>
      </c>
      <c r="S58" s="14"/>
      <c r="T58" s="14"/>
      <c r="U58" s="14"/>
      <c r="V58" s="14"/>
      <c r="W58" s="14"/>
      <c r="X58" s="14"/>
      <c r="Y58" s="14"/>
      <c r="Z58" s="14"/>
      <c r="AA58" s="14"/>
    </row>
    <row r="59" spans="1:34" ht="13.5" customHeight="1" x14ac:dyDescent="0.35">
      <c r="A59" s="14"/>
      <c r="B59" s="36"/>
      <c r="C59" s="36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>
        <v>356</v>
      </c>
      <c r="S59" s="14"/>
      <c r="T59" s="14"/>
      <c r="U59" s="14"/>
      <c r="V59" s="14"/>
      <c r="W59" s="14"/>
      <c r="X59" s="14"/>
      <c r="Y59" s="14"/>
      <c r="Z59" s="14"/>
      <c r="AA59" s="14"/>
    </row>
    <row r="60" spans="1:34" ht="13.5" customHeight="1" x14ac:dyDescent="0.35">
      <c r="A60" s="14"/>
      <c r="B60" s="36"/>
      <c r="C60" s="36"/>
      <c r="D60" s="14"/>
      <c r="E60" s="14"/>
      <c r="F60" s="14"/>
      <c r="G60" s="14">
        <v>2</v>
      </c>
      <c r="H60" s="14">
        <v>3</v>
      </c>
      <c r="I60" s="14">
        <f>(H60-G60)*F42</f>
        <v>112</v>
      </c>
      <c r="J60" s="14"/>
      <c r="K60" s="14"/>
      <c r="L60" s="14"/>
      <c r="M60" s="14"/>
      <c r="N60" s="14"/>
      <c r="O60" s="14"/>
      <c r="P60" s="14"/>
      <c r="Q60" s="14"/>
      <c r="R60" s="14">
        <v>124</v>
      </c>
      <c r="S60" s="14"/>
      <c r="T60" s="14"/>
      <c r="U60" s="14"/>
      <c r="V60" s="14"/>
      <c r="W60" s="14"/>
      <c r="X60" s="14"/>
      <c r="Y60" s="14"/>
      <c r="Z60" s="14"/>
      <c r="AA60" s="14"/>
    </row>
    <row r="61" spans="1:34" ht="13.5" customHeight="1" x14ac:dyDescent="0.35">
      <c r="A61" s="14"/>
      <c r="B61" s="36"/>
      <c r="C61" s="36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>
        <v>50</v>
      </c>
      <c r="S61" s="14"/>
      <c r="T61" s="14"/>
      <c r="U61" s="14"/>
      <c r="V61" s="14"/>
      <c r="W61" s="14"/>
      <c r="X61" s="14"/>
      <c r="Y61" s="14"/>
      <c r="Z61" s="14"/>
      <c r="AA61" s="14"/>
    </row>
    <row r="62" spans="1:34" ht="13.5" customHeight="1" x14ac:dyDescent="0.35">
      <c r="A62" s="14"/>
      <c r="B62" s="36"/>
      <c r="C62" s="36"/>
      <c r="D62" s="14"/>
      <c r="E62" s="14"/>
      <c r="F62" s="14"/>
      <c r="G62" s="14">
        <v>1</v>
      </c>
      <c r="H62" s="14">
        <v>2</v>
      </c>
      <c r="I62" s="14">
        <f>(H62-G62)*F41</f>
        <v>50</v>
      </c>
      <c r="J62" s="14"/>
      <c r="K62" s="14"/>
      <c r="L62" s="14"/>
      <c r="M62" s="14"/>
      <c r="N62" s="14"/>
      <c r="O62" s="14"/>
      <c r="P62" s="14"/>
      <c r="Q62" s="14"/>
      <c r="R62" s="14">
        <v>112</v>
      </c>
      <c r="S62" s="14"/>
      <c r="T62" s="14"/>
      <c r="U62" s="14"/>
      <c r="V62" s="14"/>
      <c r="W62" s="14"/>
      <c r="X62" s="14"/>
      <c r="Y62" s="14"/>
      <c r="Z62" s="14"/>
      <c r="AA62" s="14"/>
    </row>
    <row r="63" spans="1:34" ht="13.5" customHeight="1" x14ac:dyDescent="0.35">
      <c r="A63" s="14"/>
      <c r="B63" s="36"/>
      <c r="C63" s="36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>
        <v>26</v>
      </c>
      <c r="S63" s="14"/>
      <c r="T63" s="14"/>
      <c r="U63" s="14"/>
      <c r="V63" s="14"/>
      <c r="W63" s="14"/>
      <c r="X63" s="14"/>
      <c r="Y63" s="14"/>
      <c r="Z63" s="14"/>
      <c r="AA63" s="14"/>
    </row>
    <row r="64" spans="1:34" ht="13.5" customHeight="1" x14ac:dyDescent="0.35">
      <c r="A64" s="14"/>
      <c r="B64" s="36"/>
      <c r="C64" s="36"/>
      <c r="D64" s="14"/>
      <c r="E64" s="14"/>
      <c r="F64" s="14"/>
      <c r="G64" s="14">
        <v>0</v>
      </c>
      <c r="H64" s="14">
        <v>0.2</v>
      </c>
      <c r="I64" s="14">
        <f>(H64-G64)*$F$40</f>
        <v>120</v>
      </c>
      <c r="J64" s="14"/>
      <c r="K64" s="14"/>
      <c r="L64" s="14"/>
      <c r="M64" s="14"/>
      <c r="N64" s="14"/>
      <c r="O64" s="14"/>
      <c r="P64" s="14"/>
      <c r="Q64" s="14"/>
      <c r="R64" s="14">
        <v>437</v>
      </c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3.5" customHeight="1" x14ac:dyDescent="0.35">
      <c r="A65" s="14"/>
      <c r="B65" s="36"/>
      <c r="C65" s="36"/>
      <c r="D65" s="14"/>
      <c r="E65" s="14"/>
      <c r="F65" s="14"/>
      <c r="G65" s="14">
        <v>0.2</v>
      </c>
      <c r="H65" s="14">
        <v>0.79333333333333333</v>
      </c>
      <c r="I65" s="14">
        <f t="shared" ref="I65:I66" si="8">(H65-G65)*$F$40</f>
        <v>355.99999999999994</v>
      </c>
      <c r="J65" s="14"/>
      <c r="K65" s="14"/>
      <c r="L65" s="14"/>
      <c r="M65" s="14"/>
      <c r="N65" s="14"/>
      <c r="O65" s="14"/>
      <c r="P65" s="14"/>
      <c r="Q65" s="14"/>
      <c r="R65" s="14">
        <v>337</v>
      </c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3.5" customHeight="1" x14ac:dyDescent="0.35">
      <c r="A66" s="14"/>
      <c r="B66" s="36"/>
      <c r="C66" s="36"/>
      <c r="D66" s="14"/>
      <c r="E66" s="14"/>
      <c r="F66" s="14"/>
      <c r="G66" s="14">
        <v>0.79333333333333333</v>
      </c>
      <c r="H66" s="14">
        <v>1</v>
      </c>
      <c r="I66" s="14">
        <f t="shared" si="8"/>
        <v>124</v>
      </c>
      <c r="J66" s="14"/>
      <c r="K66" s="14"/>
      <c r="L66" s="14"/>
      <c r="M66" s="14"/>
      <c r="N66" s="14"/>
      <c r="O66" s="14"/>
      <c r="P66" s="14"/>
      <c r="Q66" s="14"/>
      <c r="R66" s="14">
        <v>37</v>
      </c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3.5" customHeight="1" x14ac:dyDescent="0.35">
      <c r="A67" s="14"/>
      <c r="B67" s="36"/>
      <c r="C67" s="36"/>
      <c r="D67" s="14"/>
      <c r="E67" s="14"/>
      <c r="F67" s="14"/>
      <c r="G67" s="14">
        <v>1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>
        <v>258</v>
      </c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3.5" customHeight="1" x14ac:dyDescent="0.35">
      <c r="A68" s="14"/>
      <c r="B68" s="36"/>
      <c r="C68" s="36"/>
      <c r="D68" s="14"/>
      <c r="E68" s="14"/>
      <c r="F68" s="14" t="s">
        <v>20</v>
      </c>
      <c r="G68" s="14"/>
      <c r="H68" s="14"/>
      <c r="I68" s="14"/>
      <c r="J68" s="14">
        <f>_xlfn.XLOOKUP(F69+1,G40:G44,F40:F44)</f>
        <v>1800</v>
      </c>
      <c r="K68" s="24">
        <f>_xlfn.XLOOKUP(J68,H3:H7,G3:G7)</f>
        <v>45327</v>
      </c>
      <c r="L68" s="14"/>
      <c r="M68" s="14"/>
      <c r="N68" s="14"/>
      <c r="O68" s="14"/>
      <c r="P68" s="14"/>
      <c r="Q68" s="14"/>
      <c r="R68" s="14">
        <v>369</v>
      </c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3.5" customHeight="1" x14ac:dyDescent="0.35">
      <c r="A69" s="14"/>
      <c r="B69" s="36"/>
      <c r="C69" s="36"/>
      <c r="D69" s="14"/>
      <c r="E69" s="14"/>
      <c r="F69" s="14">
        <v>4</v>
      </c>
      <c r="G69" s="14" cm="1">
        <f t="array" ref="G69:G75">_xlfn.LET(_xlpm.z,_xlfn._xlws.FILTER(E39:E48,(E39:E48&gt;F69)*(E39:E48&lt;(F69+1))),IFERROR(_xlfn.VSTACK(F69,_xlpm.z,F69+1),_xlfn.VSTACK(F69,F69+1)))</f>
        <v>4</v>
      </c>
      <c r="H69" s="14" cm="1">
        <f t="array" ref="H69:H74">_xlfn.DROP(_xlfn.ANCHORARRAY(G69),1)</f>
        <v>4.0205555555555552</v>
      </c>
      <c r="I69" s="14" cm="1">
        <f t="array" ref="I69:I74">_xlfn.ANCHORARRAY(H69)-_xlfn.DROP(_xlfn.ANCHORARRAY(G69),-1)</f>
        <v>2.0555555555555216E-2</v>
      </c>
      <c r="J69" s="14" cm="1">
        <f t="array" ref="J69:J74">_xlfn.IFNA(_xlfn.ANCHORARRAY(I69)*$J$68,"NP")</f>
        <v>36.999999999999389</v>
      </c>
      <c r="K69" s="14"/>
      <c r="L69" s="42"/>
      <c r="M69" s="38"/>
      <c r="N69" s="38"/>
      <c r="O69" s="14"/>
      <c r="P69" s="14"/>
      <c r="Q69" s="14"/>
      <c r="R69" s="14">
        <v>418</v>
      </c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3.5" customHeight="1" x14ac:dyDescent="0.35">
      <c r="A70" s="14"/>
      <c r="B70" s="36"/>
      <c r="C70" s="36"/>
      <c r="D70" s="14"/>
      <c r="E70" s="14"/>
      <c r="F70" s="14"/>
      <c r="G70" s="14">
        <v>4.0205555555555552</v>
      </c>
      <c r="H70" s="14">
        <v>4.1638888888888888</v>
      </c>
      <c r="I70" s="14">
        <v>0.14333333333333353</v>
      </c>
      <c r="J70" s="14">
        <v>258.00000000000034</v>
      </c>
      <c r="K70" s="14"/>
      <c r="L70" s="42"/>
      <c r="M70" s="38"/>
      <c r="N70" s="38"/>
      <c r="O70" s="14"/>
      <c r="P70" s="14"/>
      <c r="Q70" s="14"/>
      <c r="R70" s="14">
        <v>308</v>
      </c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3.5" customHeight="1" x14ac:dyDescent="0.35">
      <c r="A71" s="14"/>
      <c r="B71" s="36"/>
      <c r="C71" s="36"/>
      <c r="D71" s="14"/>
      <c r="E71" s="14"/>
      <c r="F71" s="14"/>
      <c r="G71" s="14">
        <v>4.1638888888888888</v>
      </c>
      <c r="H71" s="14">
        <v>4.3688888888888888</v>
      </c>
      <c r="I71" s="14">
        <v>0.20500000000000007</v>
      </c>
      <c r="J71" s="14">
        <v>369.00000000000011</v>
      </c>
      <c r="K71" s="14"/>
      <c r="L71" s="42"/>
      <c r="M71" s="38"/>
      <c r="N71" s="38"/>
      <c r="O71" s="14"/>
      <c r="P71" s="14"/>
      <c r="Q71" s="14"/>
      <c r="R71" s="14">
        <v>410</v>
      </c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3.5" customHeight="1" x14ac:dyDescent="0.35">
      <c r="A72" s="14"/>
      <c r="B72" s="36"/>
      <c r="C72" s="36"/>
      <c r="D72" s="14"/>
      <c r="E72" s="14"/>
      <c r="F72" s="14"/>
      <c r="G72" s="14">
        <v>4.3688888888888888</v>
      </c>
      <c r="H72" s="14">
        <v>4.6011111111111109</v>
      </c>
      <c r="I72" s="14">
        <v>0.23222222222222211</v>
      </c>
      <c r="J72" s="14">
        <v>417.99999999999977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3.5" customHeight="1" x14ac:dyDescent="0.35">
      <c r="A73" s="14"/>
      <c r="B73" s="36"/>
      <c r="C73" s="36"/>
      <c r="D73" s="14"/>
      <c r="E73" s="14"/>
      <c r="F73" s="14"/>
      <c r="G73" s="14">
        <v>4.6011111111111109</v>
      </c>
      <c r="H73" s="14">
        <v>4.7722222222222221</v>
      </c>
      <c r="I73" s="14">
        <v>0.17111111111111121</v>
      </c>
      <c r="J73" s="14">
        <v>308.00000000000017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3.5" customHeight="1" x14ac:dyDescent="0.35">
      <c r="A74" s="14"/>
      <c r="B74" s="36"/>
      <c r="C74" s="36"/>
      <c r="D74" s="14"/>
      <c r="E74" s="14"/>
      <c r="F74" s="14"/>
      <c r="G74" s="14">
        <v>4.7722222222222221</v>
      </c>
      <c r="H74" s="14">
        <v>5</v>
      </c>
      <c r="I74" s="14">
        <v>0.22777777777777786</v>
      </c>
      <c r="J74" s="14">
        <v>410.00000000000011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3.5" customHeight="1" x14ac:dyDescent="0.35">
      <c r="A75" s="14"/>
      <c r="B75" s="36"/>
      <c r="C75" s="36"/>
      <c r="D75" s="14"/>
      <c r="E75" s="14"/>
      <c r="F75" s="14"/>
      <c r="G75" s="14">
        <v>5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3.5" customHeight="1" x14ac:dyDescent="0.35">
      <c r="A76" s="14"/>
      <c r="B76" s="36"/>
      <c r="C76" s="36"/>
      <c r="D76" s="14"/>
      <c r="E76" s="14"/>
      <c r="F76" s="13" t="s">
        <v>44</v>
      </c>
      <c r="G76" s="14" t="s">
        <v>45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3.5" customHeight="1" x14ac:dyDescent="0.35">
      <c r="A77" s="14"/>
      <c r="B77" s="36"/>
      <c r="C77" s="36"/>
      <c r="D77" s="14"/>
      <c r="E77" s="14" t="s">
        <v>20</v>
      </c>
      <c r="G77" s="14"/>
      <c r="H77" s="14" t="s">
        <v>43</v>
      </c>
      <c r="I77" s="14" t="s">
        <v>46</v>
      </c>
      <c r="J77" s="14" t="s">
        <v>47</v>
      </c>
      <c r="K77" s="14" t="s">
        <v>48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3.5" customHeight="1" x14ac:dyDescent="0.35">
      <c r="A78" s="14"/>
      <c r="B78" s="43">
        <v>120</v>
      </c>
      <c r="C78" s="14">
        <v>1</v>
      </c>
      <c r="D78" s="14">
        <v>120</v>
      </c>
      <c r="E78" s="14">
        <v>1</v>
      </c>
      <c r="F78" s="14">
        <v>120</v>
      </c>
      <c r="G78" s="14">
        <f>F78+G77</f>
        <v>120</v>
      </c>
      <c r="H78" s="14">
        <f>_xlfn.XLOOKUP(G78,$D$39:$D$50,$C$39:$C$50,,1)</f>
        <v>1</v>
      </c>
      <c r="I78" s="24">
        <f>_xlfn.XLOOKUP(H78,$C$39:$C$50,$C$3:$C$14)</f>
        <v>45325</v>
      </c>
      <c r="J78" s="24">
        <f>_xlfn.XLOOKUP(E78,$E$3:$E$7,$G$3:$G$7)</f>
        <v>45278</v>
      </c>
      <c r="K78" s="14">
        <f>J78-I78</f>
        <v>-47</v>
      </c>
      <c r="L78" s="14">
        <f>K78*F78</f>
        <v>-5640</v>
      </c>
      <c r="M78" s="14" cm="1">
        <f t="array" ref="M78:M87">_xlfn.UNIQUE(H78:H91)</f>
        <v>1</v>
      </c>
      <c r="N78" s="14"/>
      <c r="O78" s="44" cm="1">
        <f t="array" ref="O78">SUMPRODUCT(_xlfn._xlws.FILTER($K$78:$K$91,$H$78:$H$91=M78),_xlfn._xlws.FILTER($F$78:$F$91,$H$78:$H$91=M78))/_xlfn.XLOOKUP(M78,$C$39:$C$50,$D$3:$D$14)</f>
        <v>-47</v>
      </c>
      <c r="P78" s="14"/>
      <c r="Q78" s="45">
        <v>47</v>
      </c>
      <c r="R78" s="14"/>
      <c r="S78" s="46">
        <v>5640</v>
      </c>
      <c r="T78" s="14"/>
      <c r="U78" s="14"/>
      <c r="V78" s="14"/>
      <c r="W78" s="14"/>
      <c r="X78" s="14"/>
      <c r="Y78" s="14"/>
      <c r="Z78" s="14"/>
      <c r="AA78" s="14"/>
    </row>
    <row r="79" spans="1:27" ht="13.5" customHeight="1" x14ac:dyDescent="0.35">
      <c r="A79" s="14"/>
      <c r="B79" s="43">
        <v>356</v>
      </c>
      <c r="C79" s="14">
        <v>1</v>
      </c>
      <c r="D79" s="14">
        <v>356</v>
      </c>
      <c r="E79" s="14">
        <v>1</v>
      </c>
      <c r="F79" s="14">
        <v>355.99999999999994</v>
      </c>
      <c r="G79" s="14">
        <f t="shared" ref="G79:G91" si="9">F79+G78</f>
        <v>475.99999999999994</v>
      </c>
      <c r="H79" s="14">
        <f t="shared" ref="H79:H91" si="10">_xlfn.XLOOKUP(G79,$D$39:$D$50,$C$39:$C$50,,1)</f>
        <v>2</v>
      </c>
      <c r="I79" s="24">
        <f t="shared" ref="I79:I90" si="11">_xlfn.XLOOKUP(H79,$C$39:$C$50,$C$3:$C$14)</f>
        <v>45338</v>
      </c>
      <c r="J79" s="24">
        <f t="shared" ref="J79:J91" si="12">_xlfn.XLOOKUP(E79,$E$3:$E$7,$G$3:$G$7)</f>
        <v>45278</v>
      </c>
      <c r="K79" s="14">
        <f t="shared" ref="K79:K91" si="13">J79-I79</f>
        <v>-60</v>
      </c>
      <c r="L79" s="14">
        <f t="shared" ref="L79:L91" si="14">K79*F79</f>
        <v>-21359.999999999996</v>
      </c>
      <c r="M79" s="14">
        <v>2</v>
      </c>
      <c r="N79" s="14"/>
      <c r="O79" s="44" cm="1">
        <f t="array" ref="O79">SUMPRODUCT(_xlfn._xlws.FILTER($K$78:$K$91,$H$78:$H$91=M79),_xlfn._xlws.FILTER($F$78:$F$91,$H$78:$H$91=M79))/_xlfn.XLOOKUP(M79,$C$39:$C$50,$D$3:$D$14)</f>
        <v>-59.999999999999993</v>
      </c>
      <c r="P79" s="14"/>
      <c r="Q79" s="45">
        <v>60</v>
      </c>
      <c r="R79" s="14"/>
      <c r="S79" s="46">
        <v>21360</v>
      </c>
      <c r="T79" s="14"/>
      <c r="U79" s="14"/>
      <c r="V79" s="14"/>
      <c r="W79" s="14"/>
      <c r="X79" s="14"/>
      <c r="Y79" s="14"/>
      <c r="Z79" s="14"/>
      <c r="AA79" s="14"/>
    </row>
    <row r="80" spans="1:27" ht="13.5" customHeight="1" x14ac:dyDescent="0.35">
      <c r="A80" s="14"/>
      <c r="B80" s="43">
        <v>124</v>
      </c>
      <c r="C80" s="14">
        <v>1</v>
      </c>
      <c r="D80" s="14">
        <v>124</v>
      </c>
      <c r="E80" s="14">
        <v>1</v>
      </c>
      <c r="F80" s="14">
        <v>124</v>
      </c>
      <c r="G80" s="14">
        <f t="shared" si="9"/>
        <v>600</v>
      </c>
      <c r="H80" s="14">
        <f t="shared" si="10"/>
        <v>3</v>
      </c>
      <c r="I80" s="24">
        <f t="shared" si="11"/>
        <v>45341</v>
      </c>
      <c r="J80" s="24">
        <f t="shared" si="12"/>
        <v>45278</v>
      </c>
      <c r="K80" s="14">
        <f>J80-I80</f>
        <v>-63</v>
      </c>
      <c r="L80" s="14">
        <f>K80*F80</f>
        <v>-7812</v>
      </c>
      <c r="M80" s="14">
        <v>3</v>
      </c>
      <c r="N80" s="14"/>
      <c r="O80" s="44" cm="1">
        <f t="array" ref="O80">SUMPRODUCT(_xlfn._xlws.FILTER($K$78:$K$91,$H$78:$H$91=M80),_xlfn._xlws.FILTER($F$78:$F$91,$H$78:$H$91=M80))/_xlfn.XLOOKUP(M80,$C$39:$C$50,$D$3:$D$14)</f>
        <v>-44.262820512820511</v>
      </c>
      <c r="P80" s="14"/>
      <c r="Q80" s="45">
        <v>46.429487179487182</v>
      </c>
      <c r="R80" s="14"/>
      <c r="S80" s="47">
        <v>14486</v>
      </c>
      <c r="T80" s="14"/>
      <c r="U80" s="50">
        <v>63</v>
      </c>
      <c r="V80" s="14"/>
      <c r="W80" s="14"/>
      <c r="X80" s="14"/>
      <c r="Y80" s="14"/>
      <c r="Z80" s="14"/>
      <c r="AA80" s="14"/>
    </row>
    <row r="81" spans="1:27" ht="13.5" customHeight="1" x14ac:dyDescent="0.35">
      <c r="A81" s="14"/>
      <c r="B81" s="43">
        <v>50</v>
      </c>
      <c r="C81" s="43">
        <v>2</v>
      </c>
      <c r="D81" s="14">
        <v>50</v>
      </c>
      <c r="E81" s="14">
        <v>2</v>
      </c>
      <c r="F81" s="14">
        <v>50</v>
      </c>
      <c r="G81" s="14">
        <f t="shared" si="9"/>
        <v>650</v>
      </c>
      <c r="H81" s="14">
        <f t="shared" si="10"/>
        <v>3</v>
      </c>
      <c r="I81" s="24">
        <f t="shared" si="11"/>
        <v>45341</v>
      </c>
      <c r="J81" s="24">
        <f t="shared" si="12"/>
        <v>45286</v>
      </c>
      <c r="K81" s="14">
        <f>J81-I81</f>
        <v>-55</v>
      </c>
      <c r="L81" s="14">
        <f t="shared" ref="L81:L93" si="15">K81*F81</f>
        <v>-2750</v>
      </c>
      <c r="M81" s="14">
        <v>4</v>
      </c>
      <c r="N81" s="14"/>
      <c r="O81" s="44" cm="1">
        <f t="array" ref="O81">SUMPRODUCT(_xlfn._xlws.FILTER($K$78:$K$91,$H$78:$H$91=M81),_xlfn._xlws.FILTER($F$78:$F$91,$H$78:$H$91=M81))/_xlfn.XLOOKUP(M81,$C$39:$C$50,$D$3:$D$14)</f>
        <v>-42.379862700228834</v>
      </c>
      <c r="P81" s="14"/>
      <c r="Q81" s="45">
        <v>40</v>
      </c>
      <c r="R81" s="14"/>
      <c r="S81" s="14">
        <v>17480</v>
      </c>
      <c r="T81" s="14"/>
      <c r="U81" s="50">
        <v>55</v>
      </c>
      <c r="V81" s="14"/>
      <c r="W81" s="14"/>
      <c r="X81" s="14"/>
      <c r="Y81" s="14"/>
      <c r="Z81" s="14"/>
      <c r="AA81" s="14"/>
    </row>
    <row r="82" spans="1:27" ht="13.5" customHeight="1" x14ac:dyDescent="0.35">
      <c r="A82" s="14"/>
      <c r="B82" s="43">
        <v>112</v>
      </c>
      <c r="C82" s="43">
        <v>3</v>
      </c>
      <c r="D82" s="14">
        <v>112</v>
      </c>
      <c r="E82" s="14">
        <v>3</v>
      </c>
      <c r="F82" s="14">
        <v>112</v>
      </c>
      <c r="G82" s="14">
        <f t="shared" si="9"/>
        <v>762</v>
      </c>
      <c r="H82" s="14">
        <f t="shared" si="10"/>
        <v>3</v>
      </c>
      <c r="I82" s="24">
        <f t="shared" si="11"/>
        <v>45341</v>
      </c>
      <c r="J82" s="24">
        <f t="shared" si="12"/>
        <v>45312</v>
      </c>
      <c r="K82" s="14">
        <f>J82-I82</f>
        <v>-29</v>
      </c>
      <c r="L82" s="14">
        <f t="shared" si="15"/>
        <v>-3248</v>
      </c>
      <c r="M82" s="14">
        <v>5</v>
      </c>
      <c r="N82" s="14"/>
      <c r="O82" s="44" cm="1">
        <f t="array" ref="O82">SUMPRODUCT(_xlfn._xlws.FILTER($K$78:$K$91,$H$78:$H$91=M82),_xlfn._xlws.FILTER($F$78:$F$91,$H$78:$H$91=M82))/_xlfn.XLOOKUP(M82,$C$39:$C$50,$D$3:$D$14)</f>
        <v>-47.812834224598895</v>
      </c>
      <c r="P82" s="14"/>
      <c r="Q82" s="45">
        <v>47.81283422459893</v>
      </c>
      <c r="R82" s="14"/>
      <c r="S82" s="14">
        <v>17882</v>
      </c>
      <c r="T82" s="14"/>
      <c r="U82" s="50">
        <v>29</v>
      </c>
      <c r="V82" s="14"/>
      <c r="W82" s="14"/>
      <c r="X82" s="14"/>
      <c r="Y82" s="14"/>
      <c r="Z82" s="14"/>
      <c r="AA82" s="14"/>
    </row>
    <row r="83" spans="1:27" ht="13.5" customHeight="1" x14ac:dyDescent="0.35">
      <c r="A83" s="14"/>
      <c r="B83" s="43">
        <v>26</v>
      </c>
      <c r="C83" s="43">
        <v>4</v>
      </c>
      <c r="D83" s="14">
        <v>26</v>
      </c>
      <c r="E83" s="14">
        <v>4</v>
      </c>
      <c r="F83" s="14">
        <v>26.000000000000156</v>
      </c>
      <c r="G83" s="14">
        <f t="shared" si="9"/>
        <v>788.00000000000011</v>
      </c>
      <c r="H83" s="14">
        <f>_xlfn.XLOOKUP(G83,$D$39:$D$50,$C$39:$C$50,,1)</f>
        <v>4</v>
      </c>
      <c r="I83" s="24">
        <f t="shared" si="11"/>
        <v>45355</v>
      </c>
      <c r="J83" s="24">
        <f t="shared" si="12"/>
        <v>45315</v>
      </c>
      <c r="K83" s="14">
        <f t="shared" ref="K83:K95" si="16">J83-I83</f>
        <v>-40</v>
      </c>
      <c r="L83" s="14">
        <f t="shared" si="15"/>
        <v>-1040.0000000000064</v>
      </c>
      <c r="M83" s="14">
        <v>6</v>
      </c>
      <c r="N83" s="14"/>
      <c r="O83" s="44" cm="1">
        <f t="array" ref="O83">SUMPRODUCT(_xlfn._xlws.FILTER($K$78:$K$91,$H$78:$H$91=M83),_xlfn._xlws.FILTER($F$78:$F$91,$H$78:$H$91=M83))/_xlfn.XLOOKUP(M83,$C$39:$C$50,$D$3:$D$14)</f>
        <v>-38.00000000000005</v>
      </c>
      <c r="P83" s="14"/>
      <c r="Q83" s="45">
        <v>38</v>
      </c>
      <c r="R83" s="14"/>
      <c r="S83" s="14">
        <v>9804</v>
      </c>
      <c r="T83" s="14"/>
      <c r="U83" s="50">
        <v>26</v>
      </c>
      <c r="V83" s="14"/>
      <c r="W83" s="14"/>
      <c r="X83" s="14"/>
      <c r="Y83" s="14"/>
      <c r="Z83" s="14"/>
      <c r="AA83" s="14"/>
    </row>
    <row r="84" spans="1:27" ht="13.5" customHeight="1" x14ac:dyDescent="0.35">
      <c r="A84" s="14"/>
      <c r="B84" s="43">
        <v>437</v>
      </c>
      <c r="C84" s="43">
        <v>4</v>
      </c>
      <c r="D84" s="14">
        <v>437</v>
      </c>
      <c r="E84" s="14">
        <v>4</v>
      </c>
      <c r="F84" s="14">
        <v>436.99999999999977</v>
      </c>
      <c r="G84" s="14">
        <f t="shared" si="9"/>
        <v>1225</v>
      </c>
      <c r="H84" s="14">
        <f t="shared" ref="H84:H96" si="17">_xlfn.XLOOKUP(G84,$D$39:$D$50,$C$39:$C$50,,1)</f>
        <v>4</v>
      </c>
      <c r="I84" s="24">
        <f>_xlfn.XLOOKUP(H84,$C$39:$C$50,$C$3:$C$14)</f>
        <v>45355</v>
      </c>
      <c r="J84" s="24">
        <f t="shared" si="12"/>
        <v>45315</v>
      </c>
      <c r="K84" s="14">
        <f t="shared" si="16"/>
        <v>-40</v>
      </c>
      <c r="L84" s="14">
        <f t="shared" si="15"/>
        <v>-17479.999999999993</v>
      </c>
      <c r="M84" s="14">
        <v>7</v>
      </c>
      <c r="N84" s="14"/>
      <c r="O84" s="44" cm="1">
        <f t="array" ref="O84">SUMPRODUCT(_xlfn._xlws.FILTER($K$78:$K$91,$H$78:$H$91=M84),_xlfn._xlws.FILTER($F$78:$F$91,$H$78:$H$91=M84))/_xlfn.XLOOKUP(M84,$C$39:$C$50,$D$3:$D$14)</f>
        <v>-43.000000000000014</v>
      </c>
      <c r="P84" s="14"/>
      <c r="Q84" s="45">
        <v>43</v>
      </c>
      <c r="R84" s="14"/>
      <c r="S84" s="14">
        <v>15867</v>
      </c>
      <c r="T84" s="14"/>
      <c r="U84" s="50">
        <v>14</v>
      </c>
      <c r="V84" s="14"/>
      <c r="W84" s="14"/>
      <c r="X84" s="14"/>
      <c r="Y84" s="14"/>
      <c r="Z84" s="14"/>
      <c r="AA84" s="14"/>
    </row>
    <row r="85" spans="1:27" ht="13.5" customHeight="1" x14ac:dyDescent="0.35">
      <c r="A85" s="14"/>
      <c r="B85" s="43">
        <v>337</v>
      </c>
      <c r="C85" s="43">
        <v>4</v>
      </c>
      <c r="D85" s="14">
        <v>337</v>
      </c>
      <c r="E85" s="14">
        <v>4</v>
      </c>
      <c r="F85" s="14">
        <v>337.00000000000011</v>
      </c>
      <c r="G85" s="14">
        <f t="shared" si="9"/>
        <v>1562</v>
      </c>
      <c r="H85" s="14">
        <f t="shared" si="17"/>
        <v>5</v>
      </c>
      <c r="I85" s="24">
        <f t="shared" ref="I85:I96" si="18">_xlfn.XLOOKUP(H85,$C$39:$C$50,$C$3:$C$14)</f>
        <v>45364</v>
      </c>
      <c r="J85" s="24">
        <f t="shared" si="12"/>
        <v>45315</v>
      </c>
      <c r="K85" s="14">
        <f t="shared" si="16"/>
        <v>-49</v>
      </c>
      <c r="L85" s="14">
        <f t="shared" si="15"/>
        <v>-16513.000000000007</v>
      </c>
      <c r="M85" s="14">
        <v>8</v>
      </c>
      <c r="N85" s="14"/>
      <c r="O85" s="44" cm="1">
        <f t="array" ref="O85">SUMPRODUCT(_xlfn._xlws.FILTER($K$78:$K$91,$H$78:$H$91=M85),_xlfn._xlws.FILTER($F$78:$F$91,$H$78:$H$91=M85))/_xlfn.XLOOKUP(M85,$C$39:$C$50,$D$3:$D$14)</f>
        <v>-48.999999999999972</v>
      </c>
      <c r="P85" s="14"/>
      <c r="Q85" s="45">
        <v>49</v>
      </c>
      <c r="R85" s="14"/>
      <c r="S85" s="14">
        <v>20482</v>
      </c>
      <c r="T85" s="14"/>
      <c r="U85" s="14"/>
      <c r="V85" s="14"/>
      <c r="W85" s="14"/>
      <c r="X85" s="14"/>
      <c r="Y85" s="14"/>
      <c r="Z85" s="14"/>
      <c r="AA85" s="14"/>
    </row>
    <row r="86" spans="1:27" ht="13.5" customHeight="1" x14ac:dyDescent="0.35">
      <c r="A86" s="14"/>
      <c r="B86" s="43">
        <v>37</v>
      </c>
      <c r="C86" s="14">
        <v>5</v>
      </c>
      <c r="D86" s="14">
        <v>37</v>
      </c>
      <c r="E86" s="14">
        <v>5</v>
      </c>
      <c r="F86" s="14">
        <v>36.999999999999389</v>
      </c>
      <c r="G86" s="14">
        <f t="shared" si="9"/>
        <v>1598.9999999999993</v>
      </c>
      <c r="H86" s="14">
        <f t="shared" si="17"/>
        <v>5</v>
      </c>
      <c r="I86" s="24">
        <f t="shared" si="18"/>
        <v>45364</v>
      </c>
      <c r="J86" s="24">
        <f t="shared" si="12"/>
        <v>45327</v>
      </c>
      <c r="K86" s="14">
        <f t="shared" si="16"/>
        <v>-37</v>
      </c>
      <c r="L86" s="14">
        <f t="shared" si="15"/>
        <v>-1368.9999999999775</v>
      </c>
      <c r="M86" s="14">
        <v>9</v>
      </c>
      <c r="N86" s="14"/>
      <c r="O86" s="44" cm="1">
        <f t="array" ref="O86">SUMPRODUCT(_xlfn._xlws.FILTER($K$78:$K$91,$H$78:$H$91=M86),_xlfn._xlws.FILTER($F$78:$F$91,$H$78:$H$91=M86))/_xlfn.XLOOKUP(M86,$C$39:$C$50,$D$3:$D$14)</f>
        <v>-57.000000000000036</v>
      </c>
      <c r="P86" s="14"/>
      <c r="Q86" s="45">
        <v>57</v>
      </c>
      <c r="R86" s="14"/>
      <c r="S86" s="14">
        <v>17556</v>
      </c>
      <c r="T86" s="14"/>
      <c r="U86" s="14"/>
      <c r="V86" s="14"/>
      <c r="W86" s="14"/>
      <c r="X86" s="14"/>
      <c r="Y86" s="14"/>
      <c r="Z86" s="14"/>
      <c r="AA86" s="14"/>
    </row>
    <row r="87" spans="1:27" ht="13.5" customHeight="1" x14ac:dyDescent="0.35">
      <c r="A87" s="14"/>
      <c r="B87" s="43">
        <v>258</v>
      </c>
      <c r="C87" s="14">
        <v>5</v>
      </c>
      <c r="D87" s="14">
        <v>258</v>
      </c>
      <c r="E87" s="14">
        <v>5</v>
      </c>
      <c r="F87" s="14">
        <v>258.00000000000034</v>
      </c>
      <c r="G87" s="14">
        <f t="shared" si="9"/>
        <v>1856.9999999999995</v>
      </c>
      <c r="H87" s="14">
        <f t="shared" si="17"/>
        <v>6</v>
      </c>
      <c r="I87" s="24">
        <f t="shared" si="18"/>
        <v>45365</v>
      </c>
      <c r="J87" s="24">
        <f t="shared" si="12"/>
        <v>45327</v>
      </c>
      <c r="K87" s="14">
        <f t="shared" si="16"/>
        <v>-38</v>
      </c>
      <c r="L87" s="14">
        <f t="shared" si="15"/>
        <v>-9804.0000000000127</v>
      </c>
      <c r="M87" s="14">
        <v>10</v>
      </c>
      <c r="N87" s="14"/>
      <c r="O87" s="44" cm="1">
        <f t="array" ref="O87">SUMPRODUCT(_xlfn._xlws.FILTER($K$78:$K$91,$H$78:$H$91=M87),_xlfn._xlws.FILTER($F$78:$F$91,$H$78:$H$91=M87))/_xlfn.XLOOKUP(M87,$C$39:$C$50,$D$3:$D$14)</f>
        <v>-70.000000000000014</v>
      </c>
      <c r="P87" s="14"/>
      <c r="Q87" s="45">
        <v>70</v>
      </c>
      <c r="R87" s="14"/>
      <c r="S87" s="14">
        <v>28700</v>
      </c>
      <c r="T87" s="14"/>
      <c r="U87" s="14"/>
      <c r="V87" s="14"/>
      <c r="W87" s="14"/>
      <c r="X87" s="14"/>
      <c r="Y87" s="14"/>
      <c r="Z87" s="14"/>
      <c r="AA87" s="14"/>
    </row>
    <row r="88" spans="1:27" ht="13.5" customHeight="1" x14ac:dyDescent="0.35">
      <c r="A88" s="14"/>
      <c r="B88" s="43">
        <v>369</v>
      </c>
      <c r="C88" s="14">
        <v>5</v>
      </c>
      <c r="D88" s="14">
        <v>369</v>
      </c>
      <c r="E88" s="14">
        <v>5</v>
      </c>
      <c r="F88" s="14">
        <v>369.00000000000011</v>
      </c>
      <c r="G88" s="14">
        <f t="shared" si="9"/>
        <v>2225.9999999999995</v>
      </c>
      <c r="H88" s="14">
        <f t="shared" si="17"/>
        <v>7</v>
      </c>
      <c r="I88" s="24">
        <f t="shared" si="18"/>
        <v>45370</v>
      </c>
      <c r="J88" s="24">
        <f t="shared" si="12"/>
        <v>45327</v>
      </c>
      <c r="K88" s="14">
        <f t="shared" si="16"/>
        <v>-43</v>
      </c>
      <c r="L88" s="14">
        <f t="shared" si="15"/>
        <v>-15867.000000000005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.5" customHeight="1" x14ac:dyDescent="0.35">
      <c r="A89" s="14"/>
      <c r="B89" s="43">
        <v>418</v>
      </c>
      <c r="C89" s="14">
        <v>5</v>
      </c>
      <c r="D89" s="14">
        <v>418</v>
      </c>
      <c r="E89" s="14">
        <v>5</v>
      </c>
      <c r="F89" s="14">
        <v>417.99999999999977</v>
      </c>
      <c r="G89" s="14">
        <f t="shared" si="9"/>
        <v>2643.9999999999991</v>
      </c>
      <c r="H89" s="14">
        <f t="shared" si="17"/>
        <v>8</v>
      </c>
      <c r="I89" s="24">
        <f t="shared" si="18"/>
        <v>45376</v>
      </c>
      <c r="J89" s="24">
        <f t="shared" si="12"/>
        <v>45327</v>
      </c>
      <c r="K89" s="14">
        <f t="shared" si="16"/>
        <v>-49</v>
      </c>
      <c r="L89" s="14">
        <f t="shared" si="15"/>
        <v>-20481.999999999989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.5" customHeight="1" x14ac:dyDescent="0.35">
      <c r="A90" s="14"/>
      <c r="B90" s="43">
        <v>308</v>
      </c>
      <c r="C90" s="14">
        <v>5</v>
      </c>
      <c r="D90" s="14">
        <v>308</v>
      </c>
      <c r="E90" s="14">
        <v>5</v>
      </c>
      <c r="F90" s="14">
        <v>308.00000000000017</v>
      </c>
      <c r="G90" s="14">
        <f t="shared" si="9"/>
        <v>2951.9999999999991</v>
      </c>
      <c r="H90" s="14">
        <f t="shared" si="17"/>
        <v>9</v>
      </c>
      <c r="I90" s="24">
        <f t="shared" si="18"/>
        <v>45384</v>
      </c>
      <c r="J90" s="24">
        <f t="shared" si="12"/>
        <v>45327</v>
      </c>
      <c r="K90" s="14">
        <f t="shared" si="16"/>
        <v>-57</v>
      </c>
      <c r="L90" s="14">
        <f t="shared" si="15"/>
        <v>-17556.000000000011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.5" customHeight="1" x14ac:dyDescent="0.35">
      <c r="A91" s="14"/>
      <c r="B91" s="43">
        <v>410</v>
      </c>
      <c r="C91" s="14">
        <v>5</v>
      </c>
      <c r="D91" s="14">
        <v>410</v>
      </c>
      <c r="E91" s="14">
        <v>5</v>
      </c>
      <c r="F91" s="14">
        <v>410.00000000000011</v>
      </c>
      <c r="G91" s="14">
        <f t="shared" si="9"/>
        <v>3361.9999999999991</v>
      </c>
      <c r="H91" s="14">
        <f t="shared" si="17"/>
        <v>10</v>
      </c>
      <c r="I91" s="24">
        <f>_xlfn.XLOOKUP(H91,$C$39:$C$50,$C$3:$C$14)</f>
        <v>45397</v>
      </c>
      <c r="J91" s="24">
        <f t="shared" si="12"/>
        <v>45327</v>
      </c>
      <c r="K91" s="14">
        <f t="shared" si="16"/>
        <v>-70</v>
      </c>
      <c r="L91" s="14">
        <f t="shared" si="15"/>
        <v>-28700.000000000007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.5" customHeight="1" x14ac:dyDescent="0.35">
      <c r="A92" s="14"/>
      <c r="B92" s="36"/>
      <c r="C92" s="36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.5" customHeight="1" x14ac:dyDescent="0.35">
      <c r="A93" s="14"/>
      <c r="B93" s="36"/>
      <c r="C93" s="36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.5" customHeight="1" x14ac:dyDescent="0.35">
      <c r="A94" s="14"/>
      <c r="B94" s="36"/>
      <c r="C94" s="36"/>
      <c r="D94" s="14"/>
      <c r="E94" s="14"/>
      <c r="F94" s="14"/>
      <c r="G94" s="14"/>
      <c r="H94" s="14"/>
      <c r="I94" s="14"/>
      <c r="J94" s="14"/>
      <c r="K94" s="24">
        <v>45278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.5" customHeight="1" x14ac:dyDescent="0.35">
      <c r="A95" s="14"/>
      <c r="B95" s="36"/>
      <c r="C95" s="36"/>
      <c r="D95" s="14"/>
      <c r="E95" s="14"/>
      <c r="F95" s="14"/>
      <c r="G95" s="14"/>
      <c r="H95" s="14"/>
      <c r="I95" s="14"/>
      <c r="J95" s="14"/>
      <c r="K95" s="24">
        <v>45286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.5" customHeight="1" x14ac:dyDescent="0.35">
      <c r="A96" s="14"/>
      <c r="B96" s="36"/>
      <c r="C96" s="36"/>
      <c r="D96" s="14"/>
      <c r="E96" s="14"/>
      <c r="F96" s="14"/>
      <c r="G96" s="14"/>
      <c r="H96" s="14"/>
      <c r="I96" s="14"/>
      <c r="J96" s="14"/>
      <c r="K96" s="24">
        <v>45312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.5" customHeight="1" x14ac:dyDescent="0.35">
      <c r="A97" s="14"/>
      <c r="B97" s="36"/>
      <c r="C97" s="36"/>
      <c r="D97" s="14"/>
      <c r="E97" s="14"/>
      <c r="H97" s="14"/>
      <c r="I97" s="14"/>
      <c r="J97" s="14"/>
      <c r="K97" s="24">
        <v>45315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.5" customHeight="1" x14ac:dyDescent="0.35">
      <c r="A98" s="14"/>
      <c r="B98" s="36"/>
      <c r="C98" s="36"/>
      <c r="D98" s="14"/>
      <c r="E98" s="14"/>
      <c r="H98" s="14"/>
      <c r="I98" s="14"/>
      <c r="J98" s="14"/>
      <c r="K98" s="24">
        <v>45327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.5" customHeight="1" x14ac:dyDescent="0.35">
      <c r="A99" s="14"/>
      <c r="B99" s="36"/>
      <c r="C99" s="36">
        <v>1</v>
      </c>
      <c r="D99" s="14"/>
      <c r="E99" s="36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.5" customHeight="1" x14ac:dyDescent="0.35">
      <c r="A100" s="14"/>
      <c r="B100" s="36"/>
      <c r="D100" s="43"/>
      <c r="E100" s="43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.5" customHeight="1" x14ac:dyDescent="0.35">
      <c r="A101" s="14"/>
      <c r="B101" s="36"/>
      <c r="D101" s="43"/>
      <c r="E101" s="43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.5" customHeight="1" x14ac:dyDescent="0.35">
      <c r="A102" s="14"/>
      <c r="B102" s="36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.5" customHeight="1" x14ac:dyDescent="0.35">
      <c r="A103" s="14"/>
      <c r="B103" s="36"/>
      <c r="C103" s="43"/>
      <c r="D103" s="43"/>
      <c r="E103" s="43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.5" customHeight="1" x14ac:dyDescent="0.35">
      <c r="A104" s="14"/>
      <c r="B104" s="36"/>
      <c r="C104" s="43"/>
      <c r="D104" s="43"/>
      <c r="E104" s="43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.5" customHeight="1" x14ac:dyDescent="0.35">
      <c r="A105" s="14"/>
      <c r="B105" s="36"/>
      <c r="C105" s="43"/>
      <c r="D105" s="43"/>
      <c r="E105" s="43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.5" customHeight="1" x14ac:dyDescent="0.35">
      <c r="A106" s="14"/>
      <c r="B106" s="36"/>
      <c r="C106" s="43"/>
      <c r="D106" s="43"/>
      <c r="E106" s="43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.5" customHeight="1" x14ac:dyDescent="0.35">
      <c r="A107" s="14"/>
      <c r="B107" s="36"/>
      <c r="C107" s="43"/>
      <c r="D107" s="43"/>
      <c r="E107" s="43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.5" customHeight="1" x14ac:dyDescent="0.35">
      <c r="A108" s="14"/>
      <c r="B108" s="36"/>
      <c r="C108" s="43"/>
      <c r="D108" s="43"/>
      <c r="E108" s="43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.5" customHeight="1" x14ac:dyDescent="0.35">
      <c r="A109" s="14"/>
      <c r="B109" s="36"/>
      <c r="C109" s="43"/>
      <c r="D109" s="43"/>
      <c r="E109" s="43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.5" customHeight="1" x14ac:dyDescent="0.35">
      <c r="A110" s="14"/>
      <c r="B110" s="36"/>
      <c r="C110" s="36"/>
      <c r="D110" s="14"/>
      <c r="E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3.5" customHeight="1" x14ac:dyDescent="0.35">
      <c r="A111" s="14"/>
      <c r="B111" s="36"/>
      <c r="C111" s="36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3.5" customHeight="1" x14ac:dyDescent="0.35">
      <c r="A112" s="14"/>
      <c r="B112" s="36"/>
      <c r="C112" s="36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3.5" customHeight="1" x14ac:dyDescent="0.35">
      <c r="A113" s="14"/>
      <c r="B113" s="36"/>
      <c r="C113" s="36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3.5" customHeight="1" x14ac:dyDescent="0.35">
      <c r="A114" s="14"/>
      <c r="B114" s="36"/>
      <c r="C114" s="36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3.5" customHeight="1" x14ac:dyDescent="0.35">
      <c r="A115" s="14"/>
      <c r="B115" s="36"/>
      <c r="C115" s="36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3.5" customHeight="1" x14ac:dyDescent="0.35">
      <c r="A116" s="14"/>
      <c r="B116" s="36"/>
      <c r="C116" s="36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3.5" customHeight="1" x14ac:dyDescent="0.35">
      <c r="A117" s="14"/>
      <c r="B117" s="36"/>
      <c r="C117" s="36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3.5" customHeight="1" x14ac:dyDescent="0.35">
      <c r="A118" s="14"/>
      <c r="B118" s="36"/>
      <c r="C118" s="36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3.5" customHeight="1" x14ac:dyDescent="0.35">
      <c r="A119" s="14"/>
      <c r="B119" s="36"/>
      <c r="C119" s="36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3.5" customHeight="1" x14ac:dyDescent="0.35">
      <c r="A120" s="14"/>
      <c r="B120" s="36"/>
      <c r="C120" s="36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3.5" customHeight="1" x14ac:dyDescent="0.35">
      <c r="A121" s="14"/>
      <c r="B121" s="36"/>
      <c r="C121" s="36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3.5" customHeight="1" x14ac:dyDescent="0.35">
      <c r="A122" s="14"/>
      <c r="B122" s="36"/>
      <c r="C122" s="36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3.5" customHeight="1" x14ac:dyDescent="0.35">
      <c r="A123" s="14"/>
      <c r="B123" s="36"/>
      <c r="C123" s="36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3.5" customHeight="1" x14ac:dyDescent="0.35">
      <c r="A124" s="14"/>
      <c r="B124" s="36"/>
      <c r="C124" s="36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3.5" customHeight="1" x14ac:dyDescent="0.35">
      <c r="A125" s="14"/>
      <c r="B125" s="36"/>
      <c r="C125" s="36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3.5" customHeight="1" x14ac:dyDescent="0.35">
      <c r="A126" s="14"/>
      <c r="B126" s="36"/>
      <c r="C126" s="36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3.5" customHeight="1" x14ac:dyDescent="0.35">
      <c r="A127" s="14"/>
      <c r="B127" s="36"/>
      <c r="C127" s="36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3.5" customHeight="1" x14ac:dyDescent="0.35">
      <c r="A128" s="14"/>
      <c r="B128" s="36"/>
      <c r="C128" s="36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3.5" customHeight="1" x14ac:dyDescent="0.35">
      <c r="A129" s="14"/>
      <c r="B129" s="36"/>
      <c r="C129" s="36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3.5" customHeight="1" x14ac:dyDescent="0.35">
      <c r="A130" s="14"/>
      <c r="B130" s="36"/>
      <c r="C130" s="36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3.5" customHeight="1" x14ac:dyDescent="0.35">
      <c r="A131" s="14"/>
      <c r="B131" s="36"/>
      <c r="C131" s="36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3.5" customHeight="1" x14ac:dyDescent="0.35">
      <c r="A132" s="14"/>
      <c r="B132" s="36"/>
      <c r="C132" s="36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3.5" customHeight="1" x14ac:dyDescent="0.35">
      <c r="A133" s="14"/>
      <c r="B133" s="36"/>
      <c r="C133" s="36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3.5" customHeight="1" x14ac:dyDescent="0.35">
      <c r="A134" s="14"/>
      <c r="B134" s="36"/>
      <c r="C134" s="36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3.5" customHeight="1" x14ac:dyDescent="0.35">
      <c r="A135" s="14"/>
      <c r="B135" s="36"/>
      <c r="C135" s="36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3.5" customHeight="1" x14ac:dyDescent="0.35">
      <c r="A136" s="14"/>
      <c r="B136" s="36"/>
      <c r="C136" s="36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3.5" customHeight="1" x14ac:dyDescent="0.35">
      <c r="A137" s="14"/>
      <c r="B137" s="36"/>
      <c r="C137" s="36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3.5" customHeight="1" x14ac:dyDescent="0.35">
      <c r="A138" s="14"/>
      <c r="B138" s="36"/>
      <c r="C138" s="36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3.5" customHeight="1" x14ac:dyDescent="0.35">
      <c r="A139" s="14"/>
      <c r="B139" s="36"/>
      <c r="C139" s="36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3.5" customHeight="1" x14ac:dyDescent="0.35">
      <c r="A140" s="14"/>
      <c r="B140" s="36"/>
      <c r="C140" s="36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3.5" customHeight="1" x14ac:dyDescent="0.35">
      <c r="A141" s="14"/>
      <c r="B141" s="36"/>
      <c r="C141" s="36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3.5" customHeight="1" x14ac:dyDescent="0.35">
      <c r="A142" s="14"/>
      <c r="B142" s="36"/>
      <c r="C142" s="36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3.5" customHeight="1" x14ac:dyDescent="0.35">
      <c r="A143" s="14"/>
      <c r="B143" s="36"/>
      <c r="C143" s="36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3.5" customHeight="1" x14ac:dyDescent="0.35">
      <c r="A144" s="14"/>
      <c r="B144" s="36"/>
      <c r="C144" s="36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3.5" customHeight="1" x14ac:dyDescent="0.35">
      <c r="A145" s="14"/>
      <c r="B145" s="36"/>
      <c r="C145" s="36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3.5" customHeight="1" x14ac:dyDescent="0.35">
      <c r="A146" s="14"/>
      <c r="B146" s="36"/>
      <c r="C146" s="36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3.5" customHeight="1" x14ac:dyDescent="0.35">
      <c r="A147" s="14"/>
      <c r="B147" s="36"/>
      <c r="C147" s="36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3.5" customHeight="1" x14ac:dyDescent="0.35">
      <c r="A148" s="14"/>
      <c r="B148" s="36"/>
      <c r="C148" s="36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3.5" customHeight="1" x14ac:dyDescent="0.35">
      <c r="A149" s="14"/>
      <c r="B149" s="36"/>
      <c r="C149" s="36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3.5" customHeight="1" x14ac:dyDescent="0.35">
      <c r="A150" s="14"/>
      <c r="B150" s="36"/>
      <c r="C150" s="36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3.5" customHeight="1" x14ac:dyDescent="0.35">
      <c r="A151" s="14"/>
      <c r="B151" s="36"/>
      <c r="C151" s="36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3.5" customHeight="1" x14ac:dyDescent="0.35">
      <c r="A152" s="14"/>
      <c r="B152" s="36"/>
      <c r="C152" s="36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3.5" customHeight="1" x14ac:dyDescent="0.35">
      <c r="A153" s="14"/>
      <c r="B153" s="36"/>
      <c r="C153" s="36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3.5" customHeight="1" x14ac:dyDescent="0.35">
      <c r="A154" s="14"/>
      <c r="B154" s="36"/>
      <c r="C154" s="36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3.5" customHeight="1" x14ac:dyDescent="0.35">
      <c r="A155" s="14"/>
      <c r="B155" s="36"/>
      <c r="C155" s="36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3.5" customHeight="1" x14ac:dyDescent="0.35">
      <c r="A156" s="14"/>
      <c r="B156" s="36"/>
      <c r="C156" s="36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3.5" customHeight="1" x14ac:dyDescent="0.35">
      <c r="A157" s="14"/>
      <c r="B157" s="36"/>
      <c r="C157" s="36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3.5" customHeight="1" x14ac:dyDescent="0.35">
      <c r="A158" s="14"/>
      <c r="B158" s="36"/>
      <c r="C158" s="36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3.5" customHeight="1" x14ac:dyDescent="0.35">
      <c r="A159" s="14"/>
      <c r="B159" s="36"/>
      <c r="C159" s="36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3.5" customHeight="1" x14ac:dyDescent="0.35">
      <c r="A160" s="14"/>
      <c r="B160" s="36"/>
      <c r="C160" s="36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3.5" customHeight="1" x14ac:dyDescent="0.35">
      <c r="A161" s="14"/>
      <c r="B161" s="36"/>
      <c r="C161" s="36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3.5" customHeight="1" x14ac:dyDescent="0.35">
      <c r="A162" s="14"/>
      <c r="B162" s="36"/>
      <c r="C162" s="36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3.5" customHeight="1" x14ac:dyDescent="0.35">
      <c r="A163" s="14"/>
      <c r="B163" s="36"/>
      <c r="C163" s="36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3.5" customHeight="1" x14ac:dyDescent="0.35">
      <c r="A164" s="14"/>
      <c r="B164" s="36"/>
      <c r="C164" s="36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3.5" customHeight="1" x14ac:dyDescent="0.35">
      <c r="A165" s="14"/>
      <c r="B165" s="36"/>
      <c r="C165" s="36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3.5" customHeight="1" x14ac:dyDescent="0.35">
      <c r="A166" s="14"/>
      <c r="B166" s="36"/>
      <c r="C166" s="36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3.5" customHeight="1" x14ac:dyDescent="0.35">
      <c r="A167" s="14"/>
      <c r="B167" s="36"/>
      <c r="C167" s="36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3.5" customHeight="1" x14ac:dyDescent="0.35">
      <c r="A168" s="14"/>
      <c r="B168" s="36"/>
      <c r="C168" s="36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3.5" customHeight="1" x14ac:dyDescent="0.35">
      <c r="A169" s="14"/>
      <c r="B169" s="36"/>
      <c r="C169" s="36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3.5" customHeight="1" x14ac:dyDescent="0.35">
      <c r="A170" s="14"/>
      <c r="B170" s="36"/>
      <c r="C170" s="36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3.5" customHeight="1" x14ac:dyDescent="0.35">
      <c r="A171" s="14"/>
      <c r="B171" s="36"/>
      <c r="C171" s="36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3.5" customHeight="1" x14ac:dyDescent="0.35">
      <c r="A172" s="14"/>
      <c r="B172" s="36"/>
      <c r="C172" s="36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3.5" customHeight="1" x14ac:dyDescent="0.35">
      <c r="A173" s="14"/>
      <c r="B173" s="36"/>
      <c r="C173" s="36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3.5" customHeight="1" x14ac:dyDescent="0.35">
      <c r="A174" s="14"/>
      <c r="B174" s="36"/>
      <c r="C174" s="36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3.5" customHeight="1" x14ac:dyDescent="0.35">
      <c r="A175" s="14"/>
      <c r="B175" s="36"/>
      <c r="C175" s="36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3.5" customHeight="1" x14ac:dyDescent="0.35">
      <c r="A176" s="14"/>
      <c r="B176" s="36"/>
      <c r="C176" s="36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3.5" customHeight="1" x14ac:dyDescent="0.35">
      <c r="A177" s="14"/>
      <c r="B177" s="36"/>
      <c r="C177" s="36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3.5" customHeight="1" x14ac:dyDescent="0.35">
      <c r="A178" s="14"/>
      <c r="B178" s="36"/>
      <c r="C178" s="36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3.5" customHeight="1" x14ac:dyDescent="0.35">
      <c r="A179" s="14"/>
      <c r="B179" s="36"/>
      <c r="C179" s="36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3.5" customHeight="1" x14ac:dyDescent="0.35">
      <c r="A180" s="14"/>
      <c r="B180" s="36"/>
      <c r="C180" s="36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3.5" customHeight="1" x14ac:dyDescent="0.35">
      <c r="A181" s="14"/>
      <c r="B181" s="36"/>
      <c r="C181" s="36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3.5" customHeight="1" x14ac:dyDescent="0.35">
      <c r="A182" s="14"/>
      <c r="B182" s="36"/>
      <c r="C182" s="36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3.5" customHeight="1" x14ac:dyDescent="0.35">
      <c r="A183" s="14"/>
      <c r="B183" s="36"/>
      <c r="C183" s="36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3.5" customHeight="1" x14ac:dyDescent="0.35">
      <c r="A184" s="14"/>
      <c r="B184" s="36"/>
      <c r="C184" s="3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3.5" customHeight="1" x14ac:dyDescent="0.35">
      <c r="A185" s="14"/>
      <c r="B185" s="36"/>
      <c r="C185" s="36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3.5" customHeight="1" x14ac:dyDescent="0.35">
      <c r="A186" s="14"/>
      <c r="B186" s="36"/>
      <c r="C186" s="36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3.5" customHeight="1" x14ac:dyDescent="0.35">
      <c r="A187" s="14"/>
      <c r="B187" s="36"/>
      <c r="C187" s="36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3.5" customHeight="1" x14ac:dyDescent="0.35">
      <c r="A188" s="14"/>
      <c r="B188" s="36"/>
      <c r="C188" s="36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3.5" customHeight="1" x14ac:dyDescent="0.35">
      <c r="A189" s="14"/>
      <c r="B189" s="36"/>
      <c r="C189" s="36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3.5" customHeight="1" x14ac:dyDescent="0.35">
      <c r="A190" s="14"/>
      <c r="B190" s="36"/>
      <c r="C190" s="36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3.5" customHeight="1" x14ac:dyDescent="0.35">
      <c r="A191" s="14"/>
      <c r="B191" s="36"/>
      <c r="C191" s="36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3.5" customHeight="1" x14ac:dyDescent="0.35">
      <c r="A192" s="14"/>
      <c r="B192" s="36"/>
      <c r="C192" s="36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3.5" customHeight="1" x14ac:dyDescent="0.35">
      <c r="A193" s="14"/>
      <c r="B193" s="36"/>
      <c r="C193" s="36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3.5" customHeight="1" x14ac:dyDescent="0.35">
      <c r="A194" s="14"/>
      <c r="B194" s="36"/>
      <c r="C194" s="36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3.5" customHeight="1" x14ac:dyDescent="0.35">
      <c r="A195" s="14"/>
      <c r="B195" s="36"/>
      <c r="C195" s="36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3.5" customHeight="1" x14ac:dyDescent="0.35">
      <c r="A196" s="14"/>
      <c r="B196" s="36"/>
      <c r="C196" s="36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3.5" customHeight="1" x14ac:dyDescent="0.35">
      <c r="A197" s="14"/>
      <c r="B197" s="36"/>
      <c r="C197" s="36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3.5" customHeight="1" x14ac:dyDescent="0.35">
      <c r="A198" s="14"/>
      <c r="B198" s="36"/>
      <c r="C198" s="36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3.5" customHeight="1" x14ac:dyDescent="0.35">
      <c r="A199" s="14"/>
      <c r="B199" s="36"/>
      <c r="C199" s="36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3.5" customHeight="1" x14ac:dyDescent="0.35">
      <c r="A200" s="14"/>
      <c r="B200" s="36"/>
      <c r="C200" s="36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3.5" customHeight="1" x14ac:dyDescent="0.35">
      <c r="A201" s="14"/>
      <c r="B201" s="36"/>
      <c r="C201" s="36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3.5" customHeight="1" x14ac:dyDescent="0.35">
      <c r="A202" s="14"/>
      <c r="B202" s="36"/>
      <c r="C202" s="36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3.5" customHeight="1" x14ac:dyDescent="0.35">
      <c r="A203" s="14"/>
      <c r="B203" s="36"/>
      <c r="C203" s="36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3.5" customHeight="1" x14ac:dyDescent="0.35">
      <c r="A204" s="14"/>
      <c r="B204" s="36"/>
      <c r="C204" s="36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3.5" customHeight="1" x14ac:dyDescent="0.35">
      <c r="A205" s="14"/>
      <c r="B205" s="36"/>
      <c r="C205" s="36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3.5" customHeight="1" x14ac:dyDescent="0.35">
      <c r="A206" s="14"/>
      <c r="B206" s="36"/>
      <c r="C206" s="36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3.5" customHeight="1" x14ac:dyDescent="0.35">
      <c r="A207" s="14"/>
      <c r="B207" s="36"/>
      <c r="C207" s="36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3.5" customHeight="1" x14ac:dyDescent="0.35">
      <c r="A208" s="14"/>
      <c r="B208" s="36"/>
      <c r="C208" s="36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3.5" customHeight="1" x14ac:dyDescent="0.35">
      <c r="A209" s="14"/>
      <c r="B209" s="36"/>
      <c r="C209" s="3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3.5" customHeight="1" x14ac:dyDescent="0.35">
      <c r="A210" s="14"/>
      <c r="B210" s="36"/>
      <c r="C210" s="36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3.5" customHeight="1" x14ac:dyDescent="0.35">
      <c r="A211" s="14"/>
      <c r="B211" s="36"/>
      <c r="C211" s="36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3.5" customHeight="1" x14ac:dyDescent="0.35">
      <c r="A212" s="14"/>
      <c r="B212" s="36"/>
      <c r="C212" s="36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3.5" customHeight="1" x14ac:dyDescent="0.35">
      <c r="A213" s="14"/>
      <c r="B213" s="36"/>
      <c r="C213" s="36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3.5" customHeight="1" x14ac:dyDescent="0.35">
      <c r="A214" s="14"/>
      <c r="B214" s="36"/>
      <c r="C214" s="36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3.5" customHeight="1" x14ac:dyDescent="0.35">
      <c r="A215" s="14"/>
      <c r="B215" s="36"/>
      <c r="C215" s="36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3.5" customHeight="1" x14ac:dyDescent="0.35">
      <c r="A216" s="14"/>
      <c r="B216" s="36"/>
      <c r="C216" s="36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3.5" customHeight="1" x14ac:dyDescent="0.35">
      <c r="A217" s="14"/>
      <c r="B217" s="36"/>
      <c r="C217" s="36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3.5" customHeight="1" x14ac:dyDescent="0.35">
      <c r="A218" s="14"/>
      <c r="B218" s="36"/>
      <c r="C218" s="36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3.5" customHeight="1" x14ac:dyDescent="0.35">
      <c r="A219" s="14"/>
      <c r="B219" s="36"/>
      <c r="C219" s="36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3.5" customHeight="1" x14ac:dyDescent="0.35">
      <c r="A220" s="14"/>
      <c r="B220" s="36"/>
      <c r="C220" s="36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3.5" customHeight="1" x14ac:dyDescent="0.35">
      <c r="A221" s="14"/>
      <c r="B221" s="36"/>
      <c r="C221" s="36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3.5" customHeight="1" x14ac:dyDescent="0.35">
      <c r="A222" s="14"/>
      <c r="B222" s="36"/>
      <c r="C222" s="36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3.5" customHeight="1" x14ac:dyDescent="0.35">
      <c r="A223" s="14"/>
      <c r="B223" s="36"/>
      <c r="C223" s="36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3.5" customHeight="1" x14ac:dyDescent="0.35">
      <c r="A224" s="14"/>
      <c r="B224" s="36"/>
      <c r="C224" s="36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3.5" customHeight="1" x14ac:dyDescent="0.35">
      <c r="A225" s="14"/>
      <c r="B225" s="36"/>
      <c r="C225" s="36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3.5" customHeight="1" x14ac:dyDescent="0.35">
      <c r="A226" s="14"/>
      <c r="B226" s="36"/>
      <c r="C226" s="36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3.5" customHeight="1" x14ac:dyDescent="0.35">
      <c r="A227" s="14"/>
      <c r="B227" s="36"/>
      <c r="C227" s="36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3.5" customHeight="1" x14ac:dyDescent="0.35">
      <c r="A228" s="14"/>
      <c r="B228" s="36"/>
      <c r="C228" s="36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3.5" customHeight="1" x14ac:dyDescent="0.35">
      <c r="A229" s="14"/>
      <c r="B229" s="36"/>
      <c r="C229" s="36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3.5" customHeight="1" x14ac:dyDescent="0.35">
      <c r="A230" s="14"/>
      <c r="B230" s="36"/>
      <c r="C230" s="36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3.5" customHeight="1" x14ac:dyDescent="0.35">
      <c r="A231" s="14"/>
      <c r="B231" s="36"/>
      <c r="C231" s="36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3.5" customHeight="1" x14ac:dyDescent="0.35">
      <c r="A232" s="14"/>
      <c r="B232" s="36"/>
      <c r="C232" s="36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3.5" customHeight="1" x14ac:dyDescent="0.35">
      <c r="A233" s="14"/>
      <c r="B233" s="36"/>
      <c r="C233" s="36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3.5" customHeight="1" x14ac:dyDescent="0.35">
      <c r="A234" s="14"/>
      <c r="B234" s="36"/>
      <c r="C234" s="3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3.5" customHeight="1" x14ac:dyDescent="0.35">
      <c r="A235" s="14"/>
      <c r="B235" s="36"/>
      <c r="C235" s="36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3.5" customHeight="1" x14ac:dyDescent="0.35">
      <c r="A236" s="14"/>
      <c r="B236" s="36"/>
      <c r="C236" s="36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3.5" customHeight="1" x14ac:dyDescent="0.35">
      <c r="A237" s="14"/>
      <c r="B237" s="36"/>
      <c r="C237" s="36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3.5" customHeight="1" x14ac:dyDescent="0.35">
      <c r="A238" s="14"/>
      <c r="B238" s="36"/>
      <c r="C238" s="36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3.5" customHeight="1" x14ac:dyDescent="0.35">
      <c r="A239" s="14"/>
      <c r="B239" s="36"/>
      <c r="C239" s="36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3.5" customHeight="1" x14ac:dyDescent="0.35">
      <c r="A240" s="14"/>
      <c r="B240" s="36"/>
      <c r="C240" s="36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3.5" customHeight="1" x14ac:dyDescent="0.35">
      <c r="A241" s="14"/>
      <c r="B241" s="36"/>
      <c r="C241" s="36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3.5" customHeight="1" x14ac:dyDescent="0.35">
      <c r="A242" s="14"/>
      <c r="B242" s="36"/>
      <c r="C242" s="36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3.5" customHeight="1" x14ac:dyDescent="0.35">
      <c r="A243" s="14"/>
      <c r="B243" s="36"/>
      <c r="C243" s="36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3.5" customHeight="1" x14ac:dyDescent="0.35">
      <c r="A244" s="14"/>
      <c r="B244" s="36"/>
      <c r="C244" s="36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3.5" customHeight="1" x14ac:dyDescent="0.35">
      <c r="A245" s="14"/>
      <c r="B245" s="36"/>
      <c r="C245" s="36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3.5" customHeight="1" x14ac:dyDescent="0.35">
      <c r="A246" s="14"/>
      <c r="B246" s="36"/>
      <c r="C246" s="36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3.5" customHeight="1" x14ac:dyDescent="0.35">
      <c r="A247" s="14"/>
      <c r="B247" s="36"/>
      <c r="C247" s="36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3.5" customHeight="1" x14ac:dyDescent="0.35">
      <c r="A248" s="14"/>
      <c r="B248" s="36"/>
      <c r="C248" s="36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3.5" customHeight="1" x14ac:dyDescent="0.35">
      <c r="A249" s="14"/>
      <c r="B249" s="36"/>
      <c r="C249" s="36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3.5" customHeight="1" x14ac:dyDescent="0.35">
      <c r="A250" s="14"/>
      <c r="B250" s="36"/>
      <c r="C250" s="36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3.5" customHeight="1" x14ac:dyDescent="0.35">
      <c r="A251" s="14"/>
      <c r="B251" s="36"/>
      <c r="C251" s="36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3.5" customHeight="1" x14ac:dyDescent="0.35">
      <c r="A252" s="14"/>
      <c r="B252" s="36"/>
      <c r="C252" s="36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3.5" customHeight="1" x14ac:dyDescent="0.35">
      <c r="A253" s="14"/>
      <c r="B253" s="36"/>
      <c r="C253" s="36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3.5" customHeight="1" x14ac:dyDescent="0.35">
      <c r="A254" s="14"/>
      <c r="B254" s="36"/>
      <c r="C254" s="36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3.5" customHeight="1" x14ac:dyDescent="0.35">
      <c r="A255" s="14"/>
      <c r="B255" s="36"/>
      <c r="C255" s="36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3.5" customHeight="1" x14ac:dyDescent="0.35">
      <c r="A256" s="14"/>
      <c r="B256" s="36"/>
      <c r="C256" s="36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3.5" customHeight="1" x14ac:dyDescent="0.35">
      <c r="A257" s="14"/>
      <c r="B257" s="36"/>
      <c r="C257" s="36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3.5" customHeight="1" x14ac:dyDescent="0.35">
      <c r="A258" s="14"/>
      <c r="B258" s="36"/>
      <c r="C258" s="36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3.5" customHeight="1" x14ac:dyDescent="0.35">
      <c r="A259" s="14"/>
      <c r="B259" s="36"/>
      <c r="C259" s="36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3.5" customHeight="1" x14ac:dyDescent="0.35">
      <c r="A260" s="14"/>
      <c r="B260" s="36"/>
      <c r="C260" s="36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3.5" customHeight="1" x14ac:dyDescent="0.35">
      <c r="A261" s="14"/>
      <c r="B261" s="36"/>
      <c r="C261" s="36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3.5" customHeight="1" x14ac:dyDescent="0.35">
      <c r="A262" s="14"/>
      <c r="B262" s="36"/>
      <c r="C262" s="36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3.5" customHeight="1" x14ac:dyDescent="0.35">
      <c r="A263" s="14"/>
      <c r="B263" s="36"/>
      <c r="C263" s="36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3.5" customHeight="1" x14ac:dyDescent="0.35">
      <c r="A264" s="14"/>
      <c r="B264" s="36"/>
      <c r="C264" s="36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3.5" customHeight="1" x14ac:dyDescent="0.35">
      <c r="A265" s="14"/>
      <c r="B265" s="36"/>
      <c r="C265" s="36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3.5" customHeight="1" x14ac:dyDescent="0.35">
      <c r="A266" s="14"/>
      <c r="B266" s="36"/>
      <c r="C266" s="36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3.5" customHeight="1" x14ac:dyDescent="0.35">
      <c r="A267" s="14"/>
      <c r="B267" s="36"/>
      <c r="C267" s="36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3.5" customHeight="1" x14ac:dyDescent="0.35">
      <c r="A268" s="14"/>
      <c r="B268" s="36"/>
      <c r="C268" s="36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3.5" customHeight="1" x14ac:dyDescent="0.35">
      <c r="A269" s="14"/>
      <c r="B269" s="36"/>
      <c r="C269" s="36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3.5" customHeight="1" x14ac:dyDescent="0.35">
      <c r="A270" s="14"/>
      <c r="B270" s="36"/>
      <c r="C270" s="36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3.5" customHeight="1" x14ac:dyDescent="0.35">
      <c r="A271" s="14"/>
      <c r="B271" s="36"/>
      <c r="C271" s="36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3.5" customHeight="1" x14ac:dyDescent="0.35">
      <c r="A272" s="14"/>
      <c r="B272" s="36"/>
      <c r="C272" s="36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3.5" customHeight="1" x14ac:dyDescent="0.35">
      <c r="A273" s="14"/>
      <c r="B273" s="36"/>
      <c r="C273" s="36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3.5" customHeight="1" x14ac:dyDescent="0.35">
      <c r="A274" s="14"/>
      <c r="B274" s="36"/>
      <c r="C274" s="36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3.5" customHeight="1" x14ac:dyDescent="0.35">
      <c r="A275" s="14"/>
      <c r="B275" s="36"/>
      <c r="C275" s="36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3.5" customHeight="1" x14ac:dyDescent="0.35">
      <c r="A276" s="14"/>
      <c r="B276" s="36"/>
      <c r="C276" s="36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3.5" customHeight="1" x14ac:dyDescent="0.35">
      <c r="A277" s="14"/>
      <c r="B277" s="36"/>
      <c r="C277" s="36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3.5" customHeight="1" x14ac:dyDescent="0.35">
      <c r="A278" s="14"/>
      <c r="B278" s="36"/>
      <c r="C278" s="36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3.5" customHeight="1" x14ac:dyDescent="0.35">
      <c r="A279" s="14"/>
      <c r="B279" s="36"/>
      <c r="C279" s="36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3.5" customHeight="1" x14ac:dyDescent="0.35">
      <c r="A280" s="14"/>
      <c r="B280" s="36"/>
      <c r="C280" s="36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3.5" customHeight="1" x14ac:dyDescent="0.35">
      <c r="A281" s="14"/>
      <c r="B281" s="36"/>
      <c r="C281" s="36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3.5" customHeight="1" x14ac:dyDescent="0.35">
      <c r="A282" s="14"/>
      <c r="B282" s="36"/>
      <c r="C282" s="36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3.5" customHeight="1" x14ac:dyDescent="0.35">
      <c r="A283" s="14"/>
      <c r="B283" s="36"/>
      <c r="C283" s="36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3.5" customHeight="1" x14ac:dyDescent="0.35">
      <c r="A284" s="14"/>
      <c r="B284" s="36"/>
      <c r="C284" s="36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3.5" customHeight="1" x14ac:dyDescent="0.35">
      <c r="A285" s="14"/>
      <c r="B285" s="36"/>
      <c r="C285" s="36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3.5" customHeight="1" x14ac:dyDescent="0.35">
      <c r="A286" s="14"/>
      <c r="B286" s="36"/>
      <c r="C286" s="36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3.5" customHeight="1" x14ac:dyDescent="0.35">
      <c r="A287" s="14"/>
      <c r="B287" s="36"/>
      <c r="C287" s="36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3.5" customHeight="1" x14ac:dyDescent="0.35">
      <c r="A288" s="14"/>
      <c r="B288" s="36"/>
      <c r="C288" s="36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3.5" customHeight="1" x14ac:dyDescent="0.35">
      <c r="A289" s="14"/>
      <c r="B289" s="36"/>
      <c r="C289" s="36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3.5" customHeight="1" x14ac:dyDescent="0.35">
      <c r="A290" s="14"/>
      <c r="B290" s="36"/>
      <c r="C290" s="36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3.5" customHeight="1" x14ac:dyDescent="0.35">
      <c r="A291" s="14"/>
      <c r="B291" s="36"/>
      <c r="C291" s="36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3.5" customHeight="1" x14ac:dyDescent="0.35">
      <c r="A292" s="14"/>
      <c r="B292" s="36"/>
      <c r="C292" s="36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3.5" customHeight="1" x14ac:dyDescent="0.35">
      <c r="A293" s="14"/>
      <c r="B293" s="36"/>
      <c r="C293" s="36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3.5" customHeight="1" x14ac:dyDescent="0.35">
      <c r="A294" s="14"/>
      <c r="B294" s="36"/>
      <c r="C294" s="36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3.5" customHeight="1" x14ac:dyDescent="0.35">
      <c r="A295" s="14"/>
      <c r="B295" s="36"/>
      <c r="C295" s="36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3.5" customHeight="1" x14ac:dyDescent="0.35">
      <c r="A296" s="14"/>
      <c r="B296" s="36"/>
      <c r="C296" s="36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3.5" customHeight="1" x14ac:dyDescent="0.35">
      <c r="A297" s="14"/>
      <c r="B297" s="36"/>
      <c r="C297" s="36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3.5" customHeight="1" x14ac:dyDescent="0.35">
      <c r="A298" s="14"/>
      <c r="B298" s="36"/>
      <c r="C298" s="36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3.5" customHeight="1" x14ac:dyDescent="0.35">
      <c r="A299" s="14"/>
      <c r="B299" s="36"/>
      <c r="C299" s="36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3.5" customHeight="1" x14ac:dyDescent="0.35">
      <c r="A300" s="14"/>
      <c r="B300" s="36"/>
      <c r="C300" s="36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3.5" customHeight="1" x14ac:dyDescent="0.35">
      <c r="A301" s="14"/>
      <c r="B301" s="36"/>
      <c r="C301" s="36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3.5" customHeight="1" x14ac:dyDescent="0.35">
      <c r="A302" s="14"/>
      <c r="B302" s="36"/>
      <c r="C302" s="36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3.5" customHeight="1" x14ac:dyDescent="0.35">
      <c r="A303" s="14"/>
      <c r="B303" s="36"/>
      <c r="C303" s="36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3.5" customHeight="1" x14ac:dyDescent="0.35">
      <c r="A304" s="14"/>
      <c r="B304" s="36"/>
      <c r="C304" s="36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3.5" customHeight="1" x14ac:dyDescent="0.35">
      <c r="A305" s="14"/>
      <c r="B305" s="36"/>
      <c r="C305" s="36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3.5" customHeight="1" x14ac:dyDescent="0.35">
      <c r="A306" s="14"/>
      <c r="B306" s="36"/>
      <c r="C306" s="36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3.5" customHeight="1" x14ac:dyDescent="0.35">
      <c r="A307" s="14"/>
      <c r="B307" s="36"/>
      <c r="C307" s="36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3.5" customHeight="1" x14ac:dyDescent="0.35">
      <c r="A308" s="14"/>
      <c r="B308" s="36"/>
      <c r="C308" s="36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3.5" customHeight="1" x14ac:dyDescent="0.35">
      <c r="A309" s="14"/>
      <c r="B309" s="36"/>
      <c r="C309" s="36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3.5" customHeight="1" x14ac:dyDescent="0.35">
      <c r="A310" s="14"/>
      <c r="B310" s="36"/>
      <c r="C310" s="3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3.5" customHeight="1" x14ac:dyDescent="0.35">
      <c r="A311" s="14"/>
      <c r="B311" s="36"/>
      <c r="C311" s="36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3.5" customHeight="1" x14ac:dyDescent="0.35">
      <c r="A312" s="14"/>
      <c r="B312" s="36"/>
      <c r="C312" s="36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3.5" customHeight="1" x14ac:dyDescent="0.35">
      <c r="A313" s="14"/>
      <c r="B313" s="36"/>
      <c r="C313" s="36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3.5" customHeight="1" x14ac:dyDescent="0.35">
      <c r="A314" s="14"/>
      <c r="B314" s="36"/>
      <c r="C314" s="36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3.5" customHeight="1" x14ac:dyDescent="0.35">
      <c r="A315" s="14"/>
      <c r="B315" s="36"/>
      <c r="C315" s="36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3.5" customHeight="1" x14ac:dyDescent="0.35">
      <c r="A316" s="14"/>
      <c r="B316" s="36"/>
      <c r="C316" s="36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3.5" customHeight="1" x14ac:dyDescent="0.35">
      <c r="A317" s="14"/>
      <c r="B317" s="36"/>
      <c r="C317" s="36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3.5" customHeight="1" x14ac:dyDescent="0.35">
      <c r="A318" s="14"/>
      <c r="B318" s="36"/>
      <c r="C318" s="36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3.5" customHeight="1" x14ac:dyDescent="0.35">
      <c r="A319" s="14"/>
      <c r="B319" s="36"/>
      <c r="C319" s="36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3.5" customHeight="1" x14ac:dyDescent="0.35">
      <c r="A320" s="14"/>
      <c r="B320" s="36"/>
      <c r="C320" s="3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3.5" customHeight="1" x14ac:dyDescent="0.35">
      <c r="A321" s="14"/>
      <c r="B321" s="36"/>
      <c r="C321" s="36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3.5" customHeight="1" x14ac:dyDescent="0.35">
      <c r="A322" s="14"/>
      <c r="B322" s="36"/>
      <c r="C322" s="36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3.5" customHeight="1" x14ac:dyDescent="0.35">
      <c r="A323" s="14"/>
      <c r="B323" s="36"/>
      <c r="C323" s="36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3.5" customHeight="1" x14ac:dyDescent="0.35">
      <c r="A324" s="14"/>
      <c r="B324" s="36"/>
      <c r="C324" s="36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3.5" customHeight="1" x14ac:dyDescent="0.35">
      <c r="A325" s="14"/>
      <c r="B325" s="36"/>
      <c r="C325" s="36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3.5" customHeight="1" x14ac:dyDescent="0.35">
      <c r="A326" s="14"/>
      <c r="B326" s="36"/>
      <c r="C326" s="36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3.5" customHeight="1" x14ac:dyDescent="0.35">
      <c r="A327" s="14"/>
      <c r="B327" s="36"/>
      <c r="C327" s="36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3.5" customHeight="1" x14ac:dyDescent="0.35">
      <c r="A328" s="14"/>
      <c r="B328" s="36"/>
      <c r="C328" s="36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3.5" customHeight="1" x14ac:dyDescent="0.35">
      <c r="A329" s="14"/>
      <c r="B329" s="36"/>
      <c r="C329" s="36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3.5" customHeight="1" x14ac:dyDescent="0.35">
      <c r="A330" s="14"/>
      <c r="B330" s="36"/>
      <c r="C330" s="36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3.5" customHeight="1" x14ac:dyDescent="0.35">
      <c r="A331" s="14"/>
      <c r="B331" s="36"/>
      <c r="C331" s="36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3.5" customHeight="1" x14ac:dyDescent="0.35">
      <c r="A332" s="14"/>
      <c r="B332" s="36"/>
      <c r="C332" s="36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3.5" customHeight="1" x14ac:dyDescent="0.35">
      <c r="A333" s="14"/>
      <c r="B333" s="36"/>
      <c r="C333" s="3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3.5" customHeight="1" x14ac:dyDescent="0.35">
      <c r="A334" s="14"/>
      <c r="B334" s="36"/>
      <c r="C334" s="36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3.5" customHeight="1" x14ac:dyDescent="0.35">
      <c r="A335" s="14"/>
      <c r="B335" s="36"/>
      <c r="C335" s="3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3.5" customHeight="1" x14ac:dyDescent="0.35">
      <c r="A336" s="14"/>
      <c r="B336" s="36"/>
      <c r="C336" s="36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3.5" customHeight="1" x14ac:dyDescent="0.35">
      <c r="A337" s="14"/>
      <c r="B337" s="36"/>
      <c r="C337" s="3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3.5" customHeight="1" x14ac:dyDescent="0.35">
      <c r="A338" s="14"/>
      <c r="B338" s="36"/>
      <c r="C338" s="36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3.5" customHeight="1" x14ac:dyDescent="0.35">
      <c r="A339" s="14"/>
      <c r="B339" s="36"/>
      <c r="C339" s="3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3.5" customHeight="1" x14ac:dyDescent="0.35">
      <c r="A340" s="14"/>
      <c r="B340" s="36"/>
      <c r="C340" s="36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3.5" customHeight="1" x14ac:dyDescent="0.35">
      <c r="A341" s="14"/>
      <c r="B341" s="36"/>
      <c r="C341" s="3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3.5" customHeight="1" x14ac:dyDescent="0.35">
      <c r="A342" s="14"/>
      <c r="B342" s="36"/>
      <c r="C342" s="36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3.5" customHeight="1" x14ac:dyDescent="0.35">
      <c r="A343" s="14"/>
      <c r="B343" s="36"/>
      <c r="C343" s="3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3.5" customHeight="1" x14ac:dyDescent="0.35">
      <c r="A344" s="14"/>
      <c r="B344" s="36"/>
      <c r="C344" s="36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3.5" customHeight="1" x14ac:dyDescent="0.35">
      <c r="A345" s="14"/>
      <c r="B345" s="36"/>
      <c r="C345" s="3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3.5" customHeight="1" x14ac:dyDescent="0.35">
      <c r="A346" s="14"/>
      <c r="B346" s="36"/>
      <c r="C346" s="36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3.5" customHeight="1" x14ac:dyDescent="0.35">
      <c r="A347" s="14"/>
      <c r="B347" s="36"/>
      <c r="C347" s="3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3.5" customHeight="1" x14ac:dyDescent="0.35">
      <c r="A348" s="14"/>
      <c r="B348" s="36"/>
      <c r="C348" s="36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3.5" customHeight="1" x14ac:dyDescent="0.35">
      <c r="A349" s="14"/>
      <c r="B349" s="36"/>
      <c r="C349" s="3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3.5" customHeight="1" x14ac:dyDescent="0.35">
      <c r="A350" s="14"/>
      <c r="B350" s="36"/>
      <c r="C350" s="36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3.5" customHeight="1" x14ac:dyDescent="0.35">
      <c r="A351" s="14"/>
      <c r="B351" s="36"/>
      <c r="C351" s="3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3.5" customHeight="1" x14ac:dyDescent="0.35">
      <c r="A352" s="14"/>
      <c r="B352" s="36"/>
      <c r="C352" s="3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3.5" customHeight="1" x14ac:dyDescent="0.35">
      <c r="A353" s="14"/>
      <c r="B353" s="36"/>
      <c r="C353" s="3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3.5" customHeight="1" x14ac:dyDescent="0.35">
      <c r="A354" s="14"/>
      <c r="B354" s="36"/>
      <c r="C354" s="36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3.5" customHeight="1" x14ac:dyDescent="0.35">
      <c r="A355" s="14"/>
      <c r="B355" s="36"/>
      <c r="C355" s="3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3.5" customHeight="1" x14ac:dyDescent="0.35">
      <c r="A356" s="14"/>
      <c r="B356" s="36"/>
      <c r="C356" s="36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3.5" customHeight="1" x14ac:dyDescent="0.35">
      <c r="A357" s="14"/>
      <c r="B357" s="36"/>
      <c r="C357" s="3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3.5" customHeight="1" x14ac:dyDescent="0.35">
      <c r="A358" s="14"/>
      <c r="B358" s="36"/>
      <c r="C358" s="36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3.5" customHeight="1" x14ac:dyDescent="0.35">
      <c r="A359" s="14"/>
      <c r="B359" s="36"/>
      <c r="C359" s="36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ht="13.5" customHeight="1" x14ac:dyDescent="0.35">
      <c r="A360" s="14"/>
      <c r="B360" s="36"/>
      <c r="C360" s="36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3.5" customHeight="1" x14ac:dyDescent="0.35">
      <c r="A361" s="14"/>
      <c r="B361" s="36"/>
      <c r="C361" s="36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ht="13.5" customHeight="1" x14ac:dyDescent="0.35">
      <c r="A362" s="14"/>
      <c r="B362" s="36"/>
      <c r="C362" s="36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 ht="13.5" customHeight="1" x14ac:dyDescent="0.35">
      <c r="A363" s="14"/>
      <c r="B363" s="36"/>
      <c r="C363" s="36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13.5" customHeight="1" x14ac:dyDescent="0.35">
      <c r="A364" s="14"/>
      <c r="B364" s="36"/>
      <c r="C364" s="36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 ht="13.5" customHeight="1" x14ac:dyDescent="0.35">
      <c r="A365" s="14"/>
      <c r="B365" s="36"/>
      <c r="C365" s="36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 ht="13.5" customHeight="1" x14ac:dyDescent="0.35">
      <c r="A366" s="14"/>
      <c r="B366" s="36"/>
      <c r="C366" s="36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3.5" customHeight="1" x14ac:dyDescent="0.35">
      <c r="A367" s="14"/>
      <c r="B367" s="36"/>
      <c r="C367" s="36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ht="13.5" customHeight="1" x14ac:dyDescent="0.35">
      <c r="A368" s="14"/>
      <c r="B368" s="36"/>
      <c r="C368" s="36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ht="13.5" customHeight="1" x14ac:dyDescent="0.35">
      <c r="A369" s="14"/>
      <c r="B369" s="36"/>
      <c r="C369" s="36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ht="13.5" customHeight="1" x14ac:dyDescent="0.35">
      <c r="A370" s="14"/>
      <c r="B370" s="36"/>
      <c r="C370" s="36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ht="13.5" customHeight="1" x14ac:dyDescent="0.35">
      <c r="A371" s="14"/>
      <c r="B371" s="36"/>
      <c r="C371" s="36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t="13.5" customHeight="1" x14ac:dyDescent="0.35">
      <c r="A372" s="14"/>
      <c r="B372" s="36"/>
      <c r="C372" s="36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t="13.5" customHeight="1" x14ac:dyDescent="0.35">
      <c r="A373" s="14"/>
      <c r="B373" s="36"/>
      <c r="C373" s="36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3.5" customHeight="1" x14ac:dyDescent="0.35">
      <c r="A374" s="14"/>
      <c r="B374" s="36"/>
      <c r="C374" s="36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13.5" customHeight="1" x14ac:dyDescent="0.35">
      <c r="A375" s="14"/>
      <c r="B375" s="36"/>
      <c r="C375" s="36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ht="13.5" customHeight="1" x14ac:dyDescent="0.35">
      <c r="A376" s="14"/>
      <c r="B376" s="36"/>
      <c r="C376" s="36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ht="13.5" customHeight="1" x14ac:dyDescent="0.35">
      <c r="A377" s="14"/>
      <c r="B377" s="36"/>
      <c r="C377" s="36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ht="13.5" customHeight="1" x14ac:dyDescent="0.35">
      <c r="A378" s="14"/>
      <c r="B378" s="36"/>
      <c r="C378" s="36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ht="13.5" customHeight="1" x14ac:dyDescent="0.35">
      <c r="A379" s="14"/>
      <c r="B379" s="36"/>
      <c r="C379" s="36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3.5" customHeight="1" x14ac:dyDescent="0.35">
      <c r="A380" s="14"/>
      <c r="B380" s="36"/>
      <c r="C380" s="36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ht="13.5" customHeight="1" x14ac:dyDescent="0.35">
      <c r="A381" s="14"/>
      <c r="B381" s="36"/>
      <c r="C381" s="36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ht="13.5" customHeight="1" x14ac:dyDescent="0.35">
      <c r="A382" s="14"/>
      <c r="B382" s="36"/>
      <c r="C382" s="36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ht="13.5" customHeight="1" x14ac:dyDescent="0.35">
      <c r="A383" s="14"/>
      <c r="B383" s="36"/>
      <c r="C383" s="36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ht="13.5" customHeight="1" x14ac:dyDescent="0.35">
      <c r="A384" s="14"/>
      <c r="B384" s="36"/>
      <c r="C384" s="36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3.5" customHeight="1" x14ac:dyDescent="0.35">
      <c r="A385" s="14"/>
      <c r="B385" s="36"/>
      <c r="C385" s="36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ht="13.5" customHeight="1" x14ac:dyDescent="0.35">
      <c r="A386" s="14"/>
      <c r="B386" s="36"/>
      <c r="C386" s="36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3.5" customHeight="1" x14ac:dyDescent="0.35">
      <c r="A387" s="14"/>
      <c r="B387" s="36"/>
      <c r="C387" s="36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ht="13.5" customHeight="1" x14ac:dyDescent="0.35">
      <c r="A388" s="14"/>
      <c r="B388" s="36"/>
      <c r="C388" s="36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ht="13.5" customHeight="1" x14ac:dyDescent="0.35">
      <c r="A389" s="14"/>
      <c r="B389" s="36"/>
      <c r="C389" s="36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ht="13.5" customHeight="1" x14ac:dyDescent="0.35">
      <c r="A390" s="14"/>
      <c r="B390" s="36"/>
      <c r="C390" s="36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ht="13.5" customHeight="1" x14ac:dyDescent="0.35">
      <c r="A391" s="14"/>
      <c r="B391" s="36"/>
      <c r="C391" s="36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ht="13.5" customHeight="1" x14ac:dyDescent="0.35">
      <c r="A392" s="14"/>
      <c r="B392" s="36"/>
      <c r="C392" s="36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ht="13.5" customHeight="1" x14ac:dyDescent="0.35">
      <c r="A393" s="14"/>
      <c r="B393" s="36"/>
      <c r="C393" s="36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3.5" customHeight="1" x14ac:dyDescent="0.35">
      <c r="A394" s="14"/>
      <c r="B394" s="36"/>
      <c r="C394" s="36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t="13.5" customHeight="1" x14ac:dyDescent="0.35">
      <c r="A395" s="14"/>
      <c r="B395" s="36"/>
      <c r="C395" s="36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13.5" customHeight="1" x14ac:dyDescent="0.35">
      <c r="A396" s="14"/>
      <c r="B396" s="36"/>
      <c r="C396" s="36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13.5" customHeight="1" x14ac:dyDescent="0.35">
      <c r="A397" s="14"/>
      <c r="B397" s="36"/>
      <c r="C397" s="36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ht="13.5" customHeight="1" x14ac:dyDescent="0.35">
      <c r="A398" s="14"/>
      <c r="B398" s="36"/>
      <c r="C398" s="36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ht="13.5" customHeight="1" x14ac:dyDescent="0.35">
      <c r="A399" s="14"/>
      <c r="B399" s="36"/>
      <c r="C399" s="36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ht="13.5" customHeight="1" x14ac:dyDescent="0.35">
      <c r="A400" s="14"/>
      <c r="B400" s="36"/>
      <c r="C400" s="36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t="13.5" customHeight="1" x14ac:dyDescent="0.35">
      <c r="A401" s="14"/>
      <c r="B401" s="36"/>
      <c r="C401" s="36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ht="13.5" customHeight="1" x14ac:dyDescent="0.35">
      <c r="A402" s="14"/>
      <c r="B402" s="36"/>
      <c r="C402" s="36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3.5" customHeight="1" x14ac:dyDescent="0.35">
      <c r="A403" s="14"/>
      <c r="B403" s="36"/>
      <c r="C403" s="36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ht="13.5" customHeight="1" x14ac:dyDescent="0.35">
      <c r="A404" s="14"/>
      <c r="B404" s="36"/>
      <c r="C404" s="36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ht="13.5" customHeight="1" x14ac:dyDescent="0.35">
      <c r="A405" s="14"/>
      <c r="B405" s="36"/>
      <c r="C405" s="36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ht="13.5" customHeight="1" x14ac:dyDescent="0.35">
      <c r="A406" s="14"/>
      <c r="B406" s="36"/>
      <c r="C406" s="36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ht="13.5" customHeight="1" x14ac:dyDescent="0.35">
      <c r="A407" s="14"/>
      <c r="B407" s="36"/>
      <c r="C407" s="36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ht="13.5" customHeight="1" x14ac:dyDescent="0.35">
      <c r="A408" s="14"/>
      <c r="B408" s="36"/>
      <c r="C408" s="36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t="13.5" customHeight="1" x14ac:dyDescent="0.35">
      <c r="A409" s="14"/>
      <c r="B409" s="36"/>
      <c r="C409" s="36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3.5" customHeight="1" x14ac:dyDescent="0.35">
      <c r="A410" s="14"/>
      <c r="B410" s="36"/>
      <c r="C410" s="36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ht="13.5" customHeight="1" x14ac:dyDescent="0.35">
      <c r="A411" s="14"/>
      <c r="B411" s="36"/>
      <c r="C411" s="36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ht="13.5" customHeight="1" x14ac:dyDescent="0.35">
      <c r="A412" s="14"/>
      <c r="B412" s="36"/>
      <c r="C412" s="36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t="13.5" customHeight="1" x14ac:dyDescent="0.35">
      <c r="A413" s="14"/>
      <c r="B413" s="36"/>
      <c r="C413" s="36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ht="13.5" customHeight="1" x14ac:dyDescent="0.35">
      <c r="A414" s="14"/>
      <c r="B414" s="36"/>
      <c r="C414" s="36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3.5" customHeight="1" x14ac:dyDescent="0.35">
      <c r="A415" s="14"/>
      <c r="B415" s="36"/>
      <c r="C415" s="36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 ht="13.5" customHeight="1" x14ac:dyDescent="0.35">
      <c r="A416" s="14"/>
      <c r="B416" s="36"/>
      <c r="C416" s="36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ht="13.5" customHeight="1" x14ac:dyDescent="0.35">
      <c r="A417" s="14"/>
      <c r="B417" s="36"/>
      <c r="C417" s="36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3.5" customHeight="1" x14ac:dyDescent="0.35">
      <c r="A418" s="14"/>
      <c r="B418" s="36"/>
      <c r="C418" s="36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ht="13.5" customHeight="1" x14ac:dyDescent="0.35">
      <c r="A419" s="14"/>
      <c r="B419" s="36"/>
      <c r="C419" s="36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3.5" customHeight="1" x14ac:dyDescent="0.35">
      <c r="A420" s="14"/>
      <c r="B420" s="36"/>
      <c r="C420" s="36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ht="13.5" customHeight="1" x14ac:dyDescent="0.35">
      <c r="A421" s="14"/>
      <c r="B421" s="36"/>
      <c r="C421" s="36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3.5" customHeight="1" x14ac:dyDescent="0.35">
      <c r="A422" s="14"/>
      <c r="B422" s="36"/>
      <c r="C422" s="36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t="13.5" customHeight="1" x14ac:dyDescent="0.35">
      <c r="A423" s="14"/>
      <c r="B423" s="36"/>
      <c r="C423" s="36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ht="13.5" customHeight="1" x14ac:dyDescent="0.35">
      <c r="A424" s="14"/>
      <c r="B424" s="36"/>
      <c r="C424" s="36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3.5" customHeight="1" x14ac:dyDescent="0.35">
      <c r="A425" s="14"/>
      <c r="B425" s="36"/>
      <c r="C425" s="36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ht="13.5" customHeight="1" x14ac:dyDescent="0.35">
      <c r="A426" s="14"/>
      <c r="B426" s="36"/>
      <c r="C426" s="36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ht="13.5" customHeight="1" x14ac:dyDescent="0.35">
      <c r="A427" s="14"/>
      <c r="B427" s="36"/>
      <c r="C427" s="36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3.5" customHeight="1" x14ac:dyDescent="0.35">
      <c r="A428" s="14"/>
      <c r="B428" s="36"/>
      <c r="C428" s="36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13.5" customHeight="1" x14ac:dyDescent="0.35">
      <c r="A429" s="14"/>
      <c r="B429" s="36"/>
      <c r="C429" s="36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ht="13.5" customHeight="1" x14ac:dyDescent="0.35">
      <c r="A430" s="14"/>
      <c r="B430" s="36"/>
      <c r="C430" s="36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3.5" customHeight="1" x14ac:dyDescent="0.35">
      <c r="A431" s="14"/>
      <c r="B431" s="36"/>
      <c r="C431" s="36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ht="13.5" customHeight="1" x14ac:dyDescent="0.35">
      <c r="A432" s="14"/>
      <c r="B432" s="36"/>
      <c r="C432" s="36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ht="13.5" customHeight="1" x14ac:dyDescent="0.35">
      <c r="A433" s="14"/>
      <c r="B433" s="36"/>
      <c r="C433" s="36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ht="13.5" customHeight="1" x14ac:dyDescent="0.35">
      <c r="A434" s="14"/>
      <c r="B434" s="36"/>
      <c r="C434" s="36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ht="13.5" customHeight="1" x14ac:dyDescent="0.35">
      <c r="A435" s="14"/>
      <c r="B435" s="36"/>
      <c r="C435" s="36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3.5" customHeight="1" x14ac:dyDescent="0.35">
      <c r="A436" s="14"/>
      <c r="B436" s="36"/>
      <c r="C436" s="36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3.5" customHeight="1" x14ac:dyDescent="0.35">
      <c r="A437" s="14"/>
      <c r="B437" s="36"/>
      <c r="C437" s="36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ht="13.5" customHeight="1" x14ac:dyDescent="0.35">
      <c r="A438" s="14"/>
      <c r="B438" s="36"/>
      <c r="C438" s="36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3.5" customHeight="1" x14ac:dyDescent="0.35">
      <c r="A439" s="14"/>
      <c r="B439" s="36"/>
      <c r="C439" s="36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t="13.5" customHeight="1" x14ac:dyDescent="0.35">
      <c r="A440" s="14"/>
      <c r="B440" s="36"/>
      <c r="C440" s="36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ht="13.5" customHeight="1" x14ac:dyDescent="0.35">
      <c r="A441" s="14"/>
      <c r="B441" s="36"/>
      <c r="C441" s="36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ht="13.5" customHeight="1" x14ac:dyDescent="0.35">
      <c r="A442" s="14"/>
      <c r="B442" s="36"/>
      <c r="C442" s="36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t="13.5" customHeight="1" x14ac:dyDescent="0.35">
      <c r="A443" s="14"/>
      <c r="B443" s="36"/>
      <c r="C443" s="36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3.5" customHeight="1" x14ac:dyDescent="0.35">
      <c r="A444" s="14"/>
      <c r="B444" s="36"/>
      <c r="C444" s="36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ht="13.5" customHeight="1" x14ac:dyDescent="0.35">
      <c r="A445" s="14"/>
      <c r="B445" s="36"/>
      <c r="C445" s="36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ht="13.5" customHeight="1" x14ac:dyDescent="0.35">
      <c r="A446" s="14"/>
      <c r="B446" s="36"/>
      <c r="C446" s="36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ht="13.5" customHeight="1" x14ac:dyDescent="0.35">
      <c r="A447" s="14"/>
      <c r="B447" s="36"/>
      <c r="C447" s="36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ht="13.5" customHeight="1" x14ac:dyDescent="0.35">
      <c r="A448" s="14"/>
      <c r="B448" s="36"/>
      <c r="C448" s="36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ht="13.5" customHeight="1" x14ac:dyDescent="0.35">
      <c r="A449" s="14"/>
      <c r="B449" s="36"/>
      <c r="C449" s="36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3.5" customHeight="1" x14ac:dyDescent="0.35">
      <c r="A450" s="14"/>
      <c r="B450" s="36"/>
      <c r="C450" s="36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ht="13.5" customHeight="1" x14ac:dyDescent="0.35">
      <c r="A451" s="14"/>
      <c r="B451" s="36"/>
      <c r="C451" s="36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ht="13.5" customHeight="1" x14ac:dyDescent="0.35">
      <c r="A452" s="14"/>
      <c r="B452" s="36"/>
      <c r="C452" s="36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ht="13.5" customHeight="1" x14ac:dyDescent="0.35">
      <c r="A453" s="14"/>
      <c r="B453" s="36"/>
      <c r="C453" s="36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ht="13.5" customHeight="1" x14ac:dyDescent="0.35">
      <c r="A454" s="14"/>
      <c r="B454" s="36"/>
      <c r="C454" s="36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3.5" customHeight="1" x14ac:dyDescent="0.35">
      <c r="A455" s="14"/>
      <c r="B455" s="36"/>
      <c r="C455" s="36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ht="13.5" customHeight="1" x14ac:dyDescent="0.35">
      <c r="A456" s="14"/>
      <c r="B456" s="36"/>
      <c r="C456" s="36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t="13.5" customHeight="1" x14ac:dyDescent="0.35">
      <c r="A457" s="14"/>
      <c r="B457" s="36"/>
      <c r="C457" s="36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ht="13.5" customHeight="1" x14ac:dyDescent="0.35">
      <c r="A458" s="14"/>
      <c r="B458" s="36"/>
      <c r="C458" s="36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ht="13.5" customHeight="1" x14ac:dyDescent="0.35">
      <c r="A459" s="14"/>
      <c r="B459" s="36"/>
      <c r="C459" s="36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3.5" customHeight="1" x14ac:dyDescent="0.35">
      <c r="A460" s="14"/>
      <c r="B460" s="36"/>
      <c r="C460" s="36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ht="13.5" customHeight="1" x14ac:dyDescent="0.35">
      <c r="A461" s="14"/>
      <c r="B461" s="36"/>
      <c r="C461" s="36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ht="13.5" customHeight="1" x14ac:dyDescent="0.35">
      <c r="A462" s="14"/>
      <c r="B462" s="36"/>
      <c r="C462" s="36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ht="13.5" customHeight="1" x14ac:dyDescent="0.35">
      <c r="A463" s="14"/>
      <c r="B463" s="36"/>
      <c r="C463" s="36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3.5" customHeight="1" x14ac:dyDescent="0.35">
      <c r="A464" s="14"/>
      <c r="B464" s="36"/>
      <c r="C464" s="36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t="13.5" customHeight="1" x14ac:dyDescent="0.35">
      <c r="A465" s="14"/>
      <c r="B465" s="36"/>
      <c r="C465" s="36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3.5" customHeight="1" x14ac:dyDescent="0.35">
      <c r="A466" s="14"/>
      <c r="B466" s="36"/>
      <c r="C466" s="36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ht="13.5" customHeight="1" x14ac:dyDescent="0.35">
      <c r="A467" s="14"/>
      <c r="B467" s="36"/>
      <c r="C467" s="36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ht="13.5" customHeight="1" x14ac:dyDescent="0.35">
      <c r="A468" s="14"/>
      <c r="B468" s="36"/>
      <c r="C468" s="36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3.5" customHeight="1" x14ac:dyDescent="0.35">
      <c r="A469" s="14"/>
      <c r="B469" s="36"/>
      <c r="C469" s="36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3.5" customHeight="1" x14ac:dyDescent="0.35">
      <c r="A470" s="14"/>
      <c r="B470" s="36"/>
      <c r="C470" s="36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ht="13.5" customHeight="1" x14ac:dyDescent="0.35">
      <c r="A471" s="14"/>
      <c r="B471" s="36"/>
      <c r="C471" s="36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 ht="13.5" customHeight="1" x14ac:dyDescent="0.35">
      <c r="A472" s="14"/>
      <c r="B472" s="36"/>
      <c r="C472" s="36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3.5" customHeight="1" x14ac:dyDescent="0.35">
      <c r="A473" s="14"/>
      <c r="B473" s="36"/>
      <c r="C473" s="36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ht="13.5" customHeight="1" x14ac:dyDescent="0.35">
      <c r="A474" s="14"/>
      <c r="B474" s="36"/>
      <c r="C474" s="36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 ht="13.5" customHeight="1" x14ac:dyDescent="0.35">
      <c r="A475" s="14"/>
      <c r="B475" s="36"/>
      <c r="C475" s="36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 ht="13.5" customHeight="1" x14ac:dyDescent="0.35">
      <c r="A476" s="14"/>
      <c r="B476" s="36"/>
      <c r="C476" s="36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 ht="13.5" customHeight="1" x14ac:dyDescent="0.35">
      <c r="A477" s="14"/>
      <c r="B477" s="36"/>
      <c r="C477" s="36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 ht="13.5" customHeight="1" x14ac:dyDescent="0.35">
      <c r="A478" s="14"/>
      <c r="B478" s="36"/>
      <c r="C478" s="36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 ht="13.5" customHeight="1" x14ac:dyDescent="0.35">
      <c r="A479" s="14"/>
      <c r="B479" s="36"/>
      <c r="C479" s="36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 ht="13.5" customHeight="1" x14ac:dyDescent="0.35">
      <c r="A480" s="14"/>
      <c r="B480" s="36"/>
      <c r="C480" s="36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 ht="13.5" customHeight="1" x14ac:dyDescent="0.35">
      <c r="A481" s="14"/>
      <c r="B481" s="36"/>
      <c r="C481" s="36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 ht="13.5" customHeight="1" x14ac:dyDescent="0.35">
      <c r="A482" s="14"/>
      <c r="B482" s="36"/>
      <c r="C482" s="36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ht="13.5" customHeight="1" x14ac:dyDescent="0.35">
      <c r="A483" s="14"/>
      <c r="B483" s="36"/>
      <c r="C483" s="36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ht="13.5" customHeight="1" x14ac:dyDescent="0.35">
      <c r="A484" s="14"/>
      <c r="B484" s="36"/>
      <c r="C484" s="36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3.5" customHeight="1" x14ac:dyDescent="0.35">
      <c r="A485" s="14"/>
      <c r="B485" s="36"/>
      <c r="C485" s="36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ht="13.5" customHeight="1" x14ac:dyDescent="0.35">
      <c r="A486" s="14"/>
      <c r="B486" s="36"/>
      <c r="C486" s="36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3.5" customHeight="1" x14ac:dyDescent="0.35">
      <c r="A487" s="14"/>
      <c r="B487" s="36"/>
      <c r="C487" s="36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ht="13.5" customHeight="1" x14ac:dyDescent="0.35">
      <c r="A488" s="14"/>
      <c r="B488" s="36"/>
      <c r="C488" s="36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 ht="13.5" customHeight="1" x14ac:dyDescent="0.35">
      <c r="A489" s="14"/>
      <c r="B489" s="36"/>
      <c r="C489" s="36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 ht="13.5" customHeight="1" x14ac:dyDescent="0.35">
      <c r="A490" s="14"/>
      <c r="B490" s="36"/>
      <c r="C490" s="36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 ht="13.5" customHeight="1" x14ac:dyDescent="0.35">
      <c r="A491" s="14"/>
      <c r="B491" s="36"/>
      <c r="C491" s="36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 ht="13.5" customHeight="1" x14ac:dyDescent="0.35">
      <c r="A492" s="14"/>
      <c r="B492" s="36"/>
      <c r="C492" s="36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 ht="13.5" customHeight="1" x14ac:dyDescent="0.35">
      <c r="A493" s="14"/>
      <c r="B493" s="36"/>
      <c r="C493" s="36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 ht="13.5" customHeight="1" x14ac:dyDescent="0.35">
      <c r="A494" s="14"/>
      <c r="B494" s="36"/>
      <c r="C494" s="36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 ht="13.5" customHeight="1" x14ac:dyDescent="0.35">
      <c r="A495" s="14"/>
      <c r="B495" s="36"/>
      <c r="C495" s="36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 ht="13.5" customHeight="1" x14ac:dyDescent="0.35">
      <c r="A496" s="14"/>
      <c r="B496" s="36"/>
      <c r="C496" s="36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 ht="13.5" customHeight="1" x14ac:dyDescent="0.35">
      <c r="A497" s="14"/>
      <c r="B497" s="36"/>
      <c r="C497" s="36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 ht="13.5" customHeight="1" x14ac:dyDescent="0.35">
      <c r="A498" s="14"/>
      <c r="B498" s="36"/>
      <c r="C498" s="36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ht="13.5" customHeight="1" x14ac:dyDescent="0.35">
      <c r="A499" s="14"/>
      <c r="B499" s="36"/>
      <c r="C499" s="36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ht="13.5" customHeight="1" x14ac:dyDescent="0.35">
      <c r="A500" s="14"/>
      <c r="B500" s="36"/>
      <c r="C500" s="36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 ht="13.5" customHeight="1" x14ac:dyDescent="0.35">
      <c r="A501" s="14"/>
      <c r="B501" s="36"/>
      <c r="C501" s="36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ht="13.5" customHeight="1" x14ac:dyDescent="0.35">
      <c r="A502" s="14"/>
      <c r="B502" s="36"/>
      <c r="C502" s="36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 ht="13.5" customHeight="1" x14ac:dyDescent="0.35">
      <c r="A503" s="14"/>
      <c r="B503" s="36"/>
      <c r="C503" s="36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 ht="13.5" customHeight="1" x14ac:dyDescent="0.35">
      <c r="A504" s="14"/>
      <c r="B504" s="36"/>
      <c r="C504" s="36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 ht="13.5" customHeight="1" x14ac:dyDescent="0.35">
      <c r="A505" s="14"/>
      <c r="B505" s="36"/>
      <c r="C505" s="36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 ht="13.5" customHeight="1" x14ac:dyDescent="0.35">
      <c r="A506" s="14"/>
      <c r="B506" s="36"/>
      <c r="C506" s="36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 ht="13.5" customHeight="1" x14ac:dyDescent="0.35">
      <c r="A507" s="14"/>
      <c r="B507" s="36"/>
      <c r="C507" s="36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 ht="13.5" customHeight="1" x14ac:dyDescent="0.35">
      <c r="A508" s="14"/>
      <c r="B508" s="36"/>
      <c r="C508" s="36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 ht="13.5" customHeight="1" x14ac:dyDescent="0.35">
      <c r="A509" s="14"/>
      <c r="B509" s="36"/>
      <c r="C509" s="36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 ht="13.5" customHeight="1" x14ac:dyDescent="0.35">
      <c r="A510" s="14"/>
      <c r="B510" s="36"/>
      <c r="C510" s="36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 ht="13.5" customHeight="1" x14ac:dyDescent="0.35">
      <c r="A511" s="14"/>
      <c r="B511" s="36"/>
      <c r="C511" s="36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 ht="13.5" customHeight="1" x14ac:dyDescent="0.35">
      <c r="A512" s="14"/>
      <c r="B512" s="36"/>
      <c r="C512" s="36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ht="13.5" customHeight="1" x14ac:dyDescent="0.35">
      <c r="A513" s="14"/>
      <c r="B513" s="36"/>
      <c r="C513" s="36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 ht="13.5" customHeight="1" x14ac:dyDescent="0.35">
      <c r="A514" s="14"/>
      <c r="B514" s="36"/>
      <c r="C514" s="36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 ht="13.5" customHeight="1" x14ac:dyDescent="0.35">
      <c r="A515" s="14"/>
      <c r="B515" s="36"/>
      <c r="C515" s="36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ht="13.5" customHeight="1" x14ac:dyDescent="0.35">
      <c r="A516" s="14"/>
      <c r="B516" s="36"/>
      <c r="C516" s="36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3.5" customHeight="1" x14ac:dyDescent="0.35">
      <c r="A517" s="14"/>
      <c r="B517" s="36"/>
      <c r="C517" s="36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 ht="13.5" customHeight="1" x14ac:dyDescent="0.35">
      <c r="A518" s="14"/>
      <c r="B518" s="36"/>
      <c r="C518" s="36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 ht="13.5" customHeight="1" x14ac:dyDescent="0.35">
      <c r="A519" s="14"/>
      <c r="B519" s="36"/>
      <c r="C519" s="36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 ht="13.5" customHeight="1" x14ac:dyDescent="0.35">
      <c r="A520" s="14"/>
      <c r="B520" s="36"/>
      <c r="C520" s="36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 ht="13.5" customHeight="1" x14ac:dyDescent="0.35">
      <c r="A521" s="14"/>
      <c r="B521" s="36"/>
      <c r="C521" s="36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 ht="13.5" customHeight="1" x14ac:dyDescent="0.35">
      <c r="A522" s="14"/>
      <c r="B522" s="36"/>
      <c r="C522" s="36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 ht="13.5" customHeight="1" x14ac:dyDescent="0.35">
      <c r="A523" s="14"/>
      <c r="B523" s="36"/>
      <c r="C523" s="36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 ht="13.5" customHeight="1" x14ac:dyDescent="0.35">
      <c r="A524" s="14"/>
      <c r="B524" s="36"/>
      <c r="C524" s="36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 ht="13.5" customHeight="1" x14ac:dyDescent="0.35">
      <c r="A525" s="14"/>
      <c r="B525" s="36"/>
      <c r="C525" s="36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 ht="13.5" customHeight="1" x14ac:dyDescent="0.35">
      <c r="A526" s="14"/>
      <c r="B526" s="36"/>
      <c r="C526" s="36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3.5" customHeight="1" x14ac:dyDescent="0.35">
      <c r="A527" s="14"/>
      <c r="B527" s="36"/>
      <c r="C527" s="36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3.5" customHeight="1" x14ac:dyDescent="0.35">
      <c r="A528" s="14"/>
      <c r="B528" s="36"/>
      <c r="C528" s="36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 ht="13.5" customHeight="1" x14ac:dyDescent="0.35">
      <c r="A529" s="14"/>
      <c r="B529" s="36"/>
      <c r="C529" s="36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ht="13.5" customHeight="1" x14ac:dyDescent="0.35">
      <c r="A530" s="14"/>
      <c r="B530" s="36"/>
      <c r="C530" s="36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 ht="13.5" customHeight="1" x14ac:dyDescent="0.35">
      <c r="A531" s="14"/>
      <c r="B531" s="36"/>
      <c r="C531" s="36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3.5" customHeight="1" x14ac:dyDescent="0.35">
      <c r="A532" s="14"/>
      <c r="B532" s="36"/>
      <c r="C532" s="36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 ht="13.5" customHeight="1" x14ac:dyDescent="0.35">
      <c r="A533" s="14"/>
      <c r="B533" s="36"/>
      <c r="C533" s="36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 ht="13.5" customHeight="1" x14ac:dyDescent="0.35">
      <c r="A534" s="14"/>
      <c r="B534" s="36"/>
      <c r="C534" s="36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 ht="13.5" customHeight="1" x14ac:dyDescent="0.35">
      <c r="A535" s="14"/>
      <c r="B535" s="36"/>
      <c r="C535" s="36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 ht="13.5" customHeight="1" x14ac:dyDescent="0.35">
      <c r="A536" s="14"/>
      <c r="B536" s="36"/>
      <c r="C536" s="36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 ht="13.5" customHeight="1" x14ac:dyDescent="0.35">
      <c r="A537" s="14"/>
      <c r="B537" s="36"/>
      <c r="C537" s="36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 ht="13.5" customHeight="1" x14ac:dyDescent="0.35">
      <c r="A538" s="14"/>
      <c r="B538" s="36"/>
      <c r="C538" s="36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 ht="13.5" customHeight="1" x14ac:dyDescent="0.35">
      <c r="A539" s="14"/>
      <c r="B539" s="36"/>
      <c r="C539" s="36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 ht="13.5" customHeight="1" x14ac:dyDescent="0.35">
      <c r="A540" s="14"/>
      <c r="B540" s="36"/>
      <c r="C540" s="36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ht="13.5" customHeight="1" x14ac:dyDescent="0.35">
      <c r="A541" s="14"/>
      <c r="B541" s="36"/>
      <c r="C541" s="36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 ht="13.5" customHeight="1" x14ac:dyDescent="0.35">
      <c r="A542" s="14"/>
      <c r="B542" s="36"/>
      <c r="C542" s="36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 ht="13.5" customHeight="1" x14ac:dyDescent="0.35">
      <c r="A543" s="14"/>
      <c r="B543" s="36"/>
      <c r="C543" s="36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ht="13.5" customHeight="1" x14ac:dyDescent="0.35">
      <c r="A544" s="14"/>
      <c r="B544" s="36"/>
      <c r="C544" s="36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 ht="13.5" customHeight="1" x14ac:dyDescent="0.35">
      <c r="A545" s="14"/>
      <c r="B545" s="36"/>
      <c r="C545" s="36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 ht="13.5" customHeight="1" x14ac:dyDescent="0.35">
      <c r="A546" s="14"/>
      <c r="B546" s="36"/>
      <c r="C546" s="36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 ht="13.5" customHeight="1" x14ac:dyDescent="0.35">
      <c r="A547" s="14"/>
      <c r="B547" s="36"/>
      <c r="C547" s="36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 ht="13.5" customHeight="1" x14ac:dyDescent="0.35">
      <c r="A548" s="14"/>
      <c r="B548" s="36"/>
      <c r="C548" s="36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 ht="13.5" customHeight="1" x14ac:dyDescent="0.35">
      <c r="A549" s="14"/>
      <c r="B549" s="36"/>
      <c r="C549" s="36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 ht="13.5" customHeight="1" x14ac:dyDescent="0.35">
      <c r="A550" s="14"/>
      <c r="B550" s="36"/>
      <c r="C550" s="36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 ht="13.5" customHeight="1" x14ac:dyDescent="0.35">
      <c r="A551" s="14"/>
      <c r="B551" s="36"/>
      <c r="C551" s="36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 ht="13.5" customHeight="1" x14ac:dyDescent="0.35">
      <c r="A552" s="14"/>
      <c r="B552" s="36"/>
      <c r="C552" s="36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 ht="13.5" customHeight="1" x14ac:dyDescent="0.35">
      <c r="A553" s="14"/>
      <c r="B553" s="36"/>
      <c r="C553" s="36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 ht="13.5" customHeight="1" x14ac:dyDescent="0.35">
      <c r="A554" s="14"/>
      <c r="B554" s="36"/>
      <c r="C554" s="36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ht="13.5" customHeight="1" x14ac:dyDescent="0.35">
      <c r="A555" s="14"/>
      <c r="B555" s="36"/>
      <c r="C555" s="36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 ht="13.5" customHeight="1" x14ac:dyDescent="0.35">
      <c r="A556" s="14"/>
      <c r="B556" s="36"/>
      <c r="C556" s="36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 ht="13.5" customHeight="1" x14ac:dyDescent="0.35">
      <c r="A557" s="14"/>
      <c r="B557" s="36"/>
      <c r="C557" s="36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ht="13.5" customHeight="1" x14ac:dyDescent="0.35">
      <c r="A558" s="14"/>
      <c r="B558" s="36"/>
      <c r="C558" s="36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 ht="13.5" customHeight="1" x14ac:dyDescent="0.35">
      <c r="A559" s="14"/>
      <c r="B559" s="36"/>
      <c r="C559" s="36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 ht="13.5" customHeight="1" x14ac:dyDescent="0.35">
      <c r="A560" s="14"/>
      <c r="B560" s="36"/>
      <c r="C560" s="36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 ht="13.5" customHeight="1" x14ac:dyDescent="0.35">
      <c r="A561" s="14"/>
      <c r="B561" s="36"/>
      <c r="C561" s="36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 ht="13.5" customHeight="1" x14ac:dyDescent="0.35">
      <c r="A562" s="14"/>
      <c r="B562" s="36"/>
      <c r="C562" s="36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 ht="13.5" customHeight="1" x14ac:dyDescent="0.35">
      <c r="A563" s="14"/>
      <c r="B563" s="36"/>
      <c r="C563" s="36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 ht="13.5" customHeight="1" x14ac:dyDescent="0.35">
      <c r="A564" s="14"/>
      <c r="B564" s="36"/>
      <c r="C564" s="36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 ht="13.5" customHeight="1" x14ac:dyDescent="0.35">
      <c r="A565" s="14"/>
      <c r="B565" s="36"/>
      <c r="C565" s="36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 ht="13.5" customHeight="1" x14ac:dyDescent="0.35">
      <c r="A566" s="14"/>
      <c r="B566" s="36"/>
      <c r="C566" s="36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 ht="13.5" customHeight="1" x14ac:dyDescent="0.35">
      <c r="A567" s="14"/>
      <c r="B567" s="36"/>
      <c r="C567" s="36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 ht="13.5" customHeight="1" x14ac:dyDescent="0.35">
      <c r="A568" s="14"/>
      <c r="B568" s="36"/>
      <c r="C568" s="36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ht="13.5" customHeight="1" x14ac:dyDescent="0.35">
      <c r="A569" s="14"/>
      <c r="B569" s="36"/>
      <c r="C569" s="36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 ht="13.5" customHeight="1" x14ac:dyDescent="0.35">
      <c r="A570" s="14"/>
      <c r="B570" s="36"/>
      <c r="C570" s="36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 ht="13.5" customHeight="1" x14ac:dyDescent="0.35">
      <c r="A571" s="14"/>
      <c r="B571" s="36"/>
      <c r="C571" s="36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ht="13.5" customHeight="1" x14ac:dyDescent="0.35">
      <c r="A572" s="14"/>
      <c r="B572" s="36"/>
      <c r="C572" s="36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 ht="13.5" customHeight="1" x14ac:dyDescent="0.35">
      <c r="A573" s="14"/>
      <c r="B573" s="36"/>
      <c r="C573" s="36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 ht="13.5" customHeight="1" x14ac:dyDescent="0.35">
      <c r="A574" s="14"/>
      <c r="B574" s="36"/>
      <c r="C574" s="36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 ht="13.5" customHeight="1" x14ac:dyDescent="0.35">
      <c r="A575" s="14"/>
      <c r="B575" s="36"/>
      <c r="C575" s="36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 ht="13.5" customHeight="1" x14ac:dyDescent="0.35">
      <c r="A576" s="14"/>
      <c r="B576" s="36"/>
      <c r="C576" s="36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 ht="13.5" customHeight="1" x14ac:dyDescent="0.35">
      <c r="A577" s="14"/>
      <c r="B577" s="36"/>
      <c r="C577" s="36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 ht="13.5" customHeight="1" x14ac:dyDescent="0.35">
      <c r="A578" s="14"/>
      <c r="B578" s="36"/>
      <c r="C578" s="36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 ht="13.5" customHeight="1" x14ac:dyDescent="0.35">
      <c r="A579" s="14"/>
      <c r="B579" s="36"/>
      <c r="C579" s="36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 ht="13.5" customHeight="1" x14ac:dyDescent="0.35">
      <c r="A580" s="14"/>
      <c r="B580" s="36"/>
      <c r="C580" s="36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 ht="13.5" customHeight="1" x14ac:dyDescent="0.35">
      <c r="A581" s="14"/>
      <c r="B581" s="36"/>
      <c r="C581" s="36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 ht="13.5" customHeight="1" x14ac:dyDescent="0.35">
      <c r="A582" s="14"/>
      <c r="B582" s="36"/>
      <c r="C582" s="36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ht="13.5" customHeight="1" x14ac:dyDescent="0.35">
      <c r="A583" s="14"/>
      <c r="B583" s="36"/>
      <c r="C583" s="36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 ht="13.5" customHeight="1" x14ac:dyDescent="0.35">
      <c r="A584" s="14"/>
      <c r="B584" s="36"/>
      <c r="C584" s="36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 ht="13.5" customHeight="1" x14ac:dyDescent="0.35">
      <c r="A585" s="14"/>
      <c r="B585" s="36"/>
      <c r="C585" s="36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ht="13.5" customHeight="1" x14ac:dyDescent="0.35">
      <c r="A586" s="14"/>
      <c r="B586" s="36"/>
      <c r="C586" s="36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 ht="13.5" customHeight="1" x14ac:dyDescent="0.35">
      <c r="A587" s="14"/>
      <c r="B587" s="36"/>
      <c r="C587" s="36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3.5" customHeight="1" x14ac:dyDescent="0.35">
      <c r="A588" s="14"/>
      <c r="B588" s="36"/>
      <c r="C588" s="36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 ht="13.5" customHeight="1" x14ac:dyDescent="0.35">
      <c r="A589" s="14"/>
      <c r="B589" s="36"/>
      <c r="C589" s="36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 ht="13.5" customHeight="1" x14ac:dyDescent="0.35">
      <c r="A590" s="14"/>
      <c r="B590" s="36"/>
      <c r="C590" s="36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 ht="13.5" customHeight="1" x14ac:dyDescent="0.35">
      <c r="A591" s="14"/>
      <c r="B591" s="36"/>
      <c r="C591" s="36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 ht="13.5" customHeight="1" x14ac:dyDescent="0.35">
      <c r="A592" s="14"/>
      <c r="B592" s="36"/>
      <c r="C592" s="36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3.5" customHeight="1" x14ac:dyDescent="0.35">
      <c r="A593" s="14"/>
      <c r="B593" s="36"/>
      <c r="C593" s="36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 ht="13.5" customHeight="1" x14ac:dyDescent="0.35">
      <c r="A594" s="14"/>
      <c r="B594" s="36"/>
      <c r="C594" s="36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 ht="13.5" customHeight="1" x14ac:dyDescent="0.35">
      <c r="A595" s="14"/>
      <c r="B595" s="36"/>
      <c r="C595" s="36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 ht="13.5" customHeight="1" x14ac:dyDescent="0.35">
      <c r="A596" s="14"/>
      <c r="B596" s="36"/>
      <c r="C596" s="36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ht="13.5" customHeight="1" x14ac:dyDescent="0.35">
      <c r="A597" s="14"/>
      <c r="B597" s="36"/>
      <c r="C597" s="36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 ht="13.5" customHeight="1" x14ac:dyDescent="0.35">
      <c r="A598" s="14"/>
      <c r="B598" s="36"/>
      <c r="C598" s="36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 ht="13.5" customHeight="1" x14ac:dyDescent="0.35">
      <c r="A599" s="14"/>
      <c r="B599" s="36"/>
      <c r="C599" s="36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ht="13.5" customHeight="1" x14ac:dyDescent="0.35">
      <c r="A600" s="14"/>
      <c r="B600" s="36"/>
      <c r="C600" s="36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 ht="13.5" customHeight="1" x14ac:dyDescent="0.35">
      <c r="A601" s="14"/>
      <c r="B601" s="36"/>
      <c r="C601" s="36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 ht="13.5" customHeight="1" x14ac:dyDescent="0.35">
      <c r="A602" s="14"/>
      <c r="B602" s="36"/>
      <c r="C602" s="36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 ht="13.5" customHeight="1" x14ac:dyDescent="0.35">
      <c r="A603" s="14"/>
      <c r="B603" s="36"/>
      <c r="C603" s="36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 ht="13.5" customHeight="1" x14ac:dyDescent="0.35">
      <c r="A604" s="14"/>
      <c r="B604" s="36"/>
      <c r="C604" s="36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 ht="13.5" customHeight="1" x14ac:dyDescent="0.35">
      <c r="A605" s="14"/>
      <c r="B605" s="36"/>
      <c r="C605" s="36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3.5" customHeight="1" x14ac:dyDescent="0.35">
      <c r="A606" s="14"/>
      <c r="B606" s="36"/>
      <c r="C606" s="36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 ht="13.5" customHeight="1" x14ac:dyDescent="0.35">
      <c r="A607" s="14"/>
      <c r="B607" s="36"/>
      <c r="C607" s="36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ht="13.5" customHeight="1" x14ac:dyDescent="0.35">
      <c r="A608" s="14"/>
      <c r="B608" s="36"/>
      <c r="C608" s="36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 ht="13.5" customHeight="1" x14ac:dyDescent="0.35">
      <c r="A609" s="14"/>
      <c r="B609" s="36"/>
      <c r="C609" s="36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 ht="13.5" customHeight="1" x14ac:dyDescent="0.35">
      <c r="A610" s="14"/>
      <c r="B610" s="36"/>
      <c r="C610" s="36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ht="13.5" customHeight="1" x14ac:dyDescent="0.35">
      <c r="A611" s="14"/>
      <c r="B611" s="36"/>
      <c r="C611" s="36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 ht="13.5" customHeight="1" x14ac:dyDescent="0.35">
      <c r="A612" s="14"/>
      <c r="B612" s="36"/>
      <c r="C612" s="36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 ht="13.5" customHeight="1" x14ac:dyDescent="0.35">
      <c r="A613" s="14"/>
      <c r="B613" s="36"/>
      <c r="C613" s="36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ht="13.5" customHeight="1" x14ac:dyDescent="0.35">
      <c r="A614" s="14"/>
      <c r="B614" s="36"/>
      <c r="C614" s="36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ht="13.5" customHeight="1" x14ac:dyDescent="0.35">
      <c r="A615" s="14"/>
      <c r="B615" s="36"/>
      <c r="C615" s="36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ht="13.5" customHeight="1" x14ac:dyDescent="0.35">
      <c r="A616" s="14"/>
      <c r="B616" s="36"/>
      <c r="C616" s="36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ht="13.5" customHeight="1" x14ac:dyDescent="0.35">
      <c r="A617" s="14"/>
      <c r="B617" s="36"/>
      <c r="C617" s="36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 ht="13.5" customHeight="1" x14ac:dyDescent="0.35">
      <c r="A618" s="14"/>
      <c r="B618" s="36"/>
      <c r="C618" s="36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 ht="13.5" customHeight="1" x14ac:dyDescent="0.35">
      <c r="A619" s="14"/>
      <c r="B619" s="36"/>
      <c r="C619" s="36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 ht="13.5" customHeight="1" x14ac:dyDescent="0.35">
      <c r="A620" s="14"/>
      <c r="B620" s="36"/>
      <c r="C620" s="36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 ht="13.5" customHeight="1" x14ac:dyDescent="0.35">
      <c r="A621" s="14"/>
      <c r="B621" s="36"/>
      <c r="C621" s="36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 ht="13.5" customHeight="1" x14ac:dyDescent="0.35">
      <c r="A622" s="14"/>
      <c r="B622" s="36"/>
      <c r="C622" s="36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 ht="13.5" customHeight="1" x14ac:dyDescent="0.35">
      <c r="A623" s="14"/>
      <c r="B623" s="36"/>
      <c r="C623" s="36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 ht="13.5" customHeight="1" x14ac:dyDescent="0.35">
      <c r="A624" s="14"/>
      <c r="B624" s="36"/>
      <c r="C624" s="36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ht="13.5" customHeight="1" x14ac:dyDescent="0.35">
      <c r="A625" s="14"/>
      <c r="B625" s="36"/>
      <c r="C625" s="36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 ht="13.5" customHeight="1" x14ac:dyDescent="0.35">
      <c r="A626" s="14"/>
      <c r="B626" s="36"/>
      <c r="C626" s="36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 ht="13.5" customHeight="1" x14ac:dyDescent="0.35">
      <c r="A627" s="14"/>
      <c r="B627" s="36"/>
      <c r="C627" s="36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ht="13.5" customHeight="1" x14ac:dyDescent="0.35">
      <c r="A628" s="14"/>
      <c r="B628" s="36"/>
      <c r="C628" s="36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 ht="13.5" customHeight="1" x14ac:dyDescent="0.35">
      <c r="A629" s="14"/>
      <c r="B629" s="36"/>
      <c r="C629" s="36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 ht="13.5" customHeight="1" x14ac:dyDescent="0.35">
      <c r="A630" s="14"/>
      <c r="B630" s="36"/>
      <c r="C630" s="36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 ht="13.5" customHeight="1" x14ac:dyDescent="0.35">
      <c r="A631" s="14"/>
      <c r="B631" s="36"/>
      <c r="C631" s="36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 ht="13.5" customHeight="1" x14ac:dyDescent="0.35">
      <c r="A632" s="14"/>
      <c r="B632" s="36"/>
      <c r="C632" s="36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 ht="13.5" customHeight="1" x14ac:dyDescent="0.35">
      <c r="A633" s="14"/>
      <c r="B633" s="36"/>
      <c r="C633" s="36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 ht="13.5" customHeight="1" x14ac:dyDescent="0.35">
      <c r="A634" s="14"/>
      <c r="B634" s="36"/>
      <c r="C634" s="36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 ht="13.5" customHeight="1" x14ac:dyDescent="0.35">
      <c r="A635" s="14"/>
      <c r="B635" s="36"/>
      <c r="C635" s="36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 ht="13.5" customHeight="1" x14ac:dyDescent="0.35">
      <c r="A636" s="14"/>
      <c r="B636" s="36"/>
      <c r="C636" s="36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 ht="13.5" customHeight="1" x14ac:dyDescent="0.35">
      <c r="A637" s="14"/>
      <c r="B637" s="36"/>
      <c r="C637" s="36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 ht="13.5" customHeight="1" x14ac:dyDescent="0.35">
      <c r="A638" s="14"/>
      <c r="B638" s="36"/>
      <c r="C638" s="36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ht="13.5" customHeight="1" x14ac:dyDescent="0.35">
      <c r="A639" s="14"/>
      <c r="B639" s="36"/>
      <c r="C639" s="36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 ht="13.5" customHeight="1" x14ac:dyDescent="0.35">
      <c r="A640" s="14"/>
      <c r="B640" s="36"/>
      <c r="C640" s="36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 ht="13.5" customHeight="1" x14ac:dyDescent="0.35">
      <c r="A641" s="14"/>
      <c r="B641" s="36"/>
      <c r="C641" s="36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ht="13.5" customHeight="1" x14ac:dyDescent="0.35">
      <c r="A642" s="14"/>
      <c r="B642" s="36"/>
      <c r="C642" s="36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 ht="13.5" customHeight="1" x14ac:dyDescent="0.35">
      <c r="A643" s="14"/>
      <c r="B643" s="36"/>
      <c r="C643" s="36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 ht="13.5" customHeight="1" x14ac:dyDescent="0.35">
      <c r="A644" s="14"/>
      <c r="B644" s="36"/>
      <c r="C644" s="36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 ht="13.5" customHeight="1" x14ac:dyDescent="0.35">
      <c r="A645" s="14"/>
      <c r="B645" s="36"/>
      <c r="C645" s="36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 ht="13.5" customHeight="1" x14ac:dyDescent="0.35">
      <c r="A646" s="14"/>
      <c r="B646" s="36"/>
      <c r="C646" s="36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 ht="13.5" customHeight="1" x14ac:dyDescent="0.35">
      <c r="A647" s="14"/>
      <c r="B647" s="36"/>
      <c r="C647" s="36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 ht="13.5" customHeight="1" x14ac:dyDescent="0.35">
      <c r="A648" s="14"/>
      <c r="B648" s="36"/>
      <c r="C648" s="36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 ht="13.5" customHeight="1" x14ac:dyDescent="0.35">
      <c r="A649" s="14"/>
      <c r="B649" s="36"/>
      <c r="C649" s="36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 ht="13.5" customHeight="1" x14ac:dyDescent="0.35">
      <c r="A650" s="14"/>
      <c r="B650" s="36"/>
      <c r="C650" s="36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 ht="13.5" customHeight="1" x14ac:dyDescent="0.35">
      <c r="A651" s="14"/>
      <c r="B651" s="36"/>
      <c r="C651" s="36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 ht="13.5" customHeight="1" x14ac:dyDescent="0.35">
      <c r="A652" s="14"/>
      <c r="B652" s="36"/>
      <c r="C652" s="36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ht="13.5" customHeight="1" x14ac:dyDescent="0.35">
      <c r="A653" s="14"/>
      <c r="B653" s="36"/>
      <c r="C653" s="36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 ht="13.5" customHeight="1" x14ac:dyDescent="0.35">
      <c r="A654" s="14"/>
      <c r="B654" s="36"/>
      <c r="C654" s="36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 ht="13.5" customHeight="1" x14ac:dyDescent="0.35">
      <c r="A655" s="14"/>
      <c r="B655" s="36"/>
      <c r="C655" s="36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ht="13.5" customHeight="1" x14ac:dyDescent="0.35">
      <c r="A656" s="14"/>
      <c r="B656" s="36"/>
      <c r="C656" s="36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 ht="13.5" customHeight="1" x14ac:dyDescent="0.35">
      <c r="A657" s="14"/>
      <c r="B657" s="36"/>
      <c r="C657" s="36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 ht="13.5" customHeight="1" x14ac:dyDescent="0.35">
      <c r="A658" s="14"/>
      <c r="B658" s="36"/>
      <c r="C658" s="36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 ht="13.5" customHeight="1" x14ac:dyDescent="0.35">
      <c r="A659" s="14"/>
      <c r="B659" s="36"/>
      <c r="C659" s="36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 ht="13.5" customHeight="1" x14ac:dyDescent="0.35">
      <c r="A660" s="14"/>
      <c r="B660" s="36"/>
      <c r="C660" s="36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 ht="13.5" customHeight="1" x14ac:dyDescent="0.35">
      <c r="A661" s="14"/>
      <c r="B661" s="36"/>
      <c r="C661" s="36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 ht="13.5" customHeight="1" x14ac:dyDescent="0.35">
      <c r="A662" s="14"/>
      <c r="B662" s="36"/>
      <c r="C662" s="36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 ht="13.5" customHeight="1" x14ac:dyDescent="0.35">
      <c r="A663" s="14"/>
      <c r="B663" s="36"/>
      <c r="C663" s="36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 ht="13.5" customHeight="1" x14ac:dyDescent="0.35">
      <c r="A664" s="14"/>
      <c r="B664" s="36"/>
      <c r="C664" s="36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 ht="13.5" customHeight="1" x14ac:dyDescent="0.35">
      <c r="A665" s="14"/>
      <c r="B665" s="36"/>
      <c r="C665" s="36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 ht="13.5" customHeight="1" x14ac:dyDescent="0.35">
      <c r="A666" s="14"/>
      <c r="B666" s="36"/>
      <c r="C666" s="36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 ht="13.5" customHeight="1" x14ac:dyDescent="0.35">
      <c r="A667" s="14"/>
      <c r="B667" s="36"/>
      <c r="C667" s="36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 ht="13.5" customHeight="1" x14ac:dyDescent="0.35">
      <c r="A668" s="14"/>
      <c r="B668" s="36"/>
      <c r="C668" s="36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 ht="13.5" customHeight="1" x14ac:dyDescent="0.35">
      <c r="A669" s="14"/>
      <c r="B669" s="36"/>
      <c r="C669" s="36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 ht="13.5" customHeight="1" x14ac:dyDescent="0.35">
      <c r="A670" s="14"/>
      <c r="B670" s="36"/>
      <c r="C670" s="36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 ht="13.5" customHeight="1" x14ac:dyDescent="0.35">
      <c r="A671" s="14"/>
      <c r="B671" s="36"/>
      <c r="C671" s="36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 ht="13.5" customHeight="1" x14ac:dyDescent="0.35">
      <c r="A672" s="14"/>
      <c r="B672" s="36"/>
      <c r="C672" s="36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 ht="13.5" customHeight="1" x14ac:dyDescent="0.35">
      <c r="A673" s="14"/>
      <c r="B673" s="36"/>
      <c r="C673" s="36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 ht="13.5" customHeight="1" x14ac:dyDescent="0.35">
      <c r="A674" s="14"/>
      <c r="B674" s="36"/>
      <c r="C674" s="36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 ht="13.5" customHeight="1" x14ac:dyDescent="0.35">
      <c r="A675" s="14"/>
      <c r="B675" s="36"/>
      <c r="C675" s="36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 ht="13.5" customHeight="1" x14ac:dyDescent="0.35">
      <c r="A676" s="14"/>
      <c r="B676" s="36"/>
      <c r="C676" s="36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 ht="13.5" customHeight="1" x14ac:dyDescent="0.35">
      <c r="A677" s="14"/>
      <c r="B677" s="36"/>
      <c r="C677" s="36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 ht="13.5" customHeight="1" x14ac:dyDescent="0.35">
      <c r="A678" s="14"/>
      <c r="B678" s="36"/>
      <c r="C678" s="36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 ht="13.5" customHeight="1" x14ac:dyDescent="0.35">
      <c r="A679" s="14"/>
      <c r="B679" s="36"/>
      <c r="C679" s="36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 ht="13.5" customHeight="1" x14ac:dyDescent="0.35">
      <c r="A680" s="14"/>
      <c r="B680" s="36"/>
      <c r="C680" s="36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 ht="13.5" customHeight="1" x14ac:dyDescent="0.35">
      <c r="A681" s="14"/>
      <c r="B681" s="36"/>
      <c r="C681" s="36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 ht="13.5" customHeight="1" x14ac:dyDescent="0.35">
      <c r="A682" s="14"/>
      <c r="B682" s="36"/>
      <c r="C682" s="36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 ht="13.5" customHeight="1" x14ac:dyDescent="0.35">
      <c r="A683" s="14"/>
      <c r="B683" s="36"/>
      <c r="C683" s="36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 ht="13.5" customHeight="1" x14ac:dyDescent="0.35">
      <c r="A684" s="14"/>
      <c r="B684" s="36"/>
      <c r="C684" s="36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 ht="13.5" customHeight="1" x14ac:dyDescent="0.35">
      <c r="A685" s="14"/>
      <c r="B685" s="36"/>
      <c r="C685" s="36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 ht="13.5" customHeight="1" x14ac:dyDescent="0.35">
      <c r="A686" s="14"/>
      <c r="B686" s="36"/>
      <c r="C686" s="36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 ht="13.5" customHeight="1" x14ac:dyDescent="0.35">
      <c r="A687" s="14"/>
      <c r="B687" s="36"/>
      <c r="C687" s="36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 ht="13.5" customHeight="1" x14ac:dyDescent="0.35">
      <c r="A688" s="14"/>
      <c r="B688" s="36"/>
      <c r="C688" s="36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 ht="13.5" customHeight="1" x14ac:dyDescent="0.35">
      <c r="A689" s="14"/>
      <c r="B689" s="36"/>
      <c r="C689" s="36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 ht="13.5" customHeight="1" x14ac:dyDescent="0.35">
      <c r="A690" s="14"/>
      <c r="B690" s="36"/>
      <c r="C690" s="36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 ht="13.5" customHeight="1" x14ac:dyDescent="0.35">
      <c r="A691" s="14"/>
      <c r="B691" s="36"/>
      <c r="C691" s="36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 ht="13.5" customHeight="1" x14ac:dyDescent="0.35">
      <c r="A692" s="14"/>
      <c r="B692" s="36"/>
      <c r="C692" s="36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 ht="13.5" customHeight="1" x14ac:dyDescent="0.35">
      <c r="A693" s="14"/>
      <c r="B693" s="36"/>
      <c r="C693" s="36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 ht="13.5" customHeight="1" x14ac:dyDescent="0.35">
      <c r="A694" s="14"/>
      <c r="B694" s="36"/>
      <c r="C694" s="36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 ht="13.5" customHeight="1" x14ac:dyDescent="0.35">
      <c r="A695" s="14"/>
      <c r="B695" s="36"/>
      <c r="C695" s="36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 ht="13.5" customHeight="1" x14ac:dyDescent="0.35">
      <c r="A696" s="14"/>
      <c r="B696" s="36"/>
      <c r="C696" s="36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 ht="13.5" customHeight="1" x14ac:dyDescent="0.35">
      <c r="A697" s="14"/>
      <c r="B697" s="36"/>
      <c r="C697" s="36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ht="13.5" customHeight="1" x14ac:dyDescent="0.35">
      <c r="A698" s="14"/>
      <c r="B698" s="36"/>
      <c r="C698" s="36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 ht="13.5" customHeight="1" x14ac:dyDescent="0.35">
      <c r="A699" s="14"/>
      <c r="B699" s="36"/>
      <c r="C699" s="36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 ht="13.5" customHeight="1" x14ac:dyDescent="0.35">
      <c r="A700" s="14"/>
      <c r="B700" s="36"/>
      <c r="C700" s="36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 ht="13.5" customHeight="1" x14ac:dyDescent="0.35">
      <c r="A701" s="14"/>
      <c r="B701" s="36"/>
      <c r="C701" s="36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 ht="13.5" customHeight="1" x14ac:dyDescent="0.35">
      <c r="A702" s="14"/>
      <c r="B702" s="36"/>
      <c r="C702" s="36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 ht="13.5" customHeight="1" x14ac:dyDescent="0.35">
      <c r="A703" s="14"/>
      <c r="B703" s="36"/>
      <c r="C703" s="36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 ht="13.5" customHeight="1" x14ac:dyDescent="0.35">
      <c r="A704" s="14"/>
      <c r="B704" s="36"/>
      <c r="C704" s="36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 ht="13.5" customHeight="1" x14ac:dyDescent="0.35">
      <c r="A705" s="14"/>
      <c r="B705" s="36"/>
      <c r="C705" s="36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 ht="13.5" customHeight="1" x14ac:dyDescent="0.35">
      <c r="A706" s="14"/>
      <c r="B706" s="36"/>
      <c r="C706" s="36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 ht="13.5" customHeight="1" x14ac:dyDescent="0.35">
      <c r="A707" s="14"/>
      <c r="B707" s="36"/>
      <c r="C707" s="36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 ht="13.5" customHeight="1" x14ac:dyDescent="0.35">
      <c r="A708" s="14"/>
      <c r="B708" s="36"/>
      <c r="C708" s="36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 ht="13.5" customHeight="1" x14ac:dyDescent="0.35">
      <c r="A709" s="14"/>
      <c r="B709" s="36"/>
      <c r="C709" s="36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ht="13.5" customHeight="1" x14ac:dyDescent="0.35">
      <c r="A710" s="14"/>
      <c r="B710" s="36"/>
      <c r="C710" s="36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 ht="13.5" customHeight="1" x14ac:dyDescent="0.35">
      <c r="A711" s="14"/>
      <c r="B711" s="36"/>
      <c r="C711" s="36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 ht="13.5" customHeight="1" x14ac:dyDescent="0.35">
      <c r="A712" s="14"/>
      <c r="B712" s="36"/>
      <c r="C712" s="36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 ht="13.5" customHeight="1" x14ac:dyDescent="0.35">
      <c r="A713" s="14"/>
      <c r="B713" s="36"/>
      <c r="C713" s="36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 ht="13.5" customHeight="1" x14ac:dyDescent="0.35">
      <c r="A714" s="14"/>
      <c r="B714" s="36"/>
      <c r="C714" s="36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 ht="13.5" customHeight="1" x14ac:dyDescent="0.35">
      <c r="A715" s="14"/>
      <c r="B715" s="36"/>
      <c r="C715" s="36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 ht="13.5" customHeight="1" x14ac:dyDescent="0.35">
      <c r="A716" s="14"/>
      <c r="B716" s="36"/>
      <c r="C716" s="36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 ht="13.5" customHeight="1" x14ac:dyDescent="0.35">
      <c r="A717" s="14"/>
      <c r="B717" s="36"/>
      <c r="C717" s="36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 ht="13.5" customHeight="1" x14ac:dyDescent="0.35">
      <c r="A718" s="14"/>
      <c r="B718" s="36"/>
      <c r="C718" s="36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 ht="13.5" customHeight="1" x14ac:dyDescent="0.35">
      <c r="A719" s="14"/>
      <c r="B719" s="36"/>
      <c r="C719" s="36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 ht="13.5" customHeight="1" x14ac:dyDescent="0.35">
      <c r="A720" s="14"/>
      <c r="B720" s="36"/>
      <c r="C720" s="36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 ht="13.5" customHeight="1" x14ac:dyDescent="0.35">
      <c r="A721" s="14"/>
      <c r="B721" s="36"/>
      <c r="C721" s="36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 ht="13.5" customHeight="1" x14ac:dyDescent="0.35">
      <c r="A722" s="14"/>
      <c r="B722" s="36"/>
      <c r="C722" s="36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 ht="13.5" customHeight="1" x14ac:dyDescent="0.35">
      <c r="A723" s="14"/>
      <c r="B723" s="36"/>
      <c r="C723" s="36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 ht="13.5" customHeight="1" x14ac:dyDescent="0.35">
      <c r="A724" s="14"/>
      <c r="B724" s="36"/>
      <c r="C724" s="36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 ht="13.5" customHeight="1" x14ac:dyDescent="0.35">
      <c r="A725" s="14"/>
      <c r="B725" s="36"/>
      <c r="C725" s="36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 ht="13.5" customHeight="1" x14ac:dyDescent="0.35">
      <c r="A726" s="14"/>
      <c r="B726" s="36"/>
      <c r="C726" s="36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 ht="13.5" customHeight="1" x14ac:dyDescent="0.35">
      <c r="A727" s="14"/>
      <c r="B727" s="36"/>
      <c r="C727" s="36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 ht="13.5" customHeight="1" x14ac:dyDescent="0.35">
      <c r="A728" s="14"/>
      <c r="B728" s="36"/>
      <c r="C728" s="36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 ht="13.5" customHeight="1" x14ac:dyDescent="0.35">
      <c r="A729" s="14"/>
      <c r="B729" s="36"/>
      <c r="C729" s="36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 ht="13.5" customHeight="1" x14ac:dyDescent="0.35">
      <c r="A730" s="14"/>
      <c r="B730" s="36"/>
      <c r="C730" s="36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 ht="13.5" customHeight="1" x14ac:dyDescent="0.35">
      <c r="A731" s="14"/>
      <c r="B731" s="36"/>
      <c r="C731" s="36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 ht="13.5" customHeight="1" x14ac:dyDescent="0.35">
      <c r="A732" s="14"/>
      <c r="B732" s="36"/>
      <c r="C732" s="36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ht="13.5" customHeight="1" x14ac:dyDescent="0.35">
      <c r="A733" s="14"/>
      <c r="B733" s="36"/>
      <c r="C733" s="36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 ht="13.5" customHeight="1" x14ac:dyDescent="0.35">
      <c r="A734" s="14"/>
      <c r="B734" s="36"/>
      <c r="C734" s="36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ht="13.5" customHeight="1" x14ac:dyDescent="0.35">
      <c r="A735" s="14"/>
      <c r="B735" s="36"/>
      <c r="C735" s="36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3.5" customHeight="1" x14ac:dyDescent="0.35">
      <c r="A736" s="14"/>
      <c r="B736" s="36"/>
      <c r="C736" s="36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ht="13.5" customHeight="1" x14ac:dyDescent="0.35">
      <c r="A737" s="14"/>
      <c r="B737" s="36"/>
      <c r="C737" s="36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 ht="13.5" customHeight="1" x14ac:dyDescent="0.35">
      <c r="A738" s="14"/>
      <c r="B738" s="36"/>
      <c r="C738" s="36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3.5" customHeight="1" x14ac:dyDescent="0.35">
      <c r="A739" s="14"/>
      <c r="B739" s="36"/>
      <c r="C739" s="36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 ht="13.5" customHeight="1" x14ac:dyDescent="0.35">
      <c r="A740" s="14"/>
      <c r="B740" s="36"/>
      <c r="C740" s="36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3.5" customHeight="1" x14ac:dyDescent="0.35">
      <c r="A741" s="14"/>
      <c r="B741" s="36"/>
      <c r="C741" s="36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 ht="13.5" customHeight="1" x14ac:dyDescent="0.35">
      <c r="A742" s="14"/>
      <c r="B742" s="36"/>
      <c r="C742" s="36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 ht="13.5" customHeight="1" x14ac:dyDescent="0.35">
      <c r="A743" s="14"/>
      <c r="B743" s="36"/>
      <c r="C743" s="36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3.5" customHeight="1" x14ac:dyDescent="0.35">
      <c r="A744" s="14"/>
      <c r="B744" s="36"/>
      <c r="C744" s="36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3.5" customHeight="1" x14ac:dyDescent="0.35">
      <c r="A745" s="14"/>
      <c r="B745" s="36"/>
      <c r="C745" s="36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3.5" customHeight="1" x14ac:dyDescent="0.35">
      <c r="A746" s="14"/>
      <c r="B746" s="36"/>
      <c r="C746" s="36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 ht="13.5" customHeight="1" x14ac:dyDescent="0.35">
      <c r="A747" s="14"/>
      <c r="B747" s="36"/>
      <c r="C747" s="36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ht="13.5" customHeight="1" x14ac:dyDescent="0.35">
      <c r="A748" s="14"/>
      <c r="B748" s="36"/>
      <c r="C748" s="36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ht="13.5" customHeight="1" x14ac:dyDescent="0.35">
      <c r="A749" s="14"/>
      <c r="B749" s="36"/>
      <c r="C749" s="36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ht="13.5" customHeight="1" x14ac:dyDescent="0.35">
      <c r="A750" s="14"/>
      <c r="B750" s="36"/>
      <c r="C750" s="36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13.5" customHeight="1" x14ac:dyDescent="0.35">
      <c r="A751" s="14"/>
      <c r="B751" s="36"/>
      <c r="C751" s="36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 ht="13.5" customHeight="1" x14ac:dyDescent="0.35">
      <c r="A752" s="14"/>
      <c r="B752" s="36"/>
      <c r="C752" s="36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 ht="13.5" customHeight="1" x14ac:dyDescent="0.35">
      <c r="A753" s="14"/>
      <c r="B753" s="36"/>
      <c r="C753" s="36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 ht="13.5" customHeight="1" x14ac:dyDescent="0.35">
      <c r="A754" s="14"/>
      <c r="B754" s="36"/>
      <c r="C754" s="36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 ht="13.5" customHeight="1" x14ac:dyDescent="0.35">
      <c r="A755" s="14"/>
      <c r="B755" s="36"/>
      <c r="C755" s="36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 ht="13.5" customHeight="1" x14ac:dyDescent="0.35">
      <c r="A756" s="14"/>
      <c r="B756" s="36"/>
      <c r="C756" s="36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 ht="13.5" customHeight="1" x14ac:dyDescent="0.35">
      <c r="A757" s="14"/>
      <c r="B757" s="36"/>
      <c r="C757" s="36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 ht="13.5" customHeight="1" x14ac:dyDescent="0.35">
      <c r="A758" s="14"/>
      <c r="B758" s="36"/>
      <c r="C758" s="36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 ht="13.5" customHeight="1" x14ac:dyDescent="0.35">
      <c r="A759" s="14"/>
      <c r="B759" s="36"/>
      <c r="C759" s="36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 ht="13.5" customHeight="1" x14ac:dyDescent="0.35">
      <c r="A760" s="14"/>
      <c r="B760" s="36"/>
      <c r="C760" s="36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 ht="13.5" customHeight="1" x14ac:dyDescent="0.35">
      <c r="A761" s="14"/>
      <c r="B761" s="36"/>
      <c r="C761" s="36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 ht="13.5" customHeight="1" x14ac:dyDescent="0.35">
      <c r="A762" s="14"/>
      <c r="B762" s="36"/>
      <c r="C762" s="36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 ht="13.5" customHeight="1" x14ac:dyDescent="0.35">
      <c r="A763" s="14"/>
      <c r="B763" s="36"/>
      <c r="C763" s="36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 ht="13.5" customHeight="1" x14ac:dyDescent="0.35">
      <c r="A764" s="14"/>
      <c r="B764" s="36"/>
      <c r="C764" s="36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 ht="13.5" customHeight="1" x14ac:dyDescent="0.35">
      <c r="A765" s="14"/>
      <c r="B765" s="36"/>
      <c r="C765" s="36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 ht="13.5" customHeight="1" x14ac:dyDescent="0.35">
      <c r="A766" s="14"/>
      <c r="B766" s="36"/>
      <c r="C766" s="36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 ht="13.5" customHeight="1" x14ac:dyDescent="0.35">
      <c r="A767" s="14"/>
      <c r="B767" s="36"/>
      <c r="C767" s="36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13.5" customHeight="1" x14ac:dyDescent="0.35">
      <c r="A768" s="14"/>
      <c r="B768" s="36"/>
      <c r="C768" s="36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 ht="13.5" customHeight="1" x14ac:dyDescent="0.35">
      <c r="A769" s="14"/>
      <c r="B769" s="36"/>
      <c r="C769" s="36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 ht="13.5" customHeight="1" x14ac:dyDescent="0.35">
      <c r="A770" s="14"/>
      <c r="B770" s="36"/>
      <c r="C770" s="36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 ht="13.5" customHeight="1" x14ac:dyDescent="0.35">
      <c r="A771" s="14"/>
      <c r="B771" s="36"/>
      <c r="C771" s="36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 ht="13.5" customHeight="1" x14ac:dyDescent="0.35">
      <c r="A772" s="14"/>
      <c r="B772" s="36"/>
      <c r="C772" s="36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 ht="13.5" customHeight="1" x14ac:dyDescent="0.35">
      <c r="A773" s="14"/>
      <c r="B773" s="36"/>
      <c r="C773" s="36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 ht="13.5" customHeight="1" x14ac:dyDescent="0.35">
      <c r="A774" s="14"/>
      <c r="B774" s="36"/>
      <c r="C774" s="36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 ht="13.5" customHeight="1" x14ac:dyDescent="0.35">
      <c r="A775" s="14"/>
      <c r="B775" s="36"/>
      <c r="C775" s="36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 ht="13.5" customHeight="1" x14ac:dyDescent="0.35">
      <c r="A776" s="14"/>
      <c r="B776" s="36"/>
      <c r="C776" s="36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 ht="13.5" customHeight="1" x14ac:dyDescent="0.35">
      <c r="A777" s="14"/>
      <c r="B777" s="36"/>
      <c r="C777" s="36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 ht="13.5" customHeight="1" x14ac:dyDescent="0.35">
      <c r="A778" s="14"/>
      <c r="B778" s="36"/>
      <c r="C778" s="36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 ht="13.5" customHeight="1" x14ac:dyDescent="0.35">
      <c r="A779" s="14"/>
      <c r="B779" s="36"/>
      <c r="C779" s="36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 ht="13.5" customHeight="1" x14ac:dyDescent="0.35">
      <c r="A780" s="14"/>
      <c r="B780" s="36"/>
      <c r="C780" s="36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 ht="13.5" customHeight="1" x14ac:dyDescent="0.35">
      <c r="A781" s="14"/>
      <c r="B781" s="36"/>
      <c r="C781" s="36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 ht="13.5" customHeight="1" x14ac:dyDescent="0.35">
      <c r="A782" s="14"/>
      <c r="B782" s="36"/>
      <c r="C782" s="36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 ht="13.5" customHeight="1" x14ac:dyDescent="0.35">
      <c r="A783" s="14"/>
      <c r="B783" s="36"/>
      <c r="C783" s="36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 ht="13.5" customHeight="1" x14ac:dyDescent="0.35">
      <c r="A784" s="14"/>
      <c r="B784" s="36"/>
      <c r="C784" s="36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 ht="13.5" customHeight="1" x14ac:dyDescent="0.35">
      <c r="A785" s="14"/>
      <c r="B785" s="36"/>
      <c r="C785" s="36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 ht="13.5" customHeight="1" x14ac:dyDescent="0.35">
      <c r="A786" s="14"/>
      <c r="B786" s="36"/>
      <c r="C786" s="36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 ht="13.5" customHeight="1" x14ac:dyDescent="0.35">
      <c r="A787" s="14"/>
      <c r="B787" s="36"/>
      <c r="C787" s="36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 ht="13.5" customHeight="1" x14ac:dyDescent="0.35">
      <c r="A788" s="14"/>
      <c r="B788" s="36"/>
      <c r="C788" s="36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 ht="13.5" customHeight="1" x14ac:dyDescent="0.35">
      <c r="A789" s="14"/>
      <c r="B789" s="36"/>
      <c r="C789" s="36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 ht="13.5" customHeight="1" x14ac:dyDescent="0.35">
      <c r="A790" s="14"/>
      <c r="B790" s="36"/>
      <c r="C790" s="36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 ht="13.5" customHeight="1" x14ac:dyDescent="0.35">
      <c r="A791" s="14"/>
      <c r="B791" s="36"/>
      <c r="C791" s="36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 ht="13.5" customHeight="1" x14ac:dyDescent="0.35">
      <c r="A792" s="14"/>
      <c r="B792" s="36"/>
      <c r="C792" s="36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 ht="13.5" customHeight="1" x14ac:dyDescent="0.35">
      <c r="A793" s="14"/>
      <c r="B793" s="36"/>
      <c r="C793" s="36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 ht="13.5" customHeight="1" x14ac:dyDescent="0.35">
      <c r="A794" s="14"/>
      <c r="B794" s="36"/>
      <c r="C794" s="36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 ht="13.5" customHeight="1" x14ac:dyDescent="0.35">
      <c r="A795" s="14"/>
      <c r="B795" s="36"/>
      <c r="C795" s="36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 ht="13.5" customHeight="1" x14ac:dyDescent="0.35">
      <c r="A796" s="14"/>
      <c r="B796" s="36"/>
      <c r="C796" s="36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ht="13.5" customHeight="1" x14ac:dyDescent="0.35">
      <c r="A797" s="14"/>
      <c r="B797" s="36"/>
      <c r="C797" s="36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ht="13.5" customHeight="1" x14ac:dyDescent="0.35">
      <c r="A798" s="14"/>
      <c r="B798" s="36"/>
      <c r="C798" s="36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ht="13.5" customHeight="1" x14ac:dyDescent="0.35">
      <c r="A799" s="14"/>
      <c r="B799" s="36"/>
      <c r="C799" s="36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ht="13.5" customHeight="1" x14ac:dyDescent="0.35">
      <c r="A800" s="14"/>
      <c r="B800" s="36"/>
      <c r="C800" s="36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ht="13.5" customHeight="1" x14ac:dyDescent="0.35">
      <c r="A801" s="14"/>
      <c r="B801" s="36"/>
      <c r="C801" s="36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ht="13.5" customHeight="1" x14ac:dyDescent="0.35">
      <c r="A802" s="14"/>
      <c r="B802" s="36"/>
      <c r="C802" s="36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ht="13.5" customHeight="1" x14ac:dyDescent="0.35">
      <c r="A803" s="14"/>
      <c r="B803" s="36"/>
      <c r="C803" s="36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ht="13.5" customHeight="1" x14ac:dyDescent="0.35">
      <c r="A804" s="14"/>
      <c r="B804" s="36"/>
      <c r="C804" s="36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 ht="13.5" customHeight="1" x14ac:dyDescent="0.35">
      <c r="A805" s="14"/>
      <c r="B805" s="36"/>
      <c r="C805" s="36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 ht="13.5" customHeight="1" x14ac:dyDescent="0.35">
      <c r="A806" s="14"/>
      <c r="B806" s="36"/>
      <c r="C806" s="36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 ht="13.5" customHeight="1" x14ac:dyDescent="0.35">
      <c r="A807" s="14"/>
      <c r="B807" s="36"/>
      <c r="C807" s="36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 ht="13.5" customHeight="1" x14ac:dyDescent="0.35">
      <c r="A808" s="14"/>
      <c r="B808" s="36"/>
      <c r="C808" s="36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 ht="13.5" customHeight="1" x14ac:dyDescent="0.35">
      <c r="A809" s="14"/>
      <c r="B809" s="36"/>
      <c r="C809" s="36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 ht="13.5" customHeight="1" x14ac:dyDescent="0.35">
      <c r="A810" s="14"/>
      <c r="B810" s="36"/>
      <c r="C810" s="36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 ht="13.5" customHeight="1" x14ac:dyDescent="0.35">
      <c r="A811" s="14"/>
      <c r="B811" s="36"/>
      <c r="C811" s="36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 ht="13.5" customHeight="1" x14ac:dyDescent="0.35">
      <c r="A812" s="14"/>
      <c r="B812" s="36"/>
      <c r="C812" s="36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 ht="13.5" customHeight="1" x14ac:dyDescent="0.35">
      <c r="A813" s="14"/>
      <c r="B813" s="36"/>
      <c r="C813" s="36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 ht="13.5" customHeight="1" x14ac:dyDescent="0.35">
      <c r="A814" s="14"/>
      <c r="B814" s="36"/>
      <c r="C814" s="36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 ht="13.5" customHeight="1" x14ac:dyDescent="0.35">
      <c r="A815" s="14"/>
      <c r="B815" s="36"/>
      <c r="C815" s="36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 ht="13.5" customHeight="1" x14ac:dyDescent="0.35">
      <c r="A816" s="14"/>
      <c r="B816" s="36"/>
      <c r="C816" s="36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 ht="13.5" customHeight="1" x14ac:dyDescent="0.35">
      <c r="A817" s="14"/>
      <c r="B817" s="36"/>
      <c r="C817" s="36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 ht="13.5" customHeight="1" x14ac:dyDescent="0.35">
      <c r="A818" s="14"/>
      <c r="B818" s="36"/>
      <c r="C818" s="36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 ht="13.5" customHeight="1" x14ac:dyDescent="0.35">
      <c r="A819" s="14"/>
      <c r="B819" s="36"/>
      <c r="C819" s="36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 ht="13.5" customHeight="1" x14ac:dyDescent="0.35">
      <c r="A820" s="14"/>
      <c r="B820" s="36"/>
      <c r="C820" s="36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 ht="13.5" customHeight="1" x14ac:dyDescent="0.35">
      <c r="A821" s="14"/>
      <c r="B821" s="36"/>
      <c r="C821" s="36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ht="13.5" customHeight="1" x14ac:dyDescent="0.35">
      <c r="A822" s="14"/>
      <c r="B822" s="36"/>
      <c r="C822" s="36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 ht="13.5" customHeight="1" x14ac:dyDescent="0.35">
      <c r="A823" s="14"/>
      <c r="B823" s="36"/>
      <c r="C823" s="36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ht="13.5" customHeight="1" x14ac:dyDescent="0.35">
      <c r="A824" s="14"/>
      <c r="B824" s="36"/>
      <c r="C824" s="36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ht="13.5" customHeight="1" x14ac:dyDescent="0.35">
      <c r="A825" s="14"/>
      <c r="B825" s="36"/>
      <c r="C825" s="36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 ht="13.5" customHeight="1" x14ac:dyDescent="0.35">
      <c r="A826" s="14"/>
      <c r="B826" s="36"/>
      <c r="C826" s="36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ht="13.5" customHeight="1" x14ac:dyDescent="0.35">
      <c r="A827" s="14"/>
      <c r="B827" s="36"/>
      <c r="C827" s="36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 ht="13.5" customHeight="1" x14ac:dyDescent="0.35">
      <c r="A828" s="14"/>
      <c r="B828" s="36"/>
      <c r="C828" s="36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 ht="13.5" customHeight="1" x14ac:dyDescent="0.35">
      <c r="A829" s="14"/>
      <c r="B829" s="36"/>
      <c r="C829" s="36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 ht="13.5" customHeight="1" x14ac:dyDescent="0.35">
      <c r="A830" s="14"/>
      <c r="B830" s="36"/>
      <c r="C830" s="36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 ht="13.5" customHeight="1" x14ac:dyDescent="0.35">
      <c r="A831" s="14"/>
      <c r="B831" s="36"/>
      <c r="C831" s="36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 ht="13.5" customHeight="1" x14ac:dyDescent="0.35">
      <c r="A832" s="14"/>
      <c r="B832" s="36"/>
      <c r="C832" s="36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 ht="13.5" customHeight="1" x14ac:dyDescent="0.35">
      <c r="A833" s="14"/>
      <c r="B833" s="36"/>
      <c r="C833" s="36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 ht="13.5" customHeight="1" x14ac:dyDescent="0.35">
      <c r="A834" s="14"/>
      <c r="B834" s="36"/>
      <c r="C834" s="36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 ht="13.5" customHeight="1" x14ac:dyDescent="0.35">
      <c r="A835" s="14"/>
      <c r="B835" s="36"/>
      <c r="C835" s="36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 ht="13.5" customHeight="1" x14ac:dyDescent="0.35">
      <c r="A836" s="14"/>
      <c r="B836" s="36"/>
      <c r="C836" s="36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 ht="13.5" customHeight="1" x14ac:dyDescent="0.35">
      <c r="A837" s="14"/>
      <c r="B837" s="36"/>
      <c r="C837" s="36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 ht="13.5" customHeight="1" x14ac:dyDescent="0.35">
      <c r="A838" s="14"/>
      <c r="B838" s="36"/>
      <c r="C838" s="36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 ht="13.5" customHeight="1" x14ac:dyDescent="0.35">
      <c r="A839" s="14"/>
      <c r="B839" s="36"/>
      <c r="C839" s="36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 ht="13.5" customHeight="1" x14ac:dyDescent="0.35">
      <c r="A840" s="14"/>
      <c r="B840" s="36"/>
      <c r="C840" s="36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 ht="13.5" customHeight="1" x14ac:dyDescent="0.35">
      <c r="A841" s="14"/>
      <c r="B841" s="36"/>
      <c r="C841" s="36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 ht="13.5" customHeight="1" x14ac:dyDescent="0.35">
      <c r="A842" s="14"/>
      <c r="B842" s="36"/>
      <c r="C842" s="36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 ht="13.5" customHeight="1" x14ac:dyDescent="0.35">
      <c r="A843" s="14"/>
      <c r="B843" s="36"/>
      <c r="C843" s="36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 ht="13.5" customHeight="1" x14ac:dyDescent="0.35">
      <c r="A844" s="14"/>
      <c r="B844" s="36"/>
      <c r="C844" s="36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 ht="13.5" customHeight="1" x14ac:dyDescent="0.35">
      <c r="A845" s="14"/>
      <c r="B845" s="36"/>
      <c r="C845" s="36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 ht="13.5" customHeight="1" x14ac:dyDescent="0.35">
      <c r="A846" s="14"/>
      <c r="B846" s="36"/>
      <c r="C846" s="36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ht="13.5" customHeight="1" x14ac:dyDescent="0.35">
      <c r="A847" s="14"/>
      <c r="B847" s="36"/>
      <c r="C847" s="36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 ht="13.5" customHeight="1" x14ac:dyDescent="0.35">
      <c r="A848" s="14"/>
      <c r="B848" s="36"/>
      <c r="C848" s="36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 ht="13.5" customHeight="1" x14ac:dyDescent="0.35">
      <c r="A849" s="14"/>
      <c r="B849" s="36"/>
      <c r="C849" s="36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 ht="13.5" customHeight="1" x14ac:dyDescent="0.35">
      <c r="A850" s="14"/>
      <c r="B850" s="36"/>
      <c r="C850" s="36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 ht="13.5" customHeight="1" x14ac:dyDescent="0.35">
      <c r="A851" s="14"/>
      <c r="B851" s="36"/>
      <c r="C851" s="36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 ht="13.5" customHeight="1" x14ac:dyDescent="0.35">
      <c r="A852" s="14"/>
      <c r="B852" s="36"/>
      <c r="C852" s="36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 ht="13.5" customHeight="1" x14ac:dyDescent="0.35">
      <c r="A853" s="14"/>
      <c r="B853" s="36"/>
      <c r="C853" s="36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 ht="13.5" customHeight="1" x14ac:dyDescent="0.35">
      <c r="A854" s="14"/>
      <c r="B854" s="36"/>
      <c r="C854" s="36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 ht="13.5" customHeight="1" x14ac:dyDescent="0.35">
      <c r="A855" s="14"/>
      <c r="B855" s="36"/>
      <c r="C855" s="36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 ht="13.5" customHeight="1" x14ac:dyDescent="0.35">
      <c r="A856" s="14"/>
      <c r="B856" s="36"/>
      <c r="C856" s="36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 ht="13.5" customHeight="1" x14ac:dyDescent="0.35">
      <c r="A857" s="14"/>
      <c r="B857" s="36"/>
      <c r="C857" s="36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 ht="13.5" customHeight="1" x14ac:dyDescent="0.35">
      <c r="A858" s="14"/>
      <c r="B858" s="36"/>
      <c r="C858" s="36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 ht="13.5" customHeight="1" x14ac:dyDescent="0.35">
      <c r="A859" s="14"/>
      <c r="B859" s="36"/>
      <c r="C859" s="36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 ht="13.5" customHeight="1" x14ac:dyDescent="0.35">
      <c r="A860" s="14"/>
      <c r="B860" s="36"/>
      <c r="C860" s="36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 ht="13.5" customHeight="1" x14ac:dyDescent="0.35">
      <c r="A861" s="14"/>
      <c r="B861" s="36"/>
      <c r="C861" s="36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 ht="13.5" customHeight="1" x14ac:dyDescent="0.35">
      <c r="A862" s="14"/>
      <c r="B862" s="36"/>
      <c r="C862" s="36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 ht="13.5" customHeight="1" x14ac:dyDescent="0.35">
      <c r="A863" s="14"/>
      <c r="B863" s="36"/>
      <c r="C863" s="36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 ht="13.5" customHeight="1" x14ac:dyDescent="0.35">
      <c r="A864" s="14"/>
      <c r="B864" s="36"/>
      <c r="C864" s="36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 ht="13.5" customHeight="1" x14ac:dyDescent="0.35">
      <c r="A865" s="14"/>
      <c r="B865" s="36"/>
      <c r="C865" s="36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 ht="13.5" customHeight="1" x14ac:dyDescent="0.35">
      <c r="A866" s="14"/>
      <c r="B866" s="36"/>
      <c r="C866" s="36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 ht="13.5" customHeight="1" x14ac:dyDescent="0.35">
      <c r="A867" s="14"/>
      <c r="B867" s="36"/>
      <c r="C867" s="36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 ht="13.5" customHeight="1" x14ac:dyDescent="0.35">
      <c r="A868" s="14"/>
      <c r="B868" s="36"/>
      <c r="C868" s="36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 ht="13.5" customHeight="1" x14ac:dyDescent="0.35">
      <c r="A869" s="14"/>
      <c r="B869" s="36"/>
      <c r="C869" s="36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 ht="13.5" customHeight="1" x14ac:dyDescent="0.35">
      <c r="A870" s="14"/>
      <c r="B870" s="36"/>
      <c r="C870" s="36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 ht="13.5" customHeight="1" x14ac:dyDescent="0.35">
      <c r="A871" s="14"/>
      <c r="B871" s="36"/>
      <c r="C871" s="36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 ht="13.5" customHeight="1" x14ac:dyDescent="0.35">
      <c r="A872" s="14"/>
      <c r="B872" s="36"/>
      <c r="C872" s="36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 ht="13.5" customHeight="1" x14ac:dyDescent="0.35">
      <c r="A873" s="14"/>
      <c r="B873" s="36"/>
      <c r="C873" s="36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 ht="13.5" customHeight="1" x14ac:dyDescent="0.35">
      <c r="A874" s="14"/>
      <c r="B874" s="36"/>
      <c r="C874" s="36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 ht="13.5" customHeight="1" x14ac:dyDescent="0.35">
      <c r="A875" s="14"/>
      <c r="B875" s="36"/>
      <c r="C875" s="36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 ht="13.5" customHeight="1" x14ac:dyDescent="0.35">
      <c r="A876" s="14"/>
      <c r="B876" s="36"/>
      <c r="C876" s="36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 ht="13.5" customHeight="1" x14ac:dyDescent="0.35">
      <c r="A877" s="14"/>
      <c r="B877" s="36"/>
      <c r="C877" s="36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 ht="13.5" customHeight="1" x14ac:dyDescent="0.35">
      <c r="A878" s="14"/>
      <c r="B878" s="36"/>
      <c r="C878" s="36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 ht="13.5" customHeight="1" x14ac:dyDescent="0.35">
      <c r="A879" s="14"/>
      <c r="B879" s="36"/>
      <c r="C879" s="36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ht="13.5" customHeight="1" x14ac:dyDescent="0.35">
      <c r="A880" s="14"/>
      <c r="B880" s="36"/>
      <c r="C880" s="36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 ht="13.5" customHeight="1" x14ac:dyDescent="0.35">
      <c r="A881" s="14"/>
      <c r="B881" s="36"/>
      <c r="C881" s="36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 ht="13.5" customHeight="1" x14ac:dyDescent="0.35">
      <c r="A882" s="14"/>
      <c r="B882" s="36"/>
      <c r="C882" s="36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ht="13.5" customHeight="1" x14ac:dyDescent="0.35">
      <c r="A883" s="14"/>
      <c r="B883" s="36"/>
      <c r="C883" s="36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 ht="13.5" customHeight="1" x14ac:dyDescent="0.35">
      <c r="A884" s="14"/>
      <c r="B884" s="36"/>
      <c r="C884" s="36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 ht="13.5" customHeight="1" x14ac:dyDescent="0.35">
      <c r="A885" s="14"/>
      <c r="B885" s="36"/>
      <c r="C885" s="36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 ht="13.5" customHeight="1" x14ac:dyDescent="0.35">
      <c r="A886" s="14"/>
      <c r="B886" s="36"/>
      <c r="C886" s="36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 ht="13.5" customHeight="1" x14ac:dyDescent="0.35">
      <c r="A887" s="14"/>
      <c r="B887" s="36"/>
      <c r="C887" s="36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 ht="13.5" customHeight="1" x14ac:dyDescent="0.35">
      <c r="A888" s="14"/>
      <c r="B888" s="36"/>
      <c r="C888" s="36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 ht="13.5" customHeight="1" x14ac:dyDescent="0.35">
      <c r="A889" s="14"/>
      <c r="B889" s="36"/>
      <c r="C889" s="36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 ht="13.5" customHeight="1" x14ac:dyDescent="0.35">
      <c r="A890" s="14"/>
      <c r="B890" s="36"/>
      <c r="C890" s="36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 ht="13.5" customHeight="1" x14ac:dyDescent="0.35">
      <c r="A891" s="14"/>
      <c r="B891" s="36"/>
      <c r="C891" s="36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 ht="13.5" customHeight="1" x14ac:dyDescent="0.35">
      <c r="A892" s="14"/>
      <c r="B892" s="36"/>
      <c r="C892" s="36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 ht="13.5" customHeight="1" x14ac:dyDescent="0.35">
      <c r="A893" s="14"/>
      <c r="B893" s="36"/>
      <c r="C893" s="36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 ht="13.5" customHeight="1" x14ac:dyDescent="0.35">
      <c r="A894" s="14"/>
      <c r="B894" s="36"/>
      <c r="C894" s="36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 ht="13.5" customHeight="1" x14ac:dyDescent="0.35">
      <c r="A895" s="14"/>
      <c r="B895" s="36"/>
      <c r="C895" s="36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 ht="13.5" customHeight="1" x14ac:dyDescent="0.35">
      <c r="A896" s="14"/>
      <c r="B896" s="36"/>
      <c r="C896" s="36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 ht="13.5" customHeight="1" x14ac:dyDescent="0.35">
      <c r="A897" s="14"/>
      <c r="B897" s="36"/>
      <c r="C897" s="36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 ht="13.5" customHeight="1" x14ac:dyDescent="0.35">
      <c r="A898" s="14"/>
      <c r="B898" s="36"/>
      <c r="C898" s="36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 ht="13.5" customHeight="1" x14ac:dyDescent="0.35">
      <c r="A899" s="14"/>
      <c r="B899" s="36"/>
      <c r="C899" s="36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 ht="13.5" customHeight="1" x14ac:dyDescent="0.35">
      <c r="A900" s="14"/>
      <c r="B900" s="36"/>
      <c r="C900" s="36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 ht="13.5" customHeight="1" x14ac:dyDescent="0.35">
      <c r="A901" s="14"/>
      <c r="B901" s="36"/>
      <c r="C901" s="36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 ht="13.5" customHeight="1" x14ac:dyDescent="0.35">
      <c r="A902" s="14"/>
      <c r="B902" s="36"/>
      <c r="C902" s="36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 ht="13.5" customHeight="1" x14ac:dyDescent="0.35">
      <c r="A903" s="14"/>
      <c r="B903" s="36"/>
      <c r="C903" s="36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 ht="13.5" customHeight="1" x14ac:dyDescent="0.35">
      <c r="A904" s="14"/>
      <c r="B904" s="36"/>
      <c r="C904" s="36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 ht="13.5" customHeight="1" x14ac:dyDescent="0.35">
      <c r="A905" s="14"/>
      <c r="B905" s="36"/>
      <c r="C905" s="36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 ht="13.5" customHeight="1" x14ac:dyDescent="0.35">
      <c r="A906" s="14"/>
      <c r="B906" s="36"/>
      <c r="C906" s="36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 ht="13.5" customHeight="1" x14ac:dyDescent="0.35">
      <c r="A907" s="14"/>
      <c r="B907" s="36"/>
      <c r="C907" s="36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 ht="13.5" customHeight="1" x14ac:dyDescent="0.35">
      <c r="A908" s="14"/>
      <c r="B908" s="36"/>
      <c r="C908" s="36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 ht="13.5" customHeight="1" x14ac:dyDescent="0.35">
      <c r="A909" s="14"/>
      <c r="B909" s="36"/>
      <c r="C909" s="36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 ht="13.5" customHeight="1" x14ac:dyDescent="0.35">
      <c r="A910" s="14"/>
      <c r="B910" s="36"/>
      <c r="C910" s="36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 ht="13.5" customHeight="1" x14ac:dyDescent="0.35">
      <c r="A911" s="14"/>
      <c r="B911" s="36"/>
      <c r="C911" s="36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ht="13.5" customHeight="1" x14ac:dyDescent="0.35">
      <c r="A912" s="14"/>
      <c r="B912" s="36"/>
      <c r="C912" s="36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 ht="13.5" customHeight="1" x14ac:dyDescent="0.35">
      <c r="A913" s="14"/>
      <c r="B913" s="36"/>
      <c r="C913" s="36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 ht="13.5" customHeight="1" x14ac:dyDescent="0.35">
      <c r="A914" s="14"/>
      <c r="B914" s="36"/>
      <c r="C914" s="36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 ht="13.5" customHeight="1" x14ac:dyDescent="0.35">
      <c r="A915" s="14"/>
      <c r="B915" s="36"/>
      <c r="C915" s="36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 ht="13.5" customHeight="1" x14ac:dyDescent="0.35">
      <c r="A916" s="14"/>
      <c r="B916" s="36"/>
      <c r="C916" s="36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 ht="13.5" customHeight="1" x14ac:dyDescent="0.35">
      <c r="A917" s="14"/>
      <c r="B917" s="36"/>
      <c r="C917" s="36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 ht="13.5" customHeight="1" x14ac:dyDescent="0.35">
      <c r="A918" s="14"/>
      <c r="B918" s="36"/>
      <c r="C918" s="36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 ht="13.5" customHeight="1" x14ac:dyDescent="0.35">
      <c r="A919" s="14"/>
      <c r="B919" s="36"/>
      <c r="C919" s="36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 ht="13.5" customHeight="1" x14ac:dyDescent="0.35">
      <c r="A920" s="14"/>
      <c r="B920" s="36"/>
      <c r="C920" s="36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 ht="13.5" customHeight="1" x14ac:dyDescent="0.35">
      <c r="A921" s="14"/>
      <c r="B921" s="36"/>
      <c r="C921" s="36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 ht="13.5" customHeight="1" x14ac:dyDescent="0.35">
      <c r="A922" s="14"/>
      <c r="B922" s="36"/>
      <c r="C922" s="36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 ht="13.5" customHeight="1" x14ac:dyDescent="0.35">
      <c r="A923" s="14"/>
      <c r="B923" s="36"/>
      <c r="C923" s="36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 ht="13.5" customHeight="1" x14ac:dyDescent="0.35">
      <c r="A924" s="14"/>
      <c r="B924" s="36"/>
      <c r="C924" s="36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 ht="13.5" customHeight="1" x14ac:dyDescent="0.35">
      <c r="A925" s="14"/>
      <c r="B925" s="36"/>
      <c r="C925" s="36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 ht="13.5" customHeight="1" x14ac:dyDescent="0.35">
      <c r="A926" s="14"/>
      <c r="B926" s="36"/>
      <c r="C926" s="36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 ht="13.5" customHeight="1" x14ac:dyDescent="0.35">
      <c r="A927" s="14"/>
      <c r="B927" s="36"/>
      <c r="C927" s="36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 ht="13.5" customHeight="1" x14ac:dyDescent="0.35">
      <c r="A928" s="14"/>
      <c r="B928" s="36"/>
      <c r="C928" s="36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 ht="13.5" customHeight="1" x14ac:dyDescent="0.35">
      <c r="A929" s="14"/>
      <c r="B929" s="36"/>
      <c r="C929" s="36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 ht="13.5" customHeight="1" x14ac:dyDescent="0.35">
      <c r="A930" s="14"/>
      <c r="B930" s="36"/>
      <c r="C930" s="36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 ht="13.5" customHeight="1" x14ac:dyDescent="0.35">
      <c r="A931" s="14"/>
      <c r="B931" s="36"/>
      <c r="C931" s="36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 ht="13.5" customHeight="1" x14ac:dyDescent="0.35">
      <c r="A932" s="14"/>
      <c r="B932" s="36"/>
      <c r="C932" s="36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 ht="13.5" customHeight="1" x14ac:dyDescent="0.35">
      <c r="A933" s="14"/>
      <c r="B933" s="36"/>
      <c r="C933" s="36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 ht="13.5" customHeight="1" x14ac:dyDescent="0.35">
      <c r="A934" s="14"/>
      <c r="B934" s="36"/>
      <c r="C934" s="36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 ht="13.5" customHeight="1" x14ac:dyDescent="0.35">
      <c r="A935" s="14"/>
      <c r="B935" s="36"/>
      <c r="C935" s="36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ht="13.5" customHeight="1" x14ac:dyDescent="0.35">
      <c r="A936" s="14"/>
      <c r="B936" s="36"/>
      <c r="C936" s="36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 ht="13.5" customHeight="1" x14ac:dyDescent="0.35">
      <c r="A937" s="14"/>
      <c r="B937" s="36"/>
      <c r="C937" s="36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ht="13.5" customHeight="1" x14ac:dyDescent="0.35">
      <c r="A938" s="14"/>
      <c r="B938" s="36"/>
      <c r="C938" s="36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 ht="13.5" customHeight="1" x14ac:dyDescent="0.35">
      <c r="A939" s="14"/>
      <c r="B939" s="36"/>
      <c r="C939" s="36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ht="13.5" customHeight="1" x14ac:dyDescent="0.35">
      <c r="A940" s="14"/>
      <c r="B940" s="36"/>
      <c r="C940" s="36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 ht="13.5" customHeight="1" x14ac:dyDescent="0.35">
      <c r="A941" s="14"/>
      <c r="B941" s="36"/>
      <c r="C941" s="36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 ht="13.5" customHeight="1" x14ac:dyDescent="0.35">
      <c r="A942" s="14"/>
      <c r="B942" s="36"/>
      <c r="C942" s="36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 ht="13.5" customHeight="1" x14ac:dyDescent="0.35">
      <c r="A943" s="14"/>
      <c r="B943" s="36"/>
      <c r="C943" s="36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 ht="13.5" customHeight="1" x14ac:dyDescent="0.35">
      <c r="A944" s="14"/>
      <c r="B944" s="36"/>
      <c r="C944" s="36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 ht="13.5" customHeight="1" x14ac:dyDescent="0.35">
      <c r="A945" s="14"/>
      <c r="B945" s="36"/>
      <c r="C945" s="36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 ht="13.5" customHeight="1" x14ac:dyDescent="0.35">
      <c r="A946" s="14"/>
      <c r="B946" s="36"/>
      <c r="C946" s="36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 ht="13.5" customHeight="1" x14ac:dyDescent="0.35">
      <c r="A947" s="14"/>
      <c r="B947" s="36"/>
      <c r="C947" s="36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 ht="13.5" customHeight="1" x14ac:dyDescent="0.35">
      <c r="A948" s="14"/>
      <c r="B948" s="36"/>
      <c r="C948" s="36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 ht="13.5" customHeight="1" x14ac:dyDescent="0.35">
      <c r="A949" s="14"/>
      <c r="B949" s="36"/>
      <c r="C949" s="36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 ht="13.5" customHeight="1" x14ac:dyDescent="0.35">
      <c r="A950" s="14"/>
      <c r="B950" s="36"/>
      <c r="C950" s="36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 ht="13.5" customHeight="1" x14ac:dyDescent="0.35">
      <c r="A951" s="14"/>
      <c r="B951" s="36"/>
      <c r="C951" s="36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 ht="13.5" customHeight="1" x14ac:dyDescent="0.35">
      <c r="A952" s="14"/>
      <c r="B952" s="36"/>
      <c r="C952" s="36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 ht="13.5" customHeight="1" x14ac:dyDescent="0.35">
      <c r="A953" s="14"/>
      <c r="B953" s="36"/>
      <c r="C953" s="36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 ht="13.5" customHeight="1" x14ac:dyDescent="0.35">
      <c r="A954" s="14"/>
      <c r="B954" s="36"/>
      <c r="C954" s="36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 ht="13.5" customHeight="1" x14ac:dyDescent="0.35">
      <c r="A955" s="14"/>
      <c r="B955" s="36"/>
      <c r="C955" s="36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 ht="13.5" customHeight="1" x14ac:dyDescent="0.35">
      <c r="A956" s="14"/>
      <c r="B956" s="36"/>
      <c r="C956" s="36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 ht="13.5" customHeight="1" x14ac:dyDescent="0.35">
      <c r="A957" s="14"/>
      <c r="B957" s="36"/>
      <c r="C957" s="36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 ht="13.5" customHeight="1" x14ac:dyDescent="0.35">
      <c r="A958" s="14"/>
      <c r="B958" s="36"/>
      <c r="C958" s="36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 ht="13.5" customHeight="1" x14ac:dyDescent="0.35">
      <c r="A959" s="14"/>
      <c r="B959" s="36"/>
      <c r="C959" s="36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 ht="13.5" customHeight="1" x14ac:dyDescent="0.35">
      <c r="A960" s="14"/>
      <c r="B960" s="36"/>
      <c r="C960" s="36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 ht="13.5" customHeight="1" x14ac:dyDescent="0.35">
      <c r="A961" s="14"/>
      <c r="B961" s="36"/>
      <c r="C961" s="36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 ht="13.5" customHeight="1" x14ac:dyDescent="0.35">
      <c r="A962" s="14"/>
      <c r="B962" s="36"/>
      <c r="C962" s="36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 ht="13.5" customHeight="1" x14ac:dyDescent="0.35">
      <c r="A963" s="14"/>
      <c r="B963" s="36"/>
      <c r="C963" s="36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 ht="13.5" customHeight="1" x14ac:dyDescent="0.35">
      <c r="A964" s="14"/>
      <c r="B964" s="36"/>
      <c r="C964" s="36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 ht="13.5" customHeight="1" x14ac:dyDescent="0.35">
      <c r="A965" s="14"/>
      <c r="B965" s="36"/>
      <c r="C965" s="36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 ht="13.5" customHeight="1" x14ac:dyDescent="0.35">
      <c r="A966" s="14"/>
      <c r="B966" s="36"/>
      <c r="C966" s="36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 ht="13.5" customHeight="1" x14ac:dyDescent="0.35">
      <c r="A967" s="14"/>
      <c r="B967" s="36"/>
      <c r="C967" s="36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ht="13.5" customHeight="1" x14ac:dyDescent="0.35">
      <c r="A968" s="14"/>
      <c r="B968" s="36"/>
      <c r="C968" s="36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 ht="13.5" customHeight="1" x14ac:dyDescent="0.35">
      <c r="A969" s="14"/>
      <c r="B969" s="36"/>
      <c r="C969" s="36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 ht="13.5" customHeight="1" x14ac:dyDescent="0.35">
      <c r="A970" s="14"/>
      <c r="B970" s="36"/>
      <c r="C970" s="36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 ht="13.5" customHeight="1" x14ac:dyDescent="0.35">
      <c r="A971" s="14"/>
      <c r="B971" s="36"/>
      <c r="C971" s="36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 ht="13.5" customHeight="1" x14ac:dyDescent="0.35">
      <c r="A972" s="14"/>
      <c r="B972" s="36"/>
      <c r="C972" s="36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 ht="13.5" customHeight="1" x14ac:dyDescent="0.35">
      <c r="A973" s="14"/>
      <c r="B973" s="36"/>
      <c r="C973" s="36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 ht="13.5" customHeight="1" x14ac:dyDescent="0.35">
      <c r="A974" s="14"/>
      <c r="B974" s="36"/>
      <c r="C974" s="36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 ht="13.5" customHeight="1" x14ac:dyDescent="0.35">
      <c r="A975" s="14"/>
      <c r="B975" s="36"/>
      <c r="C975" s="36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 ht="13.5" customHeight="1" x14ac:dyDescent="0.35">
      <c r="A976" s="14"/>
      <c r="B976" s="36"/>
      <c r="C976" s="36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 ht="13.5" customHeight="1" x14ac:dyDescent="0.35">
      <c r="A977" s="14"/>
      <c r="B977" s="36"/>
      <c r="C977" s="36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 ht="13.5" customHeight="1" x14ac:dyDescent="0.35">
      <c r="A978" s="14"/>
      <c r="B978" s="36"/>
      <c r="C978" s="36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 ht="13.5" customHeight="1" x14ac:dyDescent="0.35">
      <c r="A979" s="14"/>
      <c r="B979" s="36"/>
      <c r="C979" s="36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 ht="13.5" customHeight="1" x14ac:dyDescent="0.35">
      <c r="A980" s="14"/>
      <c r="B980" s="36"/>
      <c r="C980" s="36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 ht="13.5" customHeight="1" x14ac:dyDescent="0.35">
      <c r="A981" s="14"/>
      <c r="B981" s="36"/>
      <c r="C981" s="36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 ht="13.5" customHeight="1" x14ac:dyDescent="0.35">
      <c r="A982" s="14"/>
      <c r="B982" s="36"/>
      <c r="C982" s="36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 ht="13.5" customHeight="1" x14ac:dyDescent="0.35">
      <c r="A983" s="14"/>
      <c r="B983" s="36"/>
      <c r="C983" s="36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 ht="13.5" customHeight="1" x14ac:dyDescent="0.35">
      <c r="A984" s="14"/>
      <c r="B984" s="36"/>
      <c r="C984" s="36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 ht="13.5" customHeight="1" x14ac:dyDescent="0.35">
      <c r="A985" s="14"/>
      <c r="B985" s="36"/>
      <c r="C985" s="36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 ht="13.5" customHeight="1" x14ac:dyDescent="0.35">
      <c r="A986" s="14"/>
      <c r="B986" s="36"/>
      <c r="C986" s="36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 ht="13.5" customHeight="1" x14ac:dyDescent="0.35">
      <c r="A987" s="14"/>
      <c r="B987" s="36"/>
      <c r="C987" s="36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 ht="13.5" customHeight="1" x14ac:dyDescent="0.35">
      <c r="A988" s="14"/>
      <c r="B988" s="36"/>
      <c r="C988" s="36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ht="13.5" customHeight="1" x14ac:dyDescent="0.35">
      <c r="A989" s="14"/>
      <c r="B989" s="36"/>
      <c r="C989" s="36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 ht="13.5" customHeight="1" x14ac:dyDescent="0.35">
      <c r="A990" s="14"/>
      <c r="B990" s="36"/>
      <c r="C990" s="36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ht="13.5" customHeight="1" x14ac:dyDescent="0.35">
      <c r="A991" s="14"/>
      <c r="B991" s="36"/>
      <c r="C991" s="36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ht="13.5" customHeight="1" x14ac:dyDescent="0.35">
      <c r="A992" s="14"/>
      <c r="B992" s="36"/>
      <c r="C992" s="36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ht="13.5" customHeight="1" x14ac:dyDescent="0.35">
      <c r="A993" s="14"/>
      <c r="B993" s="36"/>
      <c r="C993" s="36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 ht="13.5" customHeight="1" x14ac:dyDescent="0.35">
      <c r="A994" s="14"/>
      <c r="B994" s="36"/>
      <c r="C994" s="36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 ht="13.5" customHeight="1" x14ac:dyDescent="0.35">
      <c r="A995" s="14"/>
      <c r="B995" s="36"/>
      <c r="C995" s="36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 ht="13.5" customHeight="1" x14ac:dyDescent="0.35">
      <c r="A996" s="14"/>
      <c r="B996" s="36"/>
      <c r="C996" s="36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 ht="13.5" customHeight="1" x14ac:dyDescent="0.35">
      <c r="A997" s="14"/>
      <c r="B997" s="36"/>
      <c r="C997" s="36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 ht="13.5" customHeight="1" x14ac:dyDescent="0.35">
      <c r="A998" s="14"/>
      <c r="B998" s="36"/>
      <c r="C998" s="36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1:27" ht="13.5" customHeight="1" x14ac:dyDescent="0.35">
      <c r="A999" s="14"/>
      <c r="B999" s="36"/>
      <c r="C999" s="36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1:27" ht="13.5" customHeight="1" x14ac:dyDescent="0.35">
      <c r="A1000" s="14"/>
      <c r="B1000" s="36"/>
      <c r="C1000" s="36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mergeCells count="3">
    <mergeCell ref="B1:D1"/>
    <mergeCell ref="F1:H1"/>
    <mergeCell ref="K1:L1"/>
  </mergeCells>
  <conditionalFormatting sqref="B78:B91 D78:D91">
    <cfRule type="uniqueValues" dxfId="2" priority="2"/>
  </conditionalFormatting>
  <conditionalFormatting sqref="C78:C91 E78:E91">
    <cfRule type="uniqueValues" dxfId="1" priority="3"/>
  </conditionalFormatting>
  <conditionalFormatting sqref="Z43:AA56">
    <cfRule type="uniqueValues" dxfId="0" priority="1"/>
  </conditionalFormatting>
  <hyperlinks>
    <hyperlink ref="P1" r:id="rId1" xr:uid="{972927E0-6D94-4890-A178-76F7E43395DD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2024-10-08T18:02:06Z</dcterms:modified>
</cp:coreProperties>
</file>