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1DAAA49-0B6F-420D-9566-23466086243E}" xr6:coauthVersionLast="47" xr6:coauthVersionMax="47" xr10:uidLastSave="{00000000-0000-0000-0000-000000000000}"/>
  <bookViews>
    <workbookView xWindow="-108" yWindow="-108" windowWidth="23256" windowHeight="12456" firstSheet="2" activeTab="4" xr2:uid="{AD5FE48E-9CE6-4EDE-8F69-E8FD3B4EAF42}"/>
  </bookViews>
  <sheets>
    <sheet name="Formula208" sheetId="1" r:id="rId1"/>
    <sheet name="Formula229" sheetId="4" r:id="rId2"/>
    <sheet name="Formula229 (2)" sheetId="6" r:id="rId3"/>
    <sheet name="Working" sheetId="7" r:id="rId4"/>
    <sheet name="NumMethod" sheetId="9" r:id="rId5"/>
    <sheet name="vCorrection" sheetId="8" r:id="rId6"/>
    <sheet name="Formats" sheetId="2" r:id="rId7"/>
    <sheet name="Lists" sheetId="3" r:id="rId8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4">NumMethod!$C$6</definedName>
    <definedName name="_d" localSheetId="3">Working!$C$6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4">NumMethod!$D$11</definedName>
    <definedName name="_HC" comment="Computed altitude_x000a_" localSheetId="3">Working!$D$11</definedName>
    <definedName name="_L" localSheetId="1">Formula229!$C$5</definedName>
    <definedName name="_L" localSheetId="2">'Formula229 (2)'!$C$5</definedName>
    <definedName name="_L" localSheetId="4">NumMethod!$C$5</definedName>
    <definedName name="_L" localSheetId="3">Working!$C$5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4">NumMethod!$C$7</definedName>
    <definedName name="_t" localSheetId="3">Working!$C$7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  <definedName name="solver_adj" localSheetId="4" hidden="1">NumMethod!$C$7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NumMethod!$C$11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12.66688658</definedName>
    <definedName name="solver_ver" localSheetId="4" hidden="1">3</definedName>
  </definedNames>
  <calcPr calcId="191029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9" l="1"/>
  <c r="F13" i="9"/>
  <c r="K12" i="9"/>
  <c r="C12" i="9" a="1"/>
  <c r="C12" i="9" s="1"/>
  <c r="D12" i="9" s="1" a="1"/>
  <c r="D12" i="9" s="1"/>
  <c r="D11" i="9" a="1"/>
  <c r="D11" i="9" s="1"/>
  <c r="K6" i="9"/>
  <c r="J6" i="9"/>
  <c r="I6" i="9"/>
  <c r="I25" i="8"/>
  <c r="I24" i="8"/>
  <c r="H24" i="8"/>
  <c r="G24" i="8"/>
  <c r="B3" i="8" a="1"/>
  <c r="B3" i="8" s="1"/>
  <c r="C12" i="7" a="1"/>
  <c r="C12" i="7" s="1"/>
  <c r="D12" i="7" s="1" a="1"/>
  <c r="D12" i="7" s="1"/>
  <c r="F13" i="7"/>
  <c r="K12" i="7"/>
  <c r="C17" i="7"/>
  <c r="C11" i="7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27" i="1" l="1"/>
  <c r="C28" i="1"/>
  <c r="D28" i="1" s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<sst xmlns="http://schemas.openxmlformats.org/spreadsheetml/2006/main" count="207" uniqueCount="73">
  <si>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</si>
  <si>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</si>
  <si>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</si>
  <si>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</si>
  <si>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</si>
  <si>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</si>
  <si>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</si>
  <si>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</si>
  <si>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</si>
  <si>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</si>
  <si>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</si>
  <si>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</si>
  <si>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</si>
  <si>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</si>
  <si>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</si>
  <si>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</si>
  <si>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</si>
  <si>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</si>
  <si>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</si>
  <si>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</si>
  <si>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</si>
  <si>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</si>
  <si>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</si>
  <si>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</si>
  <si>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</si>
  <si>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</si>
  <si>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</si>
  <si>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</si>
  <si>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</si>
  <si>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</si>
  <si>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</si>
  <si>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</si>
  <si>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</si>
  <si>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</si>
  <si>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</si>
  <si>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</si>
  <si>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</si>
  <si>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</si>
  <si>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</si>
  <si>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</si>
  <si>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</si>
  <si>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</si>
  <si>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</si>
  <si>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</si>
  <si>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</si>
  <si>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</si>
  <si>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</si>
  <si>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</si>
  <si>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</si>
  <si>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</si>
  <si>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</si>
  <si>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</si>
  <si>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</si>
  <si>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</si>
  <si>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</si>
  <si>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</si>
  <si>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</si>
  <si>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</si>
  <si>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</si>
  <si>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</si>
  <si>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</si>
  <si>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</si>
  <si>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</si>
  <si>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</si>
  <si>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</si>
  <si>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</si>
  <si>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</si>
  <si>
    <t>`</t>
  </si>
  <si>
    <t>Lat</t>
  </si>
  <si>
    <t>LHA</t>
  </si>
  <si>
    <t>dec</t>
  </si>
  <si>
    <t>Body Data</t>
  </si>
  <si>
    <t xml:space="preserve">Measured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</si>
</sst>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  <font>
      <sz val="1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  <xf numFmtId="0" fontId="12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2</xdr:col>
      <xdr:colOff>387985</xdr:colOff>
      <xdr:row>33</xdr:row>
      <xdr:rowOff>72390</xdr:rowOff>
    </xdr:from>
    <xdr:to>
      <xdr:col>18</xdr:col>
      <xdr:colOff>93612</xdr:colOff>
      <xdr:row>59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185" y="5730240"/>
          <a:ext cx="10990847" cy="44583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53</xdr:row>
      <xdr:rowOff>53340</xdr:rowOff>
    </xdr:from>
    <xdr:to>
      <xdr:col>18</xdr:col>
      <xdr:colOff>3289</xdr:colOff>
      <xdr:row>85</xdr:row>
      <xdr:rowOff>55996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DA531-0ABC-567C-CE6A-29865B39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420" y="8938260"/>
          <a:ext cx="9916909" cy="5382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0D2269-2A1D-4FA7-B3BB-3BAEE0F3A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2840" y="335280"/>
          <a:ext cx="11007354" cy="3635240"/>
        </a:xfrm>
        <a:prstGeom prst="rect">
          <a:avLst/>
        </a:prstGeom>
      </xdr:spPr>
    </xdr:pic>
    <xdr:clientData/>
  </xdr:twoCellAnchor>
  <xdr:twoCellAnchor editAs="oneCell">
    <xdr:from>
      <xdr:col>2</xdr:col>
      <xdr:colOff>387985</xdr:colOff>
      <xdr:row>33</xdr:row>
      <xdr:rowOff>72390</xdr:rowOff>
    </xdr:from>
    <xdr:to>
      <xdr:col>17</xdr:col>
      <xdr:colOff>360312</xdr:colOff>
      <xdr:row>59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79798C-7800-46F6-A07C-D020C171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185" y="5604510"/>
          <a:ext cx="10998467" cy="43592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0AEEE8-8A74-4BE5-881A-7E8A87534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8720" y="2514600"/>
          <a:ext cx="7473089" cy="1116482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53</xdr:row>
      <xdr:rowOff>53340</xdr:rowOff>
    </xdr:from>
    <xdr:to>
      <xdr:col>17</xdr:col>
      <xdr:colOff>269989</xdr:colOff>
      <xdr:row>85</xdr:row>
      <xdr:rowOff>55996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BC7C89-CD98-427E-91D1-A0E554C4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420" y="8938260"/>
          <a:ext cx="9916909" cy="53671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24</xdr:col>
      <xdr:colOff>16943</xdr:colOff>
      <xdr:row>17</xdr:row>
      <xdr:rowOff>55637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B03231-F7A5-5C6E-77CB-C632E1303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1450"/>
          <a:ext cx="12203228" cy="28102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2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topLeftCell="A31" workbookViewId="0">
      <selection activeCell="C50" sqref="C50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7"/>
  <sheetViews>
    <sheetView topLeftCell="C1" workbookViewId="0">
      <pane xSplit="2" topLeftCell="E1" activePane="topRight" state="frozen"/>
      <selection activeCell="C1" sqref="C1"/>
      <selection pane="topRight"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 s="13">
        <v>-1</v>
      </c>
      <c r="D5" t="s">
        <v>68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4">
        <v>-1</v>
      </c>
    </row>
    <row r="6" spans="2:13" x14ac:dyDescent="0.25">
      <c r="B6" t="s">
        <v>22</v>
      </c>
      <c r="C6" s="13">
        <v>21.156666666666666</v>
      </c>
      <c r="D6" t="s">
        <v>70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4">
        <v>21.156666666666666</v>
      </c>
    </row>
    <row r="7" spans="2:13" x14ac:dyDescent="0.25">
      <c r="B7" t="s">
        <v>23</v>
      </c>
      <c r="C7" s="13">
        <v>284</v>
      </c>
      <c r="D7" t="s">
        <v>69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4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4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12.666886583405681</v>
      </c>
      <c r="D11" t="str" cm="1">
        <f t="array" ref="D11">_fHM(C11)</f>
        <v>12° 40.0'</v>
      </c>
    </row>
    <row r="12" spans="2:13" x14ac:dyDescent="0.25">
      <c r="B12" t="s">
        <v>25</v>
      </c>
      <c r="C12" cm="1">
        <f t="array" ref="C12">_xlfn.LAMBDA(_xlpm.dec,_xlpm.Lat,_xlpm.LHA,
_xlfn.LET(_xlpm.f, IF(SIGN(_xlpm.dec)&lt;&gt;SIGN(_xlpm.Lat),-1,1),
    _xlpm.d, PI() / 180 * ABS(_xlpm.dec),
    _xlpm.L, PI() / 180 * ABS(_xlpm.Lat) * _xlpm.f,
    _xlpm.t, PI() / 180 * _xlpm.LHA,
    _xlpm.s, SIN(_xlpm.d),
    _xlpm.c, COS(_xlpm.d) * COS(_xlpm.t),
    _xlpm.res, ASIN(SIN(_xlpm.L) * SIN(_xlpm.d) + COS(_xlpm.L) * COS(_xlpm.d) * COS(_xlpm.t)),
    _xlpm.x, DEGREES(ACOS((_xlpm.s * COS(_xlpm.L) - _xlpm.c * SIN(_xlpm.L)) / COS(_xlpm.res))),
    IF(_xlpm.f=-1,180-_xlpm.x,_xlpm.x)
))(_d,_L,_t)</f>
        <v>111.95647513034474</v>
      </c>
      <c r="D12" t="str" cm="1">
        <f t="array" ref="D12">_fHM(ABS(C12))</f>
        <v>111° 57.4'</v>
      </c>
      <c r="K12">
        <f>(L6-21)*60</f>
        <v>9.3999999999999773</v>
      </c>
    </row>
    <row r="13" spans="2:13" x14ac:dyDescent="0.25">
      <c r="F13">
        <f>21+9.4/60</f>
        <v>21.156666666666666</v>
      </c>
    </row>
    <row r="14" spans="2:13" x14ac:dyDescent="0.25">
      <c r="G14" t="s">
        <v>67</v>
      </c>
    </row>
    <row r="17" spans="3:3" x14ac:dyDescent="0.25">
      <c r="C17" t="b">
        <f>SIGN(_L)&lt;&gt;SIGN(_d)</f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46DE-C8B5-46AB-B5C3-3D9A24AAEFAD}">
  <dimension ref="B2:M14"/>
  <sheetViews>
    <sheetView tabSelected="1" topLeftCell="C1" workbookViewId="0">
      <pane xSplit="2" topLeftCell="E1" activePane="topRight" state="frozen"/>
      <selection activeCell="C1" sqref="C1"/>
      <selection pane="topRight" activeCell="D11" sqref="D11:D12"/>
    </sheetView>
  </sheetViews>
  <sheetFormatPr defaultRowHeight="13.2" x14ac:dyDescent="0.25"/>
  <cols>
    <col min="3" max="3" width="13.109375" bestFit="1" customWidth="1"/>
    <col min="4" max="4" width="13.88671875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C4" t="s">
        <v>71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 s="13">
        <v>-1</v>
      </c>
      <c r="D5" t="s">
        <v>68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4">
        <v>-1</v>
      </c>
    </row>
    <row r="6" spans="2:13" x14ac:dyDescent="0.25">
      <c r="B6" t="s">
        <v>22</v>
      </c>
      <c r="C6" s="13">
        <v>21.156666666666666</v>
      </c>
      <c r="D6" t="s">
        <v>70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4">
        <v>21.156666666666666</v>
      </c>
    </row>
    <row r="7" spans="2:13" x14ac:dyDescent="0.25">
      <c r="B7" t="s">
        <v>23</v>
      </c>
      <c r="C7" s="13">
        <v>284.00000049884716</v>
      </c>
      <c r="D7" t="s">
        <v>69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4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4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12.666887046000065</v>
      </c>
      <c r="D11" t="str" cm="1">
        <f t="array" ref="D11">_fHM(C11)</f>
        <v>12° 40.0'</v>
      </c>
      <c r="E11" t="s">
        <v>72</v>
      </c>
      <c r="F11" s="9">
        <v>12.666886597987773</v>
      </c>
    </row>
    <row r="12" spans="2:13" x14ac:dyDescent="0.25">
      <c r="B12" t="s">
        <v>25</v>
      </c>
      <c r="C12" cm="1">
        <f t="array" ref="C12">_xlfn.LAMBDA(_xlpm.dec,_xlpm.Lat,_xlpm.LHA,
_xlfn.LET(_xlpm.f, IF(SIGN(_xlpm.dec)&lt;&gt;SIGN(_xlpm.Lat),-1,1),
    _xlpm.d, PI() / 180 * ABS(_xlpm.dec),
    _xlpm.L, PI() / 180 * ABS(_xlpm.Lat) * _xlpm.f,
    _xlpm.t, PI() / 180 * _xlpm.LHA,
    _xlpm.s, SIN(_xlpm.d),
    _xlpm.c, COS(_xlpm.d) * COS(_xlpm.t),
    _xlpm.res, ASIN(SIN(_xlpm.L) * SIN(_xlpm.d) + COS(_xlpm.L) * COS(_xlpm.d) * COS(_xlpm.t)),
    _xlpm.x, DEGREES(ACOS((_xlpm.s * COS(_xlpm.L) - _xlpm.c * SIN(_xlpm.L)) / COS(_xlpm.res))),
    IF(_xlpm.f=-1,180-_xlpm.x,_xlpm.x)
))(_d,_L,_t)</f>
        <v>111.95647518096528</v>
      </c>
      <c r="D12" t="str" cm="1">
        <f t="array" ref="D12">_fHM(ABS(C12))</f>
        <v>111° 57.4'</v>
      </c>
      <c r="K12">
        <f>(L6-21)*60</f>
        <v>9.3999999999999773</v>
      </c>
    </row>
    <row r="13" spans="2:13" x14ac:dyDescent="0.25">
      <c r="F13">
        <f>21+9.4/60</f>
        <v>21.156666666666666</v>
      </c>
    </row>
    <row r="14" spans="2:13" x14ac:dyDescent="0.25">
      <c r="G14" t="s">
        <v>67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4FBC-AF29-42D0-B973-6A56AE2E1348}">
  <dimension ref="A1:I25"/>
  <sheetViews>
    <sheetView workbookViewId="0">
      <selection activeCell="I26" sqref="I26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04-Jun-2025</v>
      </c>
      <c r="C3" s="2"/>
    </row>
    <row r="24" spans="7:9" x14ac:dyDescent="0.25">
      <c r="G24">
        <f>19+10/60</f>
        <v>19.166666666666668</v>
      </c>
      <c r="H24">
        <f>G24/60</f>
        <v>0.31944444444444448</v>
      </c>
      <c r="I24">
        <f>12.1*H24</f>
        <v>3.865277777777778</v>
      </c>
    </row>
    <row r="25" spans="7:9" x14ac:dyDescent="0.25">
      <c r="I25">
        <f>H24*-8.9</f>
        <v>-2.8430555555555559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04-Jun-2025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04-Jun-2025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Formula208</vt:lpstr>
      <vt:lpstr>Formula229</vt:lpstr>
      <vt:lpstr>Formula229 (2)</vt:lpstr>
      <vt:lpstr>Working</vt:lpstr>
      <vt:lpstr>NumMethod</vt:lpstr>
      <vt:lpstr>vCorrection</vt:lpstr>
      <vt:lpstr>Formats</vt:lpstr>
      <vt:lpstr>Lists</vt:lpstr>
      <vt:lpstr>_Alt</vt:lpstr>
      <vt:lpstr>Formula229!_d</vt:lpstr>
      <vt:lpstr>'Formula229 (2)'!_d</vt:lpstr>
      <vt:lpstr>NumMethod!_d</vt:lpstr>
      <vt:lpstr>Working!_d</vt:lpstr>
      <vt:lpstr>_d</vt:lpstr>
      <vt:lpstr>_h</vt:lpstr>
      <vt:lpstr>Formula229!_HC</vt:lpstr>
      <vt:lpstr>'Formula229 (2)'!_HC</vt:lpstr>
      <vt:lpstr>NumMethod!_HC</vt:lpstr>
      <vt:lpstr>Working!_HC</vt:lpstr>
      <vt:lpstr>Formula229!_L</vt:lpstr>
      <vt:lpstr>'Formula229 (2)'!_L</vt:lpstr>
      <vt:lpstr>NumMethod!_L</vt:lpstr>
      <vt:lpstr>Working!_L</vt:lpstr>
      <vt:lpstr>_L</vt:lpstr>
      <vt:lpstr>_PX</vt:lpstr>
      <vt:lpstr>_PZ</vt:lpstr>
      <vt:lpstr>Formula229!_t</vt:lpstr>
      <vt:lpstr>'Formula229 (2)'!_t</vt:lpstr>
      <vt:lpstr>NumMethod!_t</vt:lpstr>
      <vt:lpstr>Working!_t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2025-06-04T21:10:04Z</dcterms:modified>
</cp:coreProperties>
</file>