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8" documentId="8_{EA23CD34-6E39-4F50-9C8C-18D155D93D08}" xr6:coauthVersionLast="47" xr6:coauthVersionMax="47" xr10:uidLastSave="{593CA567-F9A3-4D91-B643-E8433615B8E5}"/>
  <bookViews>
    <workbookView xWindow="57480" yWindow="1665" windowWidth="29040" windowHeight="15720" activeTab="1" xr2:uid="{AD5FE48E-9CE6-4EDE-8F69-E8FD3B4EAF42}"/>
  </bookViews>
  <sheets>
    <sheet name="Z22A" sheetId="4" r:id="rId1"/>
    <sheet name="Accu60" sheetId="5" r:id="rId2"/>
    <sheet name="Report" sheetId="1" r:id="rId3"/>
    <sheet name="Formats" sheetId="2" r:id="rId4"/>
    <sheet name="Lists" sheetId="3" r:id="rId5"/>
  </sheets>
  <definedNames>
    <definedName name="ExternalData_1" localSheetId="0" hidden="1">'Z22A'!$A$1:$C$143</definedName>
    <definedName name="fnInterp">_xlfn.LAMBDA(_xlpm.x,_xlpm.xdat,_xlpm.ydat,      _xlfn.LET(          _xlpm.xmin, _xlfn.XLOOKUP(_xlpm.x,_xlpm.xdat,_xlpm.xdat,,-1),          _xlpm.xmax, _xlfn.XLOOKUP(_xlpm.x,_xlpm.xdat,_xlpm.xdat,,1),          _xlpm.ymin, _xlfn.XLOOKUP(_xlpm.x,_xlpm.xdat,_xlpm.ydat,,-1),          _xlpm.ymax, _xlfn.XLOOKUP(_xlpm.x,_xlpm.xdat,_xlpm.ydat,,1),          IF(_xlpm.xmin=_xlpm.xmax,_xlpm.ymin,                      (_xlpm.ymin*(_xlpm.xmax-_xlpm.x)+_xlpm.ymax*(_xlpm.x-_xlpm.xmin))/(_xlpm.xmax-_xlpm.xmin))     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0" i="5" l="1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29" i="5"/>
  <c r="Q30" i="5" a="1"/>
  <c r="Q30" i="5" s="1"/>
  <c r="Q31" i="5" a="1"/>
  <c r="Q31" i="5" s="1"/>
  <c r="Q32" i="5" a="1"/>
  <c r="Q32" i="5" s="1"/>
  <c r="Q33" i="5" a="1"/>
  <c r="Q33" i="5" s="1"/>
  <c r="Q34" i="5" a="1"/>
  <c r="Q34" i="5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29" i="5" a="1"/>
  <c r="Q29" i="5" s="1"/>
  <c r="P30" i="5" a="1"/>
  <c r="P30" i="5" s="1"/>
  <c r="P31" i="5" a="1"/>
  <c r="P31" i="5" s="1"/>
  <c r="P32" i="5" a="1"/>
  <c r="P32" i="5" s="1"/>
  <c r="P33" i="5" a="1"/>
  <c r="P33" i="5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29" i="5" a="1"/>
  <c r="P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/>
  <c r="O38" i="5" a="1"/>
  <c r="O38" i="5" s="1"/>
  <c r="O39" i="5" a="1"/>
  <c r="O39" i="5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29" i="5" a="1"/>
  <c r="O29" i="5" s="1"/>
  <c r="N29" i="5" a="1"/>
  <c r="N29" i="5" s="1"/>
  <c r="J34" i="5"/>
  <c r="J35" i="5"/>
  <c r="J36" i="5"/>
  <c r="J37" i="5"/>
  <c r="J38" i="5"/>
  <c r="J39" i="5"/>
  <c r="J33" i="5"/>
  <c r="F35" i="5" a="1"/>
  <c r="F35" i="5" s="1"/>
  <c r="F36" i="5" a="1"/>
  <c r="F36" i="5" s="1"/>
  <c r="F37" i="5" a="1"/>
  <c r="F37" i="5" s="1"/>
  <c r="F34" i="5" a="1"/>
  <c r="F34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" i="5"/>
  <c r="AA8" i="4"/>
  <c r="AB20" i="4" a="1"/>
  <c r="AB20" i="4" s="1"/>
  <c r="AA20" i="4" s="1"/>
  <c r="AB21" i="4" a="1"/>
  <c r="AB21" i="4" s="1"/>
  <c r="AA21" i="4" s="1"/>
  <c r="AB22" i="4" a="1"/>
  <c r="AB22" i="4" s="1"/>
  <c r="AA22" i="4" s="1"/>
  <c r="AB23" i="4" a="1"/>
  <c r="AB23" i="4" s="1"/>
  <c r="AA23" i="4" s="1"/>
  <c r="AB24" i="4" a="1"/>
  <c r="AB24" i="4" s="1"/>
  <c r="AA24" i="4" s="1"/>
  <c r="AB25" i="4" a="1"/>
  <c r="AB25" i="4" s="1"/>
  <c r="AA25" i="4" s="1"/>
  <c r="AB26" i="4" a="1"/>
  <c r="AB26" i="4" s="1"/>
  <c r="AA26" i="4" s="1"/>
  <c r="AB27" i="4" a="1"/>
  <c r="AB27" i="4" s="1"/>
  <c r="AA27" i="4" s="1"/>
  <c r="AB28" i="4" a="1"/>
  <c r="AB28" i="4" s="1"/>
  <c r="AA28" i="4" s="1"/>
  <c r="AB29" i="4" a="1"/>
  <c r="AB29" i="4" s="1"/>
  <c r="AA29" i="4" s="1"/>
  <c r="AB30" i="4" a="1"/>
  <c r="AB30" i="4" s="1"/>
  <c r="AA30" i="4" s="1"/>
  <c r="AB31" i="4" a="1"/>
  <c r="AB31" i="4" s="1"/>
  <c r="AA31" i="4" s="1"/>
  <c r="AB32" i="4" a="1"/>
  <c r="AB32" i="4" s="1"/>
  <c r="AA32" i="4" s="1"/>
  <c r="AB33" i="4" a="1"/>
  <c r="AB33" i="4" s="1"/>
  <c r="AA33" i="4" s="1"/>
  <c r="AB34" i="4" a="1"/>
  <c r="AB34" i="4" s="1"/>
  <c r="AA34" i="4" s="1"/>
  <c r="AB35" i="4" a="1"/>
  <c r="AB35" i="4" s="1"/>
  <c r="AA35" i="4" s="1"/>
  <c r="AB36" i="4" a="1"/>
  <c r="AB36" i="4" s="1"/>
  <c r="AA36" i="4" s="1"/>
  <c r="AB37" i="4" a="1"/>
  <c r="AB37" i="4" s="1"/>
  <c r="AA37" i="4" s="1"/>
  <c r="AB38" i="4" a="1"/>
  <c r="AB38" i="4" s="1"/>
  <c r="AA38" i="4" s="1"/>
  <c r="AB39" i="4" a="1"/>
  <c r="AB39" i="4" s="1"/>
  <c r="AA39" i="4" s="1"/>
  <c r="AB40" i="4" a="1"/>
  <c r="AB40" i="4" s="1"/>
  <c r="AA40" i="4" s="1"/>
  <c r="AB41" i="4" a="1"/>
  <c r="AB41" i="4" s="1"/>
  <c r="AA41" i="4" s="1"/>
  <c r="AB42" i="4" a="1"/>
  <c r="AB42" i="4" s="1"/>
  <c r="AA42" i="4" s="1"/>
  <c r="AB43" i="4" a="1"/>
  <c r="AB43" i="4" s="1"/>
  <c r="AA43" i="4" s="1"/>
  <c r="AB44" i="4" a="1"/>
  <c r="AB44" i="4" s="1"/>
  <c r="AA44" i="4" s="1"/>
  <c r="AB45" i="4" a="1"/>
  <c r="AB45" i="4" s="1"/>
  <c r="AA45" i="4" s="1"/>
  <c r="AB46" i="4" a="1"/>
  <c r="AB46" i="4" s="1"/>
  <c r="AA46" i="4" s="1"/>
  <c r="AB47" i="4" a="1"/>
  <c r="AB47" i="4" s="1"/>
  <c r="AA47" i="4" s="1"/>
  <c r="AB48" i="4" a="1"/>
  <c r="AB48" i="4" s="1"/>
  <c r="AA48" i="4" s="1"/>
  <c r="AB49" i="4" a="1"/>
  <c r="AB49" i="4" s="1"/>
  <c r="AA49" i="4" s="1"/>
  <c r="AB50" i="4" a="1"/>
  <c r="AB50" i="4" s="1"/>
  <c r="AA50" i="4" s="1"/>
  <c r="AB51" i="4" a="1"/>
  <c r="AB51" i="4" s="1"/>
  <c r="AA51" i="4" s="1"/>
  <c r="AB52" i="4" a="1"/>
  <c r="AB52" i="4" s="1"/>
  <c r="AA52" i="4" s="1"/>
  <c r="AB53" i="4" a="1"/>
  <c r="AB53" i="4" s="1"/>
  <c r="AA53" i="4" s="1"/>
  <c r="AB54" i="4" a="1"/>
  <c r="AB54" i="4" s="1"/>
  <c r="AA54" i="4" s="1"/>
  <c r="AB55" i="4" a="1"/>
  <c r="AB55" i="4" s="1"/>
  <c r="AA55" i="4" s="1"/>
  <c r="AB56" i="4" a="1"/>
  <c r="AB56" i="4" s="1"/>
  <c r="AA56" i="4" s="1"/>
  <c r="AB57" i="4" a="1"/>
  <c r="AB57" i="4" s="1"/>
  <c r="AA57" i="4" s="1"/>
  <c r="AB58" i="4" a="1"/>
  <c r="AB58" i="4" s="1"/>
  <c r="AA58" i="4" s="1"/>
  <c r="AB59" i="4" a="1"/>
  <c r="AB59" i="4" s="1"/>
  <c r="AA59" i="4" s="1"/>
  <c r="AB60" i="4" a="1"/>
  <c r="AB60" i="4" s="1"/>
  <c r="AA60" i="4" s="1"/>
  <c r="AB61" i="4" a="1"/>
  <c r="AB61" i="4" s="1"/>
  <c r="AA61" i="4" s="1"/>
  <c r="AB62" i="4" a="1"/>
  <c r="AB62" i="4" s="1"/>
  <c r="AA62" i="4" s="1"/>
  <c r="AB63" i="4" a="1"/>
  <c r="AB63" i="4" s="1"/>
  <c r="AA63" i="4" s="1"/>
  <c r="AB64" i="4" a="1"/>
  <c r="AB64" i="4" s="1"/>
  <c r="AA64" i="4" s="1"/>
  <c r="AB65" i="4" a="1"/>
  <c r="AB65" i="4" s="1"/>
  <c r="AA65" i="4" s="1"/>
  <c r="AB66" i="4" a="1"/>
  <c r="AB66" i="4" s="1"/>
  <c r="AA66" i="4" s="1"/>
  <c r="AB67" i="4" a="1"/>
  <c r="AB67" i="4" s="1"/>
  <c r="AA67" i="4" s="1"/>
  <c r="AB68" i="4" a="1"/>
  <c r="AB68" i="4" s="1"/>
  <c r="AA68" i="4" s="1"/>
  <c r="AB69" i="4" a="1"/>
  <c r="AB69" i="4" s="1"/>
  <c r="AA69" i="4" s="1"/>
  <c r="AB70" i="4" a="1"/>
  <c r="AB70" i="4" s="1"/>
  <c r="AA70" i="4" s="1"/>
  <c r="AB71" i="4" a="1"/>
  <c r="AB71" i="4" s="1"/>
  <c r="AA71" i="4" s="1"/>
  <c r="AB72" i="4" a="1"/>
  <c r="AB72" i="4" s="1"/>
  <c r="AA72" i="4" s="1"/>
  <c r="AB73" i="4" a="1"/>
  <c r="AB73" i="4" s="1"/>
  <c r="AA73" i="4" s="1"/>
  <c r="AB74" i="4" a="1"/>
  <c r="AB74" i="4" s="1"/>
  <c r="AA74" i="4" s="1"/>
  <c r="AB75" i="4" a="1"/>
  <c r="AB75" i="4" s="1"/>
  <c r="AA75" i="4" s="1"/>
  <c r="AB76" i="4" a="1"/>
  <c r="AB76" i="4" s="1"/>
  <c r="AA76" i="4" s="1"/>
  <c r="AB77" i="4" a="1"/>
  <c r="AB77" i="4" s="1"/>
  <c r="AA77" i="4" s="1"/>
  <c r="AB78" i="4" a="1"/>
  <c r="AB78" i="4" s="1"/>
  <c r="AA78" i="4" s="1"/>
  <c r="AB79" i="4" a="1"/>
  <c r="AB79" i="4" s="1"/>
  <c r="AA79" i="4" s="1"/>
  <c r="AB80" i="4" a="1"/>
  <c r="AB80" i="4" s="1"/>
  <c r="AA80" i="4" s="1"/>
  <c r="AB81" i="4" a="1"/>
  <c r="AB81" i="4" s="1"/>
  <c r="AA81" i="4" s="1"/>
  <c r="AB82" i="4" a="1"/>
  <c r="AB82" i="4" s="1"/>
  <c r="AA82" i="4" s="1"/>
  <c r="AB83" i="4" a="1"/>
  <c r="AB83" i="4" s="1"/>
  <c r="AA83" i="4" s="1"/>
  <c r="AB84" i="4" a="1"/>
  <c r="AB84" i="4" s="1"/>
  <c r="AA84" i="4" s="1"/>
  <c r="AB85" i="4" a="1"/>
  <c r="AB85" i="4" s="1"/>
  <c r="AA85" i="4" s="1"/>
  <c r="AB86" i="4" a="1"/>
  <c r="AB86" i="4" s="1"/>
  <c r="AA86" i="4" s="1"/>
  <c r="AB87" i="4" a="1"/>
  <c r="AB87" i="4" s="1"/>
  <c r="AA87" i="4" s="1"/>
  <c r="AB88" i="4" a="1"/>
  <c r="AB88" i="4" s="1"/>
  <c r="AA88" i="4" s="1"/>
  <c r="AB89" i="4" a="1"/>
  <c r="AB89" i="4" s="1"/>
  <c r="AA89" i="4" s="1"/>
  <c r="AB90" i="4" a="1"/>
  <c r="AB90" i="4" s="1"/>
  <c r="AA90" i="4" s="1"/>
  <c r="AB91" i="4" a="1"/>
  <c r="AB91" i="4" s="1"/>
  <c r="AA91" i="4" s="1"/>
  <c r="AB92" i="4" a="1"/>
  <c r="AB92" i="4" s="1"/>
  <c r="AA92" i="4" s="1"/>
  <c r="AB93" i="4" a="1"/>
  <c r="AB93" i="4" s="1"/>
  <c r="AA93" i="4" s="1"/>
  <c r="AB94" i="4" a="1"/>
  <c r="AB94" i="4" s="1"/>
  <c r="AA94" i="4" s="1"/>
  <c r="AB95" i="4" a="1"/>
  <c r="AB95" i="4" s="1"/>
  <c r="AA95" i="4" s="1"/>
  <c r="AB96" i="4" a="1"/>
  <c r="AB96" i="4" s="1"/>
  <c r="AA96" i="4" s="1"/>
  <c r="AB97" i="4" a="1"/>
  <c r="AB97" i="4" s="1"/>
  <c r="AA97" i="4" s="1"/>
  <c r="AB98" i="4" a="1"/>
  <c r="AB98" i="4" s="1"/>
  <c r="AA98" i="4" s="1"/>
  <c r="AB99" i="4" a="1"/>
  <c r="AB99" i="4" s="1"/>
  <c r="AA99" i="4" s="1"/>
  <c r="AB100" i="4" a="1"/>
  <c r="AB100" i="4" s="1"/>
  <c r="AA100" i="4" s="1"/>
  <c r="AB101" i="4" a="1"/>
  <c r="AB101" i="4" s="1"/>
  <c r="AA101" i="4" s="1"/>
  <c r="AB102" i="4" a="1"/>
  <c r="AB102" i="4" s="1"/>
  <c r="AA102" i="4" s="1"/>
  <c r="AB3" i="4" a="1"/>
  <c r="AB3" i="4" s="1"/>
  <c r="AA3" i="4" s="1"/>
  <c r="AB4" i="4" a="1"/>
  <c r="AB4" i="4" s="1"/>
  <c r="AA4" i="4" s="1"/>
  <c r="AB5" i="4" a="1"/>
  <c r="AB5" i="4" s="1"/>
  <c r="AA5" i="4" s="1"/>
  <c r="AB6" i="4" a="1"/>
  <c r="AB6" i="4" s="1"/>
  <c r="AA6" i="4" s="1"/>
  <c r="AB7" i="4" a="1"/>
  <c r="AB7" i="4" s="1"/>
  <c r="AA7" i="4" s="1"/>
  <c r="AB8" i="4" a="1"/>
  <c r="AB8" i="4" s="1"/>
  <c r="AB9" i="4" a="1"/>
  <c r="AB9" i="4" s="1"/>
  <c r="AA9" i="4" s="1"/>
  <c r="AB10" i="4" a="1"/>
  <c r="AB10" i="4" s="1"/>
  <c r="AA10" i="4" s="1"/>
  <c r="AB11" i="4" a="1"/>
  <c r="AB11" i="4" s="1"/>
  <c r="AA11" i="4" s="1"/>
  <c r="AB12" i="4" a="1"/>
  <c r="AB12" i="4" s="1"/>
  <c r="AA12" i="4" s="1"/>
  <c r="AB13" i="4" a="1"/>
  <c r="AB13" i="4"/>
  <c r="AA13" i="4" s="1"/>
  <c r="AB14" i="4" a="1"/>
  <c r="AB14" i="4" s="1"/>
  <c r="AA14" i="4" s="1"/>
  <c r="AB15" i="4" a="1"/>
  <c r="AB15" i="4" s="1"/>
  <c r="AA15" i="4" s="1"/>
  <c r="AB16" i="4" a="1"/>
  <c r="AB16" i="4" s="1"/>
  <c r="AA16" i="4" s="1"/>
  <c r="AB17" i="4" a="1"/>
  <c r="AB17" i="4" s="1"/>
  <c r="AA17" i="4" s="1"/>
  <c r="AB18" i="4" a="1"/>
  <c r="AB18" i="4" s="1"/>
  <c r="AA18" i="4" s="1"/>
  <c r="AB19" i="4" a="1"/>
  <c r="AB19" i="4" s="1"/>
  <c r="AA19" i="4" s="1"/>
  <c r="AB2" i="4" a="1"/>
  <c r="AB2" i="4" s="1"/>
  <c r="AA2" i="4" s="1"/>
  <c r="R42" i="4" a="1"/>
  <c r="R42" i="4" s="1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J2" i="4" a="1"/>
  <c r="J2" i="4" s="1"/>
  <c r="N3" i="4"/>
  <c r="O3" i="4" s="1"/>
  <c r="N2" i="4"/>
  <c r="O2" i="4" s="1"/>
  <c r="O5" i="4" l="1"/>
  <c r="E2" i="4" s="1" a="1"/>
  <c r="B3" i="3" a="1"/>
  <c r="B3" i="3" s="1"/>
  <c r="B3" i="2" a="1"/>
  <c r="B3" i="2" s="1"/>
  <c r="B3" i="1" a="1"/>
  <c r="B3" i="1" s="1"/>
  <c r="E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C00BCD-6368-42C9-B18B-A0C3CE255125}" keepAlive="1" name="Query - Z22A" description="Connection to the 'Z22A' query in the workbook." type="5" refreshedVersion="8" background="1" saveData="1">
    <dbPr connection="Provider=Microsoft.Mashup.OleDb.1;Data Source=$Workbook$;Location=Z22A;Extended Properties=&quot;&quot;" command="SELECT * FROM [Z22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<sst xmlns="http://schemas.openxmlformats.org/spreadsheetml/2006/main" count="101" uniqueCount="57">
  <si>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</si>
  <si>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</si>
  <si>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</si>
  <si>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</si>
  <si>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</si>
  <si>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</si>
  <si>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</si>
  <si>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</si>
  <si>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</si>
  <si>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</si>
  <si>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</si>
  <si>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</si>
  <si>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</si>
  <si>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</si>
  <si>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</si>
  <si>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</si>
  <si>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</si>
  <si>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</si>
  <si>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</si>
  <si>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</si>
  <si>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</si>
  <si>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</si>
  <si>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</si>
  <si>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</si>
  <si>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</si>
  <si>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</si>
  <si>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</si>
  <si>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soc_table_new1=[</t>
  </si>
  <si>
    <t>0   1.136</t>
  </si>
  <si>
    <t>4   1.192</t>
  </si>
  <si>
    <t>10  1.209</t>
  </si>
  <si>
    <t>30  1.236</t>
  </si>
  <si>
    <t>60  1.266</t>
  </si>
  <si>
    <t>100 1.337</t>
  </si>
  <si>
    <t>100 1.400 ];</t>
  </si>
  <si>
    <t>Composite SOC Curve Analysis</t>
  </si>
  <si>
    <t>Time</t>
  </si>
  <si>
    <t>VHA</t>
  </si>
  <si>
    <t>Est VBAT</t>
  </si>
  <si>
    <t>Range</t>
  </si>
  <si>
    <t>T0</t>
  </si>
  <si>
    <t>Index</t>
  </si>
  <si>
    <t>SOC</t>
  </si>
  <si>
    <t>VBAT</t>
  </si>
  <si>
    <t>Model</t>
  </si>
  <si>
    <t>Proposed Z22A PWl</t>
  </si>
  <si>
    <t>SOC_Shift</t>
  </si>
  <si>
    <t>Proposed Accu60 PWl</t>
  </si>
  <si>
    <t>Alternative PWL</t>
  </si>
  <si>
    <t>Two Scenarios</t>
  </si>
  <si>
    <t>Use an average SOC</t>
  </si>
  <si>
    <t>Accu</t>
  </si>
  <si>
    <t>Zeni</t>
  </si>
  <si>
    <t>Nom</t>
  </si>
  <si>
    <t>Acc-Nom</t>
  </si>
  <si>
    <t>Zen-Nom</t>
  </si>
  <si>
    <t>Zeni-Varta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</si>
</sst>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"/>
  </numFmts>
  <fonts count="18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sz val="10"/>
      <color rgb="FF000000"/>
      <name val="Courier New"/>
      <family val="3"/>
    </font>
    <font>
      <sz val="8"/>
      <color rgb="FF172B4D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16" fillId="0" borderId="0" xfId="0" applyFont="1" applyAlignment="1">
      <alignment vertical="center"/>
    </xf>
    <xf numFmtId="9" fontId="0" fillId="0" borderId="0" xfId="0" applyNumberFormat="1"/>
    <xf numFmtId="9" fontId="17" fillId="12" borderId="0" xfId="0" applyNumberFormat="1" applyFont="1" applyFill="1" applyAlignment="1">
      <alignment horizontal="left" vertical="top" wrapText="1"/>
    </xf>
    <xf numFmtId="168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numFmt numFmtId="13" formatCode="0%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'Z22A'!$B$1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'Z22A'!$A$2:$A$143</c:f>
              <c:numCache>
                <c:formatCode>General</c:formatCode>
                <c:ptCount val="1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</c:numCache>
            </c:numRef>
          </c:xVal>
          <c:yVal>
            <c:numRef>
              <c:f>'Z22A'!$B$2:$B$143</c:f>
              <c:numCache>
                <c:formatCode>General</c:formatCode>
                <c:ptCount val="142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1.8333333333333333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2.3333333333333335</c:v>
                </c:pt>
                <c:pt idx="15">
                  <c:v>2.5</c:v>
                </c:pt>
                <c:pt idx="16">
                  <c:v>2.6666666666666665</c:v>
                </c:pt>
                <c:pt idx="17">
                  <c:v>2.8333333333333335</c:v>
                </c:pt>
                <c:pt idx="18">
                  <c:v>3</c:v>
                </c:pt>
                <c:pt idx="19">
                  <c:v>3.1666666666666665</c:v>
                </c:pt>
                <c:pt idx="20">
                  <c:v>3.3333333333333335</c:v>
                </c:pt>
                <c:pt idx="21">
                  <c:v>3.5</c:v>
                </c:pt>
                <c:pt idx="22">
                  <c:v>3.6666666666666665</c:v>
                </c:pt>
                <c:pt idx="23">
                  <c:v>3.8333333333333335</c:v>
                </c:pt>
                <c:pt idx="24">
                  <c:v>4</c:v>
                </c:pt>
                <c:pt idx="25">
                  <c:v>4.166666666666667</c:v>
                </c:pt>
                <c:pt idx="26">
                  <c:v>4.333333333333333</c:v>
                </c:pt>
                <c:pt idx="27">
                  <c:v>4.5</c:v>
                </c:pt>
                <c:pt idx="28">
                  <c:v>4.666666666666667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</c:v>
                </c:pt>
                <c:pt idx="33">
                  <c:v>5.5</c:v>
                </c:pt>
                <c:pt idx="34">
                  <c:v>5.666666666666667</c:v>
                </c:pt>
                <c:pt idx="35">
                  <c:v>5.833333333333333</c:v>
                </c:pt>
                <c:pt idx="36">
                  <c:v>6</c:v>
                </c:pt>
                <c:pt idx="37">
                  <c:v>6.166666666666667</c:v>
                </c:pt>
                <c:pt idx="38">
                  <c:v>6.333333333333333</c:v>
                </c:pt>
                <c:pt idx="39">
                  <c:v>6.5</c:v>
                </c:pt>
                <c:pt idx="40">
                  <c:v>6.666666666666667</c:v>
                </c:pt>
                <c:pt idx="41">
                  <c:v>6.833333333333333</c:v>
                </c:pt>
                <c:pt idx="42">
                  <c:v>7</c:v>
                </c:pt>
                <c:pt idx="43">
                  <c:v>7.166666666666667</c:v>
                </c:pt>
                <c:pt idx="44">
                  <c:v>7.333333333333333</c:v>
                </c:pt>
                <c:pt idx="45">
                  <c:v>7.5</c:v>
                </c:pt>
                <c:pt idx="46">
                  <c:v>7.666666666666667</c:v>
                </c:pt>
                <c:pt idx="47">
                  <c:v>7.833333333333333</c:v>
                </c:pt>
                <c:pt idx="48">
                  <c:v>8</c:v>
                </c:pt>
                <c:pt idx="49">
                  <c:v>8.1666666666666661</c:v>
                </c:pt>
                <c:pt idx="50">
                  <c:v>8.3333333333333339</c:v>
                </c:pt>
                <c:pt idx="51">
                  <c:v>8.5</c:v>
                </c:pt>
                <c:pt idx="52">
                  <c:v>8.6666666666666661</c:v>
                </c:pt>
                <c:pt idx="53">
                  <c:v>8.8333333333333339</c:v>
                </c:pt>
                <c:pt idx="54">
                  <c:v>9</c:v>
                </c:pt>
                <c:pt idx="55">
                  <c:v>9.1666666666666661</c:v>
                </c:pt>
                <c:pt idx="56">
                  <c:v>9.3333333333333339</c:v>
                </c:pt>
                <c:pt idx="57">
                  <c:v>9.5</c:v>
                </c:pt>
                <c:pt idx="58">
                  <c:v>9.6666666666666661</c:v>
                </c:pt>
                <c:pt idx="59">
                  <c:v>9.8333333333333339</c:v>
                </c:pt>
                <c:pt idx="60">
                  <c:v>10</c:v>
                </c:pt>
                <c:pt idx="61">
                  <c:v>10.166666666666666</c:v>
                </c:pt>
                <c:pt idx="62">
                  <c:v>10.333333333333334</c:v>
                </c:pt>
                <c:pt idx="63">
                  <c:v>10.5</c:v>
                </c:pt>
                <c:pt idx="64">
                  <c:v>10.666666666666666</c:v>
                </c:pt>
                <c:pt idx="65">
                  <c:v>10.833333333333334</c:v>
                </c:pt>
                <c:pt idx="66">
                  <c:v>11</c:v>
                </c:pt>
                <c:pt idx="67">
                  <c:v>11.166666666666666</c:v>
                </c:pt>
                <c:pt idx="68">
                  <c:v>11.333333333333334</c:v>
                </c:pt>
                <c:pt idx="69">
                  <c:v>11.5</c:v>
                </c:pt>
                <c:pt idx="70">
                  <c:v>11.666666666666666</c:v>
                </c:pt>
                <c:pt idx="71">
                  <c:v>11.833333333333334</c:v>
                </c:pt>
                <c:pt idx="72">
                  <c:v>12</c:v>
                </c:pt>
                <c:pt idx="73">
                  <c:v>12.166666666666666</c:v>
                </c:pt>
                <c:pt idx="74">
                  <c:v>12.333333333333334</c:v>
                </c:pt>
                <c:pt idx="75">
                  <c:v>12.5</c:v>
                </c:pt>
                <c:pt idx="76">
                  <c:v>12.666666666666666</c:v>
                </c:pt>
                <c:pt idx="77">
                  <c:v>12.833333333333334</c:v>
                </c:pt>
                <c:pt idx="78">
                  <c:v>13</c:v>
                </c:pt>
                <c:pt idx="79">
                  <c:v>13.166666666666666</c:v>
                </c:pt>
                <c:pt idx="80">
                  <c:v>13.333333333333334</c:v>
                </c:pt>
                <c:pt idx="81">
                  <c:v>13.5</c:v>
                </c:pt>
                <c:pt idx="82">
                  <c:v>13.666666666666666</c:v>
                </c:pt>
                <c:pt idx="83">
                  <c:v>13.833333333333334</c:v>
                </c:pt>
                <c:pt idx="84">
                  <c:v>14</c:v>
                </c:pt>
                <c:pt idx="85">
                  <c:v>14.166666666666666</c:v>
                </c:pt>
                <c:pt idx="86">
                  <c:v>14.333333333333334</c:v>
                </c:pt>
                <c:pt idx="87">
                  <c:v>14.5</c:v>
                </c:pt>
                <c:pt idx="88">
                  <c:v>14.666666666666666</c:v>
                </c:pt>
                <c:pt idx="89">
                  <c:v>14.833333333333334</c:v>
                </c:pt>
                <c:pt idx="90">
                  <c:v>15</c:v>
                </c:pt>
                <c:pt idx="91">
                  <c:v>15.166666666666666</c:v>
                </c:pt>
                <c:pt idx="92">
                  <c:v>15.333333333333334</c:v>
                </c:pt>
                <c:pt idx="93">
                  <c:v>15.5</c:v>
                </c:pt>
                <c:pt idx="94">
                  <c:v>15.666666666666666</c:v>
                </c:pt>
                <c:pt idx="95">
                  <c:v>15.833333333333334</c:v>
                </c:pt>
                <c:pt idx="96">
                  <c:v>16</c:v>
                </c:pt>
                <c:pt idx="97">
                  <c:v>16.166666666666668</c:v>
                </c:pt>
                <c:pt idx="98">
                  <c:v>16.333333333333332</c:v>
                </c:pt>
                <c:pt idx="99">
                  <c:v>16.5</c:v>
                </c:pt>
                <c:pt idx="100">
                  <c:v>16.666666666666668</c:v>
                </c:pt>
                <c:pt idx="101">
                  <c:v>16.833333333333332</c:v>
                </c:pt>
                <c:pt idx="102">
                  <c:v>17</c:v>
                </c:pt>
                <c:pt idx="103">
                  <c:v>17.166666666666668</c:v>
                </c:pt>
                <c:pt idx="104">
                  <c:v>17.333333333333332</c:v>
                </c:pt>
                <c:pt idx="105">
                  <c:v>17.5</c:v>
                </c:pt>
                <c:pt idx="106">
                  <c:v>17.666666666666668</c:v>
                </c:pt>
                <c:pt idx="107">
                  <c:v>17.833333333333332</c:v>
                </c:pt>
                <c:pt idx="108">
                  <c:v>18</c:v>
                </c:pt>
                <c:pt idx="109">
                  <c:v>18.166666666666668</c:v>
                </c:pt>
                <c:pt idx="110">
                  <c:v>18.333333333333332</c:v>
                </c:pt>
                <c:pt idx="111">
                  <c:v>18.5</c:v>
                </c:pt>
                <c:pt idx="112">
                  <c:v>18.666666666666668</c:v>
                </c:pt>
                <c:pt idx="113">
                  <c:v>18.833333333333332</c:v>
                </c:pt>
                <c:pt idx="114">
                  <c:v>19</c:v>
                </c:pt>
                <c:pt idx="115">
                  <c:v>19.166666666666668</c:v>
                </c:pt>
                <c:pt idx="116">
                  <c:v>19.333333333333332</c:v>
                </c:pt>
                <c:pt idx="117">
                  <c:v>19.5</c:v>
                </c:pt>
                <c:pt idx="118">
                  <c:v>19.666666666666668</c:v>
                </c:pt>
                <c:pt idx="119">
                  <c:v>19.833333333333332</c:v>
                </c:pt>
                <c:pt idx="120">
                  <c:v>20</c:v>
                </c:pt>
                <c:pt idx="121">
                  <c:v>20.166666666666668</c:v>
                </c:pt>
                <c:pt idx="122">
                  <c:v>20.333333333333332</c:v>
                </c:pt>
                <c:pt idx="123">
                  <c:v>20.5</c:v>
                </c:pt>
                <c:pt idx="124">
                  <c:v>20.666666666666668</c:v>
                </c:pt>
                <c:pt idx="125">
                  <c:v>20.833333333333332</c:v>
                </c:pt>
                <c:pt idx="126">
                  <c:v>21</c:v>
                </c:pt>
                <c:pt idx="127">
                  <c:v>21.166666666666668</c:v>
                </c:pt>
                <c:pt idx="128">
                  <c:v>21.333333333333332</c:v>
                </c:pt>
                <c:pt idx="129">
                  <c:v>21.5</c:v>
                </c:pt>
                <c:pt idx="130">
                  <c:v>21.666666666666668</c:v>
                </c:pt>
                <c:pt idx="131">
                  <c:v>21.833333333333332</c:v>
                </c:pt>
                <c:pt idx="132">
                  <c:v>22</c:v>
                </c:pt>
                <c:pt idx="133">
                  <c:v>22.166666666666668</c:v>
                </c:pt>
                <c:pt idx="134">
                  <c:v>22.333333333333332</c:v>
                </c:pt>
                <c:pt idx="135">
                  <c:v>22.5</c:v>
                </c:pt>
                <c:pt idx="136">
                  <c:v>22.666666666666668</c:v>
                </c:pt>
                <c:pt idx="137">
                  <c:v>22.833333333333332</c:v>
                </c:pt>
                <c:pt idx="138">
                  <c:v>23</c:v>
                </c:pt>
                <c:pt idx="139">
                  <c:v>23.166666666666668</c:v>
                </c:pt>
                <c:pt idx="140">
                  <c:v>23.333333333333332</c:v>
                </c:pt>
                <c:pt idx="141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F-4D22-A773-717723B38DBC}"/>
            </c:ext>
          </c:extLst>
        </c:ser>
        <c:ser>
          <c:idx val="1"/>
          <c:order val="1"/>
          <c:tx>
            <c:strRef>
              <c:f>'Z22A'!$C$1</c:f>
              <c:strCache>
                <c:ptCount val="1"/>
                <c:pt idx="0">
                  <c:v>VHA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'Z22A'!$A$2:$A$143</c:f>
              <c:numCache>
                <c:formatCode>General</c:formatCode>
                <c:ptCount val="1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</c:numCache>
            </c:numRef>
          </c:xVal>
          <c:yVal>
            <c:numRef>
              <c:f>'Z22A'!$C$2:$C$143</c:f>
              <c:numCache>
                <c:formatCode>General</c:formatCode>
                <c:ptCount val="142"/>
                <c:pt idx="0">
                  <c:v>1370</c:v>
                </c:pt>
                <c:pt idx="1">
                  <c:v>1370</c:v>
                </c:pt>
                <c:pt idx="2">
                  <c:v>1373</c:v>
                </c:pt>
                <c:pt idx="3">
                  <c:v>1372</c:v>
                </c:pt>
                <c:pt idx="4">
                  <c:v>1375</c:v>
                </c:pt>
                <c:pt idx="5">
                  <c:v>1381</c:v>
                </c:pt>
                <c:pt idx="6">
                  <c:v>1371</c:v>
                </c:pt>
                <c:pt idx="7">
                  <c:v>1374</c:v>
                </c:pt>
                <c:pt idx="8">
                  <c:v>1378</c:v>
                </c:pt>
                <c:pt idx="9">
                  <c:v>1382</c:v>
                </c:pt>
                <c:pt idx="10">
                  <c:v>1377</c:v>
                </c:pt>
                <c:pt idx="11">
                  <c:v>1374</c:v>
                </c:pt>
                <c:pt idx="12">
                  <c:v>1372</c:v>
                </c:pt>
                <c:pt idx="13">
                  <c:v>1369</c:v>
                </c:pt>
                <c:pt idx="14">
                  <c:v>1366</c:v>
                </c:pt>
                <c:pt idx="15">
                  <c:v>1364</c:v>
                </c:pt>
                <c:pt idx="16">
                  <c:v>1361</c:v>
                </c:pt>
                <c:pt idx="17">
                  <c:v>1359</c:v>
                </c:pt>
                <c:pt idx="18">
                  <c:v>1356</c:v>
                </c:pt>
                <c:pt idx="19">
                  <c:v>1354</c:v>
                </c:pt>
                <c:pt idx="20">
                  <c:v>1351</c:v>
                </c:pt>
                <c:pt idx="21">
                  <c:v>1350</c:v>
                </c:pt>
                <c:pt idx="22">
                  <c:v>1347</c:v>
                </c:pt>
                <c:pt idx="23">
                  <c:v>1345</c:v>
                </c:pt>
                <c:pt idx="24">
                  <c:v>1342</c:v>
                </c:pt>
                <c:pt idx="25">
                  <c:v>1340</c:v>
                </c:pt>
                <c:pt idx="26">
                  <c:v>1338</c:v>
                </c:pt>
                <c:pt idx="27">
                  <c:v>1337</c:v>
                </c:pt>
                <c:pt idx="28">
                  <c:v>1334</c:v>
                </c:pt>
                <c:pt idx="29">
                  <c:v>1331</c:v>
                </c:pt>
                <c:pt idx="30">
                  <c:v>1329</c:v>
                </c:pt>
                <c:pt idx="31">
                  <c:v>1327</c:v>
                </c:pt>
                <c:pt idx="32">
                  <c:v>1325</c:v>
                </c:pt>
                <c:pt idx="33">
                  <c:v>1322</c:v>
                </c:pt>
                <c:pt idx="34">
                  <c:v>1320</c:v>
                </c:pt>
                <c:pt idx="35">
                  <c:v>1318</c:v>
                </c:pt>
                <c:pt idx="36">
                  <c:v>1315</c:v>
                </c:pt>
                <c:pt idx="37">
                  <c:v>1313</c:v>
                </c:pt>
                <c:pt idx="38">
                  <c:v>1311</c:v>
                </c:pt>
                <c:pt idx="39">
                  <c:v>1309</c:v>
                </c:pt>
                <c:pt idx="40">
                  <c:v>1305</c:v>
                </c:pt>
                <c:pt idx="41">
                  <c:v>1304</c:v>
                </c:pt>
                <c:pt idx="42">
                  <c:v>1302</c:v>
                </c:pt>
                <c:pt idx="43">
                  <c:v>1300</c:v>
                </c:pt>
                <c:pt idx="44">
                  <c:v>1297</c:v>
                </c:pt>
                <c:pt idx="45">
                  <c:v>1295</c:v>
                </c:pt>
                <c:pt idx="46">
                  <c:v>1293</c:v>
                </c:pt>
                <c:pt idx="47">
                  <c:v>1290</c:v>
                </c:pt>
                <c:pt idx="48">
                  <c:v>1288</c:v>
                </c:pt>
                <c:pt idx="49">
                  <c:v>1287</c:v>
                </c:pt>
                <c:pt idx="50">
                  <c:v>1285</c:v>
                </c:pt>
                <c:pt idx="51">
                  <c:v>1282</c:v>
                </c:pt>
                <c:pt idx="52">
                  <c:v>1281</c:v>
                </c:pt>
                <c:pt idx="53">
                  <c:v>1279</c:v>
                </c:pt>
                <c:pt idx="54">
                  <c:v>1278</c:v>
                </c:pt>
                <c:pt idx="55">
                  <c:v>1277</c:v>
                </c:pt>
                <c:pt idx="56">
                  <c:v>1274</c:v>
                </c:pt>
                <c:pt idx="57">
                  <c:v>1274</c:v>
                </c:pt>
                <c:pt idx="58">
                  <c:v>1272</c:v>
                </c:pt>
                <c:pt idx="59">
                  <c:v>1271</c:v>
                </c:pt>
                <c:pt idx="60">
                  <c:v>1269</c:v>
                </c:pt>
                <c:pt idx="61">
                  <c:v>1269</c:v>
                </c:pt>
                <c:pt idx="62">
                  <c:v>1267</c:v>
                </c:pt>
                <c:pt idx="63">
                  <c:v>1266</c:v>
                </c:pt>
                <c:pt idx="64">
                  <c:v>1263</c:v>
                </c:pt>
                <c:pt idx="65">
                  <c:v>1263</c:v>
                </c:pt>
                <c:pt idx="66">
                  <c:v>1262</c:v>
                </c:pt>
                <c:pt idx="67">
                  <c:v>1261</c:v>
                </c:pt>
                <c:pt idx="68">
                  <c:v>1260</c:v>
                </c:pt>
                <c:pt idx="69">
                  <c:v>1259</c:v>
                </c:pt>
                <c:pt idx="70">
                  <c:v>1258</c:v>
                </c:pt>
                <c:pt idx="71">
                  <c:v>1257</c:v>
                </c:pt>
                <c:pt idx="72">
                  <c:v>1256</c:v>
                </c:pt>
                <c:pt idx="73">
                  <c:v>1256</c:v>
                </c:pt>
                <c:pt idx="74">
                  <c:v>1253</c:v>
                </c:pt>
                <c:pt idx="75">
                  <c:v>1252</c:v>
                </c:pt>
                <c:pt idx="76">
                  <c:v>1252</c:v>
                </c:pt>
                <c:pt idx="77">
                  <c:v>1251</c:v>
                </c:pt>
                <c:pt idx="78">
                  <c:v>1250</c:v>
                </c:pt>
                <c:pt idx="79">
                  <c:v>1250</c:v>
                </c:pt>
                <c:pt idx="80">
                  <c:v>1248</c:v>
                </c:pt>
                <c:pt idx="81">
                  <c:v>1247</c:v>
                </c:pt>
                <c:pt idx="82">
                  <c:v>1246</c:v>
                </c:pt>
                <c:pt idx="83">
                  <c:v>1245</c:v>
                </c:pt>
                <c:pt idx="84">
                  <c:v>1245</c:v>
                </c:pt>
                <c:pt idx="85">
                  <c:v>1244</c:v>
                </c:pt>
                <c:pt idx="86">
                  <c:v>1243</c:v>
                </c:pt>
                <c:pt idx="87">
                  <c:v>1243</c:v>
                </c:pt>
                <c:pt idx="88">
                  <c:v>1242</c:v>
                </c:pt>
                <c:pt idx="89">
                  <c:v>1240</c:v>
                </c:pt>
                <c:pt idx="90">
                  <c:v>1240</c:v>
                </c:pt>
                <c:pt idx="91">
                  <c:v>1239</c:v>
                </c:pt>
                <c:pt idx="92">
                  <c:v>1238</c:v>
                </c:pt>
                <c:pt idx="93">
                  <c:v>1237</c:v>
                </c:pt>
                <c:pt idx="94">
                  <c:v>1236</c:v>
                </c:pt>
                <c:pt idx="95">
                  <c:v>1235</c:v>
                </c:pt>
                <c:pt idx="96">
                  <c:v>1233</c:v>
                </c:pt>
                <c:pt idx="97">
                  <c:v>1234</c:v>
                </c:pt>
                <c:pt idx="98">
                  <c:v>1231</c:v>
                </c:pt>
                <c:pt idx="99">
                  <c:v>1231</c:v>
                </c:pt>
                <c:pt idx="100">
                  <c:v>1230</c:v>
                </c:pt>
                <c:pt idx="101">
                  <c:v>1230</c:v>
                </c:pt>
                <c:pt idx="102">
                  <c:v>1228</c:v>
                </c:pt>
                <c:pt idx="103">
                  <c:v>1227</c:v>
                </c:pt>
                <c:pt idx="104">
                  <c:v>1227</c:v>
                </c:pt>
                <c:pt idx="105">
                  <c:v>1226</c:v>
                </c:pt>
                <c:pt idx="106">
                  <c:v>1225</c:v>
                </c:pt>
                <c:pt idx="107">
                  <c:v>1224</c:v>
                </c:pt>
                <c:pt idx="108">
                  <c:v>1223</c:v>
                </c:pt>
                <c:pt idx="109">
                  <c:v>1223</c:v>
                </c:pt>
                <c:pt idx="110">
                  <c:v>1222</c:v>
                </c:pt>
                <c:pt idx="111">
                  <c:v>1221</c:v>
                </c:pt>
                <c:pt idx="112">
                  <c:v>1220</c:v>
                </c:pt>
                <c:pt idx="113">
                  <c:v>1219</c:v>
                </c:pt>
                <c:pt idx="114">
                  <c:v>1217</c:v>
                </c:pt>
                <c:pt idx="115">
                  <c:v>1216</c:v>
                </c:pt>
                <c:pt idx="116">
                  <c:v>1215</c:v>
                </c:pt>
                <c:pt idx="117">
                  <c:v>1214</c:v>
                </c:pt>
                <c:pt idx="118">
                  <c:v>1211</c:v>
                </c:pt>
                <c:pt idx="119">
                  <c:v>1211</c:v>
                </c:pt>
                <c:pt idx="120">
                  <c:v>1210</c:v>
                </c:pt>
                <c:pt idx="121">
                  <c:v>1209</c:v>
                </c:pt>
                <c:pt idx="122">
                  <c:v>1208</c:v>
                </c:pt>
                <c:pt idx="123">
                  <c:v>1207</c:v>
                </c:pt>
                <c:pt idx="124">
                  <c:v>1206</c:v>
                </c:pt>
                <c:pt idx="125">
                  <c:v>1206</c:v>
                </c:pt>
                <c:pt idx="126">
                  <c:v>1206</c:v>
                </c:pt>
                <c:pt idx="127">
                  <c:v>1205</c:v>
                </c:pt>
                <c:pt idx="128">
                  <c:v>1205</c:v>
                </c:pt>
                <c:pt idx="129">
                  <c:v>1204</c:v>
                </c:pt>
                <c:pt idx="130">
                  <c:v>1204</c:v>
                </c:pt>
                <c:pt idx="131">
                  <c:v>1201</c:v>
                </c:pt>
                <c:pt idx="132">
                  <c:v>1199</c:v>
                </c:pt>
                <c:pt idx="133">
                  <c:v>1195</c:v>
                </c:pt>
                <c:pt idx="134">
                  <c:v>1188</c:v>
                </c:pt>
                <c:pt idx="135">
                  <c:v>1182</c:v>
                </c:pt>
                <c:pt idx="136">
                  <c:v>1174</c:v>
                </c:pt>
                <c:pt idx="137">
                  <c:v>1164</c:v>
                </c:pt>
                <c:pt idx="138">
                  <c:v>1152</c:v>
                </c:pt>
                <c:pt idx="139">
                  <c:v>1138</c:v>
                </c:pt>
                <c:pt idx="140">
                  <c:v>1119</c:v>
                </c:pt>
                <c:pt idx="141">
                  <c:v>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F-4D22-A773-717723B38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617760"/>
        <c:axId val="251199503"/>
      </c:scatterChart>
      <c:valAx>
        <c:axId val="166061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99503"/>
        <c:crosses val="autoZero"/>
        <c:crossBetween val="midCat"/>
      </c:valAx>
      <c:valAx>
        <c:axId val="251199503"/>
        <c:scaling>
          <c:orientation val="minMax"/>
          <c:max val="1500"/>
          <c:min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17760"/>
        <c:crosses val="autoZero"/>
        <c:crossBetween val="midCat"/>
        <c:majorUnit val="100"/>
        <c:min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Z22A</a:t>
            </a:r>
            <a:r>
              <a:rPr lang="en-US" b="1" baseline="0">
                <a:solidFill>
                  <a:schemeClr val="tx1"/>
                </a:solidFill>
              </a:rPr>
              <a:t> </a:t>
            </a:r>
            <a:r>
              <a:rPr lang="en-US" b="1">
                <a:solidFill>
                  <a:schemeClr val="tx1"/>
                </a:solidFill>
              </a:rPr>
              <a:t>SOC versus</a:t>
            </a:r>
            <a:r>
              <a:rPr lang="en-US" b="1" baseline="0">
                <a:solidFill>
                  <a:schemeClr val="tx1"/>
                </a:solidFill>
              </a:rPr>
              <a:t> VHA</a:t>
            </a:r>
            <a:r>
              <a:rPr lang="en-US" b="1">
                <a:solidFill>
                  <a:schemeClr val="tx1"/>
                </a:solidFill>
              </a:rPr>
              <a:t> </a:t>
            </a:r>
          </a:p>
        </c:rich>
      </c:tx>
      <c:layout>
        <c:manualLayout>
          <c:xMode val="edge"/>
          <c:yMode val="edge"/>
          <c:x val="5.5821421579918325E-2"/>
          <c:y val="3.1410253239425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9627965047774"/>
          <c:y val="0.1633110576104323"/>
          <c:w val="0.79352595001155435"/>
          <c:h val="0.64252870557957742"/>
        </c:manualLayout>
      </c:layout>
      <c:scatterChart>
        <c:scatterStyle val="lineMarker"/>
        <c:varyColors val="0"/>
        <c:ser>
          <c:idx val="0"/>
          <c:order val="0"/>
          <c:tx>
            <c:v>SOC_Anogh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'Z22A'!$K$2:$K$134</c:f>
              <c:numCache>
                <c:formatCode>General</c:formatCode>
                <c:ptCount val="133"/>
                <c:pt idx="0">
                  <c:v>1382</c:v>
                </c:pt>
                <c:pt idx="1">
                  <c:v>1377</c:v>
                </c:pt>
                <c:pt idx="2">
                  <c:v>1374</c:v>
                </c:pt>
                <c:pt idx="3">
                  <c:v>1372</c:v>
                </c:pt>
                <c:pt idx="4">
                  <c:v>1369</c:v>
                </c:pt>
                <c:pt idx="5">
                  <c:v>1366</c:v>
                </c:pt>
                <c:pt idx="6">
                  <c:v>1364</c:v>
                </c:pt>
                <c:pt idx="7">
                  <c:v>1361</c:v>
                </c:pt>
                <c:pt idx="8">
                  <c:v>1359</c:v>
                </c:pt>
                <c:pt idx="9">
                  <c:v>1356</c:v>
                </c:pt>
                <c:pt idx="10">
                  <c:v>1354</c:v>
                </c:pt>
                <c:pt idx="11">
                  <c:v>1351</c:v>
                </c:pt>
                <c:pt idx="12">
                  <c:v>1350</c:v>
                </c:pt>
                <c:pt idx="13">
                  <c:v>1347</c:v>
                </c:pt>
                <c:pt idx="14">
                  <c:v>1345</c:v>
                </c:pt>
                <c:pt idx="15">
                  <c:v>1342</c:v>
                </c:pt>
                <c:pt idx="16">
                  <c:v>1340</c:v>
                </c:pt>
                <c:pt idx="17">
                  <c:v>1338</c:v>
                </c:pt>
                <c:pt idx="18">
                  <c:v>1337</c:v>
                </c:pt>
                <c:pt idx="19">
                  <c:v>1334</c:v>
                </c:pt>
                <c:pt idx="20">
                  <c:v>1331</c:v>
                </c:pt>
                <c:pt idx="21">
                  <c:v>1329</c:v>
                </c:pt>
                <c:pt idx="22">
                  <c:v>1327</c:v>
                </c:pt>
                <c:pt idx="23">
                  <c:v>1325</c:v>
                </c:pt>
                <c:pt idx="24">
                  <c:v>1322</c:v>
                </c:pt>
                <c:pt idx="25">
                  <c:v>1320</c:v>
                </c:pt>
                <c:pt idx="26">
                  <c:v>1318</c:v>
                </c:pt>
                <c:pt idx="27">
                  <c:v>1315</c:v>
                </c:pt>
                <c:pt idx="28">
                  <c:v>1313</c:v>
                </c:pt>
                <c:pt idx="29">
                  <c:v>1311</c:v>
                </c:pt>
                <c:pt idx="30">
                  <c:v>1309</c:v>
                </c:pt>
                <c:pt idx="31">
                  <c:v>1305</c:v>
                </c:pt>
                <c:pt idx="32">
                  <c:v>1304</c:v>
                </c:pt>
                <c:pt idx="33">
                  <c:v>1302</c:v>
                </c:pt>
                <c:pt idx="34">
                  <c:v>1300</c:v>
                </c:pt>
                <c:pt idx="35">
                  <c:v>1297</c:v>
                </c:pt>
                <c:pt idx="36">
                  <c:v>1295</c:v>
                </c:pt>
                <c:pt idx="37">
                  <c:v>1293</c:v>
                </c:pt>
                <c:pt idx="38">
                  <c:v>1290</c:v>
                </c:pt>
                <c:pt idx="39">
                  <c:v>1288</c:v>
                </c:pt>
                <c:pt idx="40">
                  <c:v>1287</c:v>
                </c:pt>
                <c:pt idx="41">
                  <c:v>1285</c:v>
                </c:pt>
                <c:pt idx="42">
                  <c:v>1282</c:v>
                </c:pt>
                <c:pt idx="43">
                  <c:v>1281</c:v>
                </c:pt>
                <c:pt idx="44">
                  <c:v>1279</c:v>
                </c:pt>
                <c:pt idx="45">
                  <c:v>1278</c:v>
                </c:pt>
                <c:pt idx="46">
                  <c:v>1277</c:v>
                </c:pt>
                <c:pt idx="47">
                  <c:v>1274</c:v>
                </c:pt>
                <c:pt idx="48">
                  <c:v>1274</c:v>
                </c:pt>
                <c:pt idx="49">
                  <c:v>1272</c:v>
                </c:pt>
                <c:pt idx="50">
                  <c:v>1271</c:v>
                </c:pt>
                <c:pt idx="51">
                  <c:v>1269</c:v>
                </c:pt>
                <c:pt idx="52">
                  <c:v>1269</c:v>
                </c:pt>
                <c:pt idx="53">
                  <c:v>1267</c:v>
                </c:pt>
                <c:pt idx="54">
                  <c:v>1266</c:v>
                </c:pt>
                <c:pt idx="55">
                  <c:v>1263</c:v>
                </c:pt>
                <c:pt idx="56">
                  <c:v>1263</c:v>
                </c:pt>
                <c:pt idx="57">
                  <c:v>1262</c:v>
                </c:pt>
                <c:pt idx="58">
                  <c:v>1261</c:v>
                </c:pt>
                <c:pt idx="59">
                  <c:v>1260</c:v>
                </c:pt>
                <c:pt idx="60">
                  <c:v>1259</c:v>
                </c:pt>
                <c:pt idx="61">
                  <c:v>1258</c:v>
                </c:pt>
                <c:pt idx="62">
                  <c:v>1257</c:v>
                </c:pt>
                <c:pt idx="63">
                  <c:v>1256</c:v>
                </c:pt>
                <c:pt idx="64">
                  <c:v>1256</c:v>
                </c:pt>
                <c:pt idx="65">
                  <c:v>1253</c:v>
                </c:pt>
                <c:pt idx="66">
                  <c:v>1252</c:v>
                </c:pt>
                <c:pt idx="67">
                  <c:v>1252</c:v>
                </c:pt>
                <c:pt idx="68">
                  <c:v>1251</c:v>
                </c:pt>
                <c:pt idx="69">
                  <c:v>1250</c:v>
                </c:pt>
                <c:pt idx="70">
                  <c:v>1250</c:v>
                </c:pt>
                <c:pt idx="71">
                  <c:v>1248</c:v>
                </c:pt>
                <c:pt idx="72">
                  <c:v>1247</c:v>
                </c:pt>
                <c:pt idx="73">
                  <c:v>1246</c:v>
                </c:pt>
                <c:pt idx="74">
                  <c:v>1245</c:v>
                </c:pt>
                <c:pt idx="75">
                  <c:v>1245</c:v>
                </c:pt>
                <c:pt idx="76">
                  <c:v>1244</c:v>
                </c:pt>
                <c:pt idx="77">
                  <c:v>1243</c:v>
                </c:pt>
                <c:pt idx="78">
                  <c:v>1243</c:v>
                </c:pt>
                <c:pt idx="79">
                  <c:v>1242</c:v>
                </c:pt>
                <c:pt idx="80">
                  <c:v>1240</c:v>
                </c:pt>
                <c:pt idx="81">
                  <c:v>1240</c:v>
                </c:pt>
                <c:pt idx="82">
                  <c:v>1239</c:v>
                </c:pt>
                <c:pt idx="83">
                  <c:v>1238</c:v>
                </c:pt>
                <c:pt idx="84">
                  <c:v>1237</c:v>
                </c:pt>
                <c:pt idx="85">
                  <c:v>1236</c:v>
                </c:pt>
                <c:pt idx="86">
                  <c:v>1235</c:v>
                </c:pt>
                <c:pt idx="87">
                  <c:v>1233</c:v>
                </c:pt>
                <c:pt idx="88">
                  <c:v>1234</c:v>
                </c:pt>
                <c:pt idx="89">
                  <c:v>1231</c:v>
                </c:pt>
                <c:pt idx="90">
                  <c:v>1231</c:v>
                </c:pt>
                <c:pt idx="91">
                  <c:v>1230</c:v>
                </c:pt>
                <c:pt idx="92">
                  <c:v>1230</c:v>
                </c:pt>
                <c:pt idx="93">
                  <c:v>1228</c:v>
                </c:pt>
                <c:pt idx="94">
                  <c:v>1227</c:v>
                </c:pt>
                <c:pt idx="95">
                  <c:v>1227</c:v>
                </c:pt>
                <c:pt idx="96">
                  <c:v>1226</c:v>
                </c:pt>
                <c:pt idx="97">
                  <c:v>1225</c:v>
                </c:pt>
                <c:pt idx="98">
                  <c:v>1224</c:v>
                </c:pt>
                <c:pt idx="99">
                  <c:v>1223</c:v>
                </c:pt>
                <c:pt idx="100">
                  <c:v>1223</c:v>
                </c:pt>
                <c:pt idx="101">
                  <c:v>1222</c:v>
                </c:pt>
                <c:pt idx="102">
                  <c:v>1221</c:v>
                </c:pt>
                <c:pt idx="103">
                  <c:v>1220</c:v>
                </c:pt>
                <c:pt idx="104">
                  <c:v>1219</c:v>
                </c:pt>
                <c:pt idx="105">
                  <c:v>1217</c:v>
                </c:pt>
                <c:pt idx="106">
                  <c:v>1216</c:v>
                </c:pt>
                <c:pt idx="107">
                  <c:v>1215</c:v>
                </c:pt>
                <c:pt idx="108">
                  <c:v>1214</c:v>
                </c:pt>
                <c:pt idx="109">
                  <c:v>1211</c:v>
                </c:pt>
                <c:pt idx="110">
                  <c:v>1211</c:v>
                </c:pt>
                <c:pt idx="111">
                  <c:v>1210</c:v>
                </c:pt>
                <c:pt idx="112">
                  <c:v>1209</c:v>
                </c:pt>
                <c:pt idx="113">
                  <c:v>1208</c:v>
                </c:pt>
                <c:pt idx="114">
                  <c:v>1207</c:v>
                </c:pt>
                <c:pt idx="115">
                  <c:v>1206</c:v>
                </c:pt>
                <c:pt idx="116">
                  <c:v>1206</c:v>
                </c:pt>
                <c:pt idx="117">
                  <c:v>1206</c:v>
                </c:pt>
                <c:pt idx="118">
                  <c:v>1205</c:v>
                </c:pt>
                <c:pt idx="119">
                  <c:v>1205</c:v>
                </c:pt>
                <c:pt idx="120">
                  <c:v>1204</c:v>
                </c:pt>
                <c:pt idx="121">
                  <c:v>1204</c:v>
                </c:pt>
                <c:pt idx="122">
                  <c:v>1201</c:v>
                </c:pt>
                <c:pt idx="123">
                  <c:v>1199</c:v>
                </c:pt>
                <c:pt idx="124">
                  <c:v>1195</c:v>
                </c:pt>
                <c:pt idx="125">
                  <c:v>1188</c:v>
                </c:pt>
                <c:pt idx="126">
                  <c:v>1182</c:v>
                </c:pt>
                <c:pt idx="127">
                  <c:v>1174</c:v>
                </c:pt>
                <c:pt idx="128">
                  <c:v>1164</c:v>
                </c:pt>
                <c:pt idx="129">
                  <c:v>1152</c:v>
                </c:pt>
                <c:pt idx="130">
                  <c:v>1138</c:v>
                </c:pt>
                <c:pt idx="131">
                  <c:v>1119</c:v>
                </c:pt>
                <c:pt idx="132">
                  <c:v>1108</c:v>
                </c:pt>
              </c:numCache>
            </c:numRef>
          </c:xVal>
          <c:yVal>
            <c:numRef>
              <c:f>'Z22A'!$L$2:$L$134</c:f>
              <c:numCache>
                <c:formatCode>General</c:formatCode>
                <c:ptCount val="133"/>
                <c:pt idx="0">
                  <c:v>1</c:v>
                </c:pt>
                <c:pt idx="1">
                  <c:v>0.99242424242424243</c:v>
                </c:pt>
                <c:pt idx="2">
                  <c:v>0.98484848484848486</c:v>
                </c:pt>
                <c:pt idx="3">
                  <c:v>0.97727272727272729</c:v>
                </c:pt>
                <c:pt idx="4">
                  <c:v>0.96969696969696972</c:v>
                </c:pt>
                <c:pt idx="5">
                  <c:v>0.96212121212121215</c:v>
                </c:pt>
                <c:pt idx="6">
                  <c:v>0.95454545454545459</c:v>
                </c:pt>
                <c:pt idx="7">
                  <c:v>0.94696969696969702</c:v>
                </c:pt>
                <c:pt idx="8">
                  <c:v>0.93939393939393934</c:v>
                </c:pt>
                <c:pt idx="9">
                  <c:v>0.93181818181818188</c:v>
                </c:pt>
                <c:pt idx="10">
                  <c:v>0.92424242424242431</c:v>
                </c:pt>
                <c:pt idx="11">
                  <c:v>0.91666666666666663</c:v>
                </c:pt>
                <c:pt idx="12">
                  <c:v>0.90909090909090906</c:v>
                </c:pt>
                <c:pt idx="13">
                  <c:v>0.90151515151515149</c:v>
                </c:pt>
                <c:pt idx="14">
                  <c:v>0.89393939393939392</c:v>
                </c:pt>
                <c:pt idx="15">
                  <c:v>0.88636363636363635</c:v>
                </c:pt>
                <c:pt idx="16">
                  <c:v>0.87878787878787878</c:v>
                </c:pt>
                <c:pt idx="17">
                  <c:v>0.87121212121212122</c:v>
                </c:pt>
                <c:pt idx="18">
                  <c:v>0.86363636363636365</c:v>
                </c:pt>
                <c:pt idx="19">
                  <c:v>0.85606060606060608</c:v>
                </c:pt>
                <c:pt idx="20">
                  <c:v>0.84848484848484851</c:v>
                </c:pt>
                <c:pt idx="21">
                  <c:v>0.84090909090909094</c:v>
                </c:pt>
                <c:pt idx="22">
                  <c:v>0.83333333333333326</c:v>
                </c:pt>
                <c:pt idx="23">
                  <c:v>0.8257575757575758</c:v>
                </c:pt>
                <c:pt idx="24">
                  <c:v>0.81818181818181812</c:v>
                </c:pt>
                <c:pt idx="25">
                  <c:v>0.81060606060606055</c:v>
                </c:pt>
                <c:pt idx="26">
                  <c:v>0.80303030303030298</c:v>
                </c:pt>
                <c:pt idx="27">
                  <c:v>0.79545454545454541</c:v>
                </c:pt>
                <c:pt idx="28">
                  <c:v>0.78787878787878785</c:v>
                </c:pt>
                <c:pt idx="29">
                  <c:v>0.78030303030303028</c:v>
                </c:pt>
                <c:pt idx="30">
                  <c:v>0.77272727272727271</c:v>
                </c:pt>
                <c:pt idx="31">
                  <c:v>0.76515151515151514</c:v>
                </c:pt>
                <c:pt idx="32">
                  <c:v>0.75757575757575757</c:v>
                </c:pt>
                <c:pt idx="33">
                  <c:v>0.75</c:v>
                </c:pt>
                <c:pt idx="34">
                  <c:v>0.74242424242424243</c:v>
                </c:pt>
                <c:pt idx="35">
                  <c:v>0.73484848484848486</c:v>
                </c:pt>
                <c:pt idx="36">
                  <c:v>0.72727272727272729</c:v>
                </c:pt>
                <c:pt idx="37">
                  <c:v>0.71969696969696972</c:v>
                </c:pt>
                <c:pt idx="38">
                  <c:v>0.71212121212121215</c:v>
                </c:pt>
                <c:pt idx="39">
                  <c:v>0.70454545454545459</c:v>
                </c:pt>
                <c:pt idx="40">
                  <c:v>0.69696969696969702</c:v>
                </c:pt>
                <c:pt idx="41">
                  <c:v>0.68939393939393945</c:v>
                </c:pt>
                <c:pt idx="42">
                  <c:v>0.68181818181818188</c:v>
                </c:pt>
                <c:pt idx="43">
                  <c:v>0.67424242424242431</c:v>
                </c:pt>
                <c:pt idx="44">
                  <c:v>0.66666666666666663</c:v>
                </c:pt>
                <c:pt idx="45">
                  <c:v>0.65909090909090917</c:v>
                </c:pt>
                <c:pt idx="46">
                  <c:v>0.6515151515151516</c:v>
                </c:pt>
                <c:pt idx="47">
                  <c:v>0.64393939393939392</c:v>
                </c:pt>
                <c:pt idx="48">
                  <c:v>0.63636363636363635</c:v>
                </c:pt>
                <c:pt idx="49">
                  <c:v>0.6287878787878789</c:v>
                </c:pt>
                <c:pt idx="50">
                  <c:v>0.6212121212121211</c:v>
                </c:pt>
                <c:pt idx="51">
                  <c:v>0.61363636363636365</c:v>
                </c:pt>
                <c:pt idx="52">
                  <c:v>0.60606060606060608</c:v>
                </c:pt>
                <c:pt idx="53">
                  <c:v>0.5984848484848484</c:v>
                </c:pt>
                <c:pt idx="54">
                  <c:v>0.59090909090909083</c:v>
                </c:pt>
                <c:pt idx="55">
                  <c:v>0.58333333333333337</c:v>
                </c:pt>
                <c:pt idx="56">
                  <c:v>0.57575757575757569</c:v>
                </c:pt>
                <c:pt idx="57">
                  <c:v>0.56818181818181812</c:v>
                </c:pt>
                <c:pt idx="58">
                  <c:v>0.56060606060606055</c:v>
                </c:pt>
                <c:pt idx="59">
                  <c:v>0.55303030303030298</c:v>
                </c:pt>
                <c:pt idx="60">
                  <c:v>0.54545454545454541</c:v>
                </c:pt>
                <c:pt idx="61">
                  <c:v>0.53787878787878785</c:v>
                </c:pt>
                <c:pt idx="62">
                  <c:v>0.53030303030303028</c:v>
                </c:pt>
                <c:pt idx="63">
                  <c:v>0.52272727272727271</c:v>
                </c:pt>
                <c:pt idx="64">
                  <c:v>0.51515151515151514</c:v>
                </c:pt>
                <c:pt idx="65">
                  <c:v>0.50757575757575757</c:v>
                </c:pt>
                <c:pt idx="66">
                  <c:v>0.5</c:v>
                </c:pt>
                <c:pt idx="67">
                  <c:v>0.49242424242424243</c:v>
                </c:pt>
                <c:pt idx="68">
                  <c:v>0.48484848484848486</c:v>
                </c:pt>
                <c:pt idx="69">
                  <c:v>0.47727272727272729</c:v>
                </c:pt>
                <c:pt idx="70">
                  <c:v>0.46969696969696972</c:v>
                </c:pt>
                <c:pt idx="71">
                  <c:v>0.46212121212121204</c:v>
                </c:pt>
                <c:pt idx="72">
                  <c:v>0.45454545454545459</c:v>
                </c:pt>
                <c:pt idx="73">
                  <c:v>0.44696969696969702</c:v>
                </c:pt>
                <c:pt idx="74">
                  <c:v>0.43939393939393934</c:v>
                </c:pt>
                <c:pt idx="75">
                  <c:v>0.43181818181818177</c:v>
                </c:pt>
                <c:pt idx="76">
                  <c:v>0.42424242424242431</c:v>
                </c:pt>
                <c:pt idx="77">
                  <c:v>0.41666666666666663</c:v>
                </c:pt>
                <c:pt idx="78">
                  <c:v>0.40909090909090906</c:v>
                </c:pt>
                <c:pt idx="79">
                  <c:v>0.40151515151515149</c:v>
                </c:pt>
                <c:pt idx="80">
                  <c:v>0.39393939393939392</c:v>
                </c:pt>
                <c:pt idx="81">
                  <c:v>0.38636363636363635</c:v>
                </c:pt>
                <c:pt idx="82">
                  <c:v>0.37878787878787878</c:v>
                </c:pt>
                <c:pt idx="83">
                  <c:v>0.37121212121212122</c:v>
                </c:pt>
                <c:pt idx="84">
                  <c:v>0.36363636363636365</c:v>
                </c:pt>
                <c:pt idx="85">
                  <c:v>0.35606060606060608</c:v>
                </c:pt>
                <c:pt idx="86">
                  <c:v>0.34848484848484851</c:v>
                </c:pt>
                <c:pt idx="87">
                  <c:v>0.34090909090909094</c:v>
                </c:pt>
                <c:pt idx="88">
                  <c:v>0.33333333333333326</c:v>
                </c:pt>
                <c:pt idx="89">
                  <c:v>0.3257575757575758</c:v>
                </c:pt>
                <c:pt idx="90">
                  <c:v>0.31818181818181823</c:v>
                </c:pt>
                <c:pt idx="91">
                  <c:v>0.31060606060606055</c:v>
                </c:pt>
                <c:pt idx="92">
                  <c:v>0.30303030303030309</c:v>
                </c:pt>
                <c:pt idx="93">
                  <c:v>0.29545454545454541</c:v>
                </c:pt>
                <c:pt idx="94">
                  <c:v>0.28787878787878785</c:v>
                </c:pt>
                <c:pt idx="95">
                  <c:v>0.28030303030303039</c:v>
                </c:pt>
                <c:pt idx="96">
                  <c:v>0.27272727272727271</c:v>
                </c:pt>
                <c:pt idx="97">
                  <c:v>0.26515151515151514</c:v>
                </c:pt>
                <c:pt idx="98">
                  <c:v>0.25757575757575768</c:v>
                </c:pt>
                <c:pt idx="99">
                  <c:v>0.25</c:v>
                </c:pt>
                <c:pt idx="100">
                  <c:v>0.24242424242424232</c:v>
                </c:pt>
                <c:pt idx="101">
                  <c:v>0.23484848484848486</c:v>
                </c:pt>
                <c:pt idx="102">
                  <c:v>0.22727272727272729</c:v>
                </c:pt>
                <c:pt idx="103">
                  <c:v>0.21969696969696961</c:v>
                </c:pt>
                <c:pt idx="104">
                  <c:v>0.21212121212121215</c:v>
                </c:pt>
                <c:pt idx="105">
                  <c:v>0.20454545454545459</c:v>
                </c:pt>
                <c:pt idx="106">
                  <c:v>0.19696969696969691</c:v>
                </c:pt>
                <c:pt idx="107">
                  <c:v>0.18939393939393945</c:v>
                </c:pt>
                <c:pt idx="108">
                  <c:v>0.18181818181818177</c:v>
                </c:pt>
                <c:pt idx="109">
                  <c:v>0.1742424242424242</c:v>
                </c:pt>
                <c:pt idx="110">
                  <c:v>0.16666666666666674</c:v>
                </c:pt>
                <c:pt idx="111">
                  <c:v>0.15909090909090906</c:v>
                </c:pt>
                <c:pt idx="112">
                  <c:v>0.15151515151515149</c:v>
                </c:pt>
                <c:pt idx="113">
                  <c:v>0.14393939393939403</c:v>
                </c:pt>
                <c:pt idx="114">
                  <c:v>0.13636363636363635</c:v>
                </c:pt>
                <c:pt idx="115">
                  <c:v>0.12878787878787878</c:v>
                </c:pt>
                <c:pt idx="116">
                  <c:v>0.12121212121212122</c:v>
                </c:pt>
                <c:pt idx="117">
                  <c:v>0.11363636363636365</c:v>
                </c:pt>
                <c:pt idx="118">
                  <c:v>0.10606060606060597</c:v>
                </c:pt>
                <c:pt idx="119">
                  <c:v>9.8484848484848508E-2</c:v>
                </c:pt>
                <c:pt idx="120">
                  <c:v>9.0909090909090939E-2</c:v>
                </c:pt>
                <c:pt idx="121">
                  <c:v>8.3333333333333259E-2</c:v>
                </c:pt>
                <c:pt idx="122">
                  <c:v>7.5757575757575801E-2</c:v>
                </c:pt>
                <c:pt idx="123">
                  <c:v>6.8181818181818232E-2</c:v>
                </c:pt>
                <c:pt idx="124">
                  <c:v>6.0606060606060552E-2</c:v>
                </c:pt>
                <c:pt idx="125">
                  <c:v>5.3030303030303094E-2</c:v>
                </c:pt>
                <c:pt idx="126">
                  <c:v>4.5454545454545414E-2</c:v>
                </c:pt>
                <c:pt idx="127">
                  <c:v>3.7878787878787845E-2</c:v>
                </c:pt>
                <c:pt idx="128">
                  <c:v>3.0303030303030387E-2</c:v>
                </c:pt>
                <c:pt idx="129">
                  <c:v>2.2727272727272707E-2</c:v>
                </c:pt>
                <c:pt idx="130">
                  <c:v>1.5151515151515138E-2</c:v>
                </c:pt>
                <c:pt idx="131">
                  <c:v>7.5757575757576801E-3</c:v>
                </c:pt>
                <c:pt idx="1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6-4471-AEFE-F7CBE413C662}"/>
            </c:ext>
          </c:extLst>
        </c:ser>
        <c:ser>
          <c:idx val="1"/>
          <c:order val="1"/>
          <c:tx>
            <c:v>SOC_Maccor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'Z22A'!$AD$2:$AD$102</c:f>
              <c:numCache>
                <c:formatCode>General</c:formatCode>
                <c:ptCount val="101"/>
                <c:pt idx="0">
                  <c:v>1136</c:v>
                </c:pt>
                <c:pt idx="1">
                  <c:v>1163.576</c:v>
                </c:pt>
                <c:pt idx="2">
                  <c:v>1181.6873333333333</c:v>
                </c:pt>
                <c:pt idx="3">
                  <c:v>1195.9716666666666</c:v>
                </c:pt>
                <c:pt idx="4">
                  <c:v>1207.251</c:v>
                </c:pt>
                <c:pt idx="5">
                  <c:v>1216.2943333333333</c:v>
                </c:pt>
                <c:pt idx="6">
                  <c:v>1222.0139999999999</c:v>
                </c:pt>
                <c:pt idx="7">
                  <c:v>1224.6776666666667</c:v>
                </c:pt>
                <c:pt idx="8">
                  <c:v>1226.0613333333333</c:v>
                </c:pt>
                <c:pt idx="9">
                  <c:v>1226.9430000000002</c:v>
                </c:pt>
                <c:pt idx="10">
                  <c:v>1227.6226666666666</c:v>
                </c:pt>
                <c:pt idx="11">
                  <c:v>1228.1590000000001</c:v>
                </c:pt>
                <c:pt idx="12">
                  <c:v>1228.673</c:v>
                </c:pt>
                <c:pt idx="13">
                  <c:v>1229.4926666666665</c:v>
                </c:pt>
                <c:pt idx="14">
                  <c:v>1231.3843333333334</c:v>
                </c:pt>
                <c:pt idx="15">
                  <c:v>1233.5906666666667</c:v>
                </c:pt>
                <c:pt idx="16">
                  <c:v>1235.4019999999998</c:v>
                </c:pt>
                <c:pt idx="17">
                  <c:v>1237.0736666666667</c:v>
                </c:pt>
                <c:pt idx="18">
                  <c:v>1238.8213333333333</c:v>
                </c:pt>
                <c:pt idx="19">
                  <c:v>1240.2496666666666</c:v>
                </c:pt>
                <c:pt idx="20">
                  <c:v>1241.8890000000001</c:v>
                </c:pt>
                <c:pt idx="21">
                  <c:v>1243.4256666666668</c:v>
                </c:pt>
                <c:pt idx="22">
                  <c:v>1244.7973333333332</c:v>
                </c:pt>
                <c:pt idx="23">
                  <c:v>1245.9626666666666</c:v>
                </c:pt>
                <c:pt idx="24">
                  <c:v>1246.7166666666667</c:v>
                </c:pt>
                <c:pt idx="25">
                  <c:v>1247.8306666666665</c:v>
                </c:pt>
                <c:pt idx="26">
                  <c:v>1248.8456666666668</c:v>
                </c:pt>
                <c:pt idx="27">
                  <c:v>1250.0846666666666</c:v>
                </c:pt>
                <c:pt idx="28">
                  <c:v>1251.3140000000001</c:v>
                </c:pt>
                <c:pt idx="29">
                  <c:v>1252.4409999999998</c:v>
                </c:pt>
                <c:pt idx="30">
                  <c:v>1253.6703333333332</c:v>
                </c:pt>
                <c:pt idx="31">
                  <c:v>1255.2026666666668</c:v>
                </c:pt>
                <c:pt idx="32">
                  <c:v>1255.924</c:v>
                </c:pt>
                <c:pt idx="33">
                  <c:v>1257.0683333333334</c:v>
                </c:pt>
                <c:pt idx="34">
                  <c:v>1258.0753333333334</c:v>
                </c:pt>
                <c:pt idx="35">
                  <c:v>1259.2736666666667</c:v>
                </c:pt>
                <c:pt idx="36">
                  <c:v>1260.1596666666667</c:v>
                </c:pt>
                <c:pt idx="37">
                  <c:v>1261.0463333333332</c:v>
                </c:pt>
                <c:pt idx="38">
                  <c:v>1261.9686666666666</c:v>
                </c:pt>
                <c:pt idx="39">
                  <c:v>1262.788</c:v>
                </c:pt>
                <c:pt idx="40">
                  <c:v>1263.8890000000001</c:v>
                </c:pt>
                <c:pt idx="41">
                  <c:v>1264.7346666666667</c:v>
                </c:pt>
                <c:pt idx="42">
                  <c:v>1265.4996666666666</c:v>
                </c:pt>
                <c:pt idx="43">
                  <c:v>1266.4323333333334</c:v>
                </c:pt>
                <c:pt idx="44">
                  <c:v>1267.6896666666667</c:v>
                </c:pt>
                <c:pt idx="45">
                  <c:v>1268.4180000000001</c:v>
                </c:pt>
                <c:pt idx="46">
                  <c:v>1269.3446666666669</c:v>
                </c:pt>
                <c:pt idx="47">
                  <c:v>1270.2836666666665</c:v>
                </c:pt>
                <c:pt idx="48">
                  <c:v>1271.5326666666667</c:v>
                </c:pt>
                <c:pt idx="49">
                  <c:v>1272.5206666666666</c:v>
                </c:pt>
                <c:pt idx="50">
                  <c:v>1273.5449999999998</c:v>
                </c:pt>
                <c:pt idx="51">
                  <c:v>1274.672</c:v>
                </c:pt>
                <c:pt idx="52">
                  <c:v>1275.9013333333332</c:v>
                </c:pt>
                <c:pt idx="53">
                  <c:v>1277.3213333333333</c:v>
                </c:pt>
                <c:pt idx="54">
                  <c:v>1278.385</c:v>
                </c:pt>
                <c:pt idx="55">
                  <c:v>1279.6256666666668</c:v>
                </c:pt>
                <c:pt idx="56">
                  <c:v>1280.9766666666667</c:v>
                </c:pt>
                <c:pt idx="57">
                  <c:v>1282.6353333333334</c:v>
                </c:pt>
                <c:pt idx="58">
                  <c:v>1283.7896666666666</c:v>
                </c:pt>
                <c:pt idx="59">
                  <c:v>1285.2240000000002</c:v>
                </c:pt>
                <c:pt idx="60">
                  <c:v>1286.8633333333335</c:v>
                </c:pt>
                <c:pt idx="61">
                  <c:v>1288.6783333333333</c:v>
                </c:pt>
                <c:pt idx="62">
                  <c:v>1290.3463333333334</c:v>
                </c:pt>
                <c:pt idx="63">
                  <c:v>1292.2460000000001</c:v>
                </c:pt>
                <c:pt idx="64">
                  <c:v>1294.4083333333333</c:v>
                </c:pt>
                <c:pt idx="65">
                  <c:v>1296.7756666666667</c:v>
                </c:pt>
                <c:pt idx="66">
                  <c:v>1299.5696666666668</c:v>
                </c:pt>
                <c:pt idx="67">
                  <c:v>1302.2303333333334</c:v>
                </c:pt>
                <c:pt idx="68">
                  <c:v>1304.8690000000001</c:v>
                </c:pt>
                <c:pt idx="69">
                  <c:v>1307.3526666666667</c:v>
                </c:pt>
                <c:pt idx="70">
                  <c:v>1310.2463333333335</c:v>
                </c:pt>
                <c:pt idx="71">
                  <c:v>1312.27</c:v>
                </c:pt>
                <c:pt idx="72">
                  <c:v>1314.5240000000001</c:v>
                </c:pt>
                <c:pt idx="73">
                  <c:v>1316.778</c:v>
                </c:pt>
                <c:pt idx="74">
                  <c:v>1319.4363333333333</c:v>
                </c:pt>
                <c:pt idx="75">
                  <c:v>1321.4576666666667</c:v>
                </c:pt>
                <c:pt idx="76">
                  <c:v>1323.6420000000001</c:v>
                </c:pt>
                <c:pt idx="77">
                  <c:v>1325.8483333333334</c:v>
                </c:pt>
                <c:pt idx="78">
                  <c:v>1328.1193333333333</c:v>
                </c:pt>
                <c:pt idx="79">
                  <c:v>1330.7106666666666</c:v>
                </c:pt>
                <c:pt idx="80">
                  <c:v>1332.8646666666668</c:v>
                </c:pt>
                <c:pt idx="81">
                  <c:v>1335.3073333333334</c:v>
                </c:pt>
                <c:pt idx="82">
                  <c:v>1337.7796666666668</c:v>
                </c:pt>
                <c:pt idx="83">
                  <c:v>1340.7006666666668</c:v>
                </c:pt>
                <c:pt idx="84">
                  <c:v>1342.941</c:v>
                </c:pt>
                <c:pt idx="85">
                  <c:v>1345.463</c:v>
                </c:pt>
                <c:pt idx="86">
                  <c:v>1348.1096666666667</c:v>
                </c:pt>
                <c:pt idx="87">
                  <c:v>1351.1373333333331</c:v>
                </c:pt>
                <c:pt idx="88">
                  <c:v>1353.395</c:v>
                </c:pt>
                <c:pt idx="89">
                  <c:v>1356.1176666666668</c:v>
                </c:pt>
                <c:pt idx="90">
                  <c:v>1358.7230000000002</c:v>
                </c:pt>
                <c:pt idx="91">
                  <c:v>1361.5473333333332</c:v>
                </c:pt>
                <c:pt idx="92">
                  <c:v>1364.5183333333334</c:v>
                </c:pt>
                <c:pt idx="93">
                  <c:v>1367.2763333333335</c:v>
                </c:pt>
                <c:pt idx="94">
                  <c:v>1370.153</c:v>
                </c:pt>
                <c:pt idx="95">
                  <c:v>1373.0213333333331</c:v>
                </c:pt>
                <c:pt idx="96">
                  <c:v>1376.3216666666667</c:v>
                </c:pt>
                <c:pt idx="97">
                  <c:v>1379.1683333333333</c:v>
                </c:pt>
                <c:pt idx="98">
                  <c:v>1382.4079999999999</c:v>
                </c:pt>
                <c:pt idx="99">
                  <c:v>1385.9579999999999</c:v>
                </c:pt>
                <c:pt idx="100">
                  <c:v>1400.0000000000002</c:v>
                </c:pt>
              </c:numCache>
            </c:numRef>
          </c:xVal>
          <c:yVal>
            <c:numRef>
              <c:f>'Z22A'!$AE$2:$AE$102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6-4471-AEFE-F7CBE413C662}"/>
            </c:ext>
          </c:extLst>
        </c:ser>
        <c:ser>
          <c:idx val="2"/>
          <c:order val="2"/>
          <c:tx>
            <c:v>Mo Z22A PWL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'Z22A'!$N$40:$N$46</c:f>
              <c:numCache>
                <c:formatCode>General</c:formatCode>
                <c:ptCount val="7"/>
                <c:pt idx="0">
                  <c:v>1136</c:v>
                </c:pt>
                <c:pt idx="1">
                  <c:v>1192</c:v>
                </c:pt>
                <c:pt idx="2">
                  <c:v>1209</c:v>
                </c:pt>
                <c:pt idx="3">
                  <c:v>1236</c:v>
                </c:pt>
                <c:pt idx="4">
                  <c:v>1266</c:v>
                </c:pt>
                <c:pt idx="5">
                  <c:v>1337</c:v>
                </c:pt>
                <c:pt idx="6">
                  <c:v>1400</c:v>
                </c:pt>
              </c:numCache>
            </c:numRef>
          </c:xVal>
          <c:yVal>
            <c:numRef>
              <c:f>'Z22A'!$O$40:$O$46</c:f>
              <c:numCache>
                <c:formatCode>0%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6-4471-AEFE-F7CBE413C662}"/>
            </c:ext>
          </c:extLst>
        </c:ser>
        <c:ser>
          <c:idx val="3"/>
          <c:order val="3"/>
          <c:tx>
            <c:v>Proposed Z22A PWL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'Z22A'!$R$40:$R$46</c:f>
              <c:numCache>
                <c:formatCode>General</c:formatCode>
                <c:ptCount val="7"/>
                <c:pt idx="0">
                  <c:v>1123</c:v>
                </c:pt>
                <c:pt idx="1">
                  <c:v>1176</c:v>
                </c:pt>
                <c:pt idx="2">
                  <c:v>1205</c:v>
                </c:pt>
                <c:pt idx="3">
                  <c:v>1229</c:v>
                </c:pt>
                <c:pt idx="4">
                  <c:v>1267</c:v>
                </c:pt>
                <c:pt idx="5">
                  <c:v>1337</c:v>
                </c:pt>
                <c:pt idx="6">
                  <c:v>1420</c:v>
                </c:pt>
              </c:numCache>
            </c:numRef>
          </c:xVal>
          <c:yVal>
            <c:numRef>
              <c:f>'Z22A'!$S$40:$S$46</c:f>
              <c:numCache>
                <c:formatCode>0%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46-4471-AEFE-F7CBE413C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485647"/>
        <c:axId val="168985503"/>
      </c:scatterChart>
      <c:valAx>
        <c:axId val="335485647"/>
        <c:scaling>
          <c:orientation val="minMax"/>
          <c:max val="1400"/>
          <c:min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VHA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503"/>
        <c:crosses val="autoZero"/>
        <c:crossBetween val="midCat"/>
      </c:valAx>
      <c:valAx>
        <c:axId val="1689855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SOC(%)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8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151861399607885"/>
          <c:y val="0.20502592317525509"/>
          <c:w val="0.29726562499999998"/>
          <c:h val="0.304343832020997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Accu60!$B$1</c:f>
              <c:strCache>
                <c:ptCount val="1"/>
                <c:pt idx="0">
                  <c:v>SOC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Accu60!$A$2:$A$102</c:f>
              <c:numCache>
                <c:formatCode>General</c:formatCode>
                <c:ptCount val="101"/>
                <c:pt idx="0">
                  <c:v>1138</c:v>
                </c:pt>
                <c:pt idx="1">
                  <c:v>1142.6000000000001</c:v>
                </c:pt>
                <c:pt idx="2">
                  <c:v>1145.7</c:v>
                </c:pt>
                <c:pt idx="3">
                  <c:v>1148</c:v>
                </c:pt>
                <c:pt idx="4">
                  <c:v>1150</c:v>
                </c:pt>
                <c:pt idx="5">
                  <c:v>1151.5999999999999</c:v>
                </c:pt>
                <c:pt idx="6">
                  <c:v>1153.2</c:v>
                </c:pt>
                <c:pt idx="7">
                  <c:v>1154.9000000000001</c:v>
                </c:pt>
                <c:pt idx="8">
                  <c:v>1156.6000000000001</c:v>
                </c:pt>
                <c:pt idx="9">
                  <c:v>1159.3</c:v>
                </c:pt>
                <c:pt idx="10">
                  <c:v>1162.4000000000001</c:v>
                </c:pt>
                <c:pt idx="11">
                  <c:v>1165.8999999999999</c:v>
                </c:pt>
                <c:pt idx="12">
                  <c:v>1169.1000000000001</c:v>
                </c:pt>
                <c:pt idx="13">
                  <c:v>1171.8</c:v>
                </c:pt>
                <c:pt idx="14">
                  <c:v>1174.6000000000001</c:v>
                </c:pt>
                <c:pt idx="15">
                  <c:v>1177.3</c:v>
                </c:pt>
                <c:pt idx="16">
                  <c:v>1179.3</c:v>
                </c:pt>
                <c:pt idx="17">
                  <c:v>1181.4000000000001</c:v>
                </c:pt>
                <c:pt idx="18">
                  <c:v>1183.5</c:v>
                </c:pt>
                <c:pt idx="19">
                  <c:v>1185.3</c:v>
                </c:pt>
                <c:pt idx="20">
                  <c:v>1187.2</c:v>
                </c:pt>
                <c:pt idx="21">
                  <c:v>1189.3</c:v>
                </c:pt>
                <c:pt idx="22">
                  <c:v>1191</c:v>
                </c:pt>
                <c:pt idx="23">
                  <c:v>1192.5</c:v>
                </c:pt>
                <c:pt idx="24">
                  <c:v>1194</c:v>
                </c:pt>
                <c:pt idx="25">
                  <c:v>1195.5</c:v>
                </c:pt>
                <c:pt idx="26">
                  <c:v>1196.9000000000001</c:v>
                </c:pt>
                <c:pt idx="27">
                  <c:v>1198.0999999999999</c:v>
                </c:pt>
                <c:pt idx="28">
                  <c:v>1199.3</c:v>
                </c:pt>
                <c:pt idx="29">
                  <c:v>1200.3999999999999</c:v>
                </c:pt>
                <c:pt idx="30">
                  <c:v>1201.5</c:v>
                </c:pt>
                <c:pt idx="31">
                  <c:v>1202.5999999999999</c:v>
                </c:pt>
                <c:pt idx="32">
                  <c:v>1203.8</c:v>
                </c:pt>
                <c:pt idx="33">
                  <c:v>1205</c:v>
                </c:pt>
                <c:pt idx="34">
                  <c:v>1206.2</c:v>
                </c:pt>
                <c:pt idx="35">
                  <c:v>1207.3</c:v>
                </c:pt>
                <c:pt idx="36">
                  <c:v>1208.3</c:v>
                </c:pt>
                <c:pt idx="37">
                  <c:v>1209.3</c:v>
                </c:pt>
                <c:pt idx="38">
                  <c:v>1210.5</c:v>
                </c:pt>
                <c:pt idx="39">
                  <c:v>1211.8</c:v>
                </c:pt>
                <c:pt idx="40">
                  <c:v>1213.1000000000001</c:v>
                </c:pt>
                <c:pt idx="41">
                  <c:v>1214.3999999999999</c:v>
                </c:pt>
                <c:pt idx="42">
                  <c:v>1215.7</c:v>
                </c:pt>
                <c:pt idx="43">
                  <c:v>1217.1000000000001</c:v>
                </c:pt>
                <c:pt idx="44">
                  <c:v>1218.3</c:v>
                </c:pt>
                <c:pt idx="45">
                  <c:v>1219.5999999999999</c:v>
                </c:pt>
                <c:pt idx="46">
                  <c:v>1221.5</c:v>
                </c:pt>
                <c:pt idx="47">
                  <c:v>1223.5999999999999</c:v>
                </c:pt>
                <c:pt idx="48">
                  <c:v>1225.2</c:v>
                </c:pt>
                <c:pt idx="49">
                  <c:v>1226.9000000000001</c:v>
                </c:pt>
                <c:pt idx="50">
                  <c:v>1229.3</c:v>
                </c:pt>
                <c:pt idx="51">
                  <c:v>1231.5</c:v>
                </c:pt>
                <c:pt idx="52">
                  <c:v>1233.7</c:v>
                </c:pt>
                <c:pt idx="53">
                  <c:v>1236.6999999999998</c:v>
                </c:pt>
                <c:pt idx="54">
                  <c:v>1239.4000000000001</c:v>
                </c:pt>
                <c:pt idx="55">
                  <c:v>1243.4000000000001</c:v>
                </c:pt>
                <c:pt idx="56">
                  <c:v>1246.0999999999999</c:v>
                </c:pt>
                <c:pt idx="57">
                  <c:v>1250.3999999999999</c:v>
                </c:pt>
                <c:pt idx="58">
                  <c:v>1253</c:v>
                </c:pt>
                <c:pt idx="59">
                  <c:v>1257.2</c:v>
                </c:pt>
                <c:pt idx="60">
                  <c:v>1259.7</c:v>
                </c:pt>
                <c:pt idx="61">
                  <c:v>1262.3999999999999</c:v>
                </c:pt>
                <c:pt idx="62">
                  <c:v>1265.7</c:v>
                </c:pt>
                <c:pt idx="63">
                  <c:v>1268.5999999999999</c:v>
                </c:pt>
                <c:pt idx="64">
                  <c:v>1271.8</c:v>
                </c:pt>
                <c:pt idx="65">
                  <c:v>1275</c:v>
                </c:pt>
                <c:pt idx="66">
                  <c:v>1277.9000000000001</c:v>
                </c:pt>
                <c:pt idx="67">
                  <c:v>1281.0999999999999</c:v>
                </c:pt>
                <c:pt idx="68">
                  <c:v>1284.3</c:v>
                </c:pt>
                <c:pt idx="69">
                  <c:v>1287.7</c:v>
                </c:pt>
                <c:pt idx="70">
                  <c:v>1290.3</c:v>
                </c:pt>
                <c:pt idx="71">
                  <c:v>1293.9000000000001</c:v>
                </c:pt>
                <c:pt idx="72">
                  <c:v>1296.4000000000001</c:v>
                </c:pt>
                <c:pt idx="73">
                  <c:v>1300.1000000000001</c:v>
                </c:pt>
                <c:pt idx="74">
                  <c:v>1302.5999999999999</c:v>
                </c:pt>
                <c:pt idx="75">
                  <c:v>1305.5</c:v>
                </c:pt>
                <c:pt idx="76">
                  <c:v>1308.7</c:v>
                </c:pt>
                <c:pt idx="77">
                  <c:v>1311.6000000000001</c:v>
                </c:pt>
                <c:pt idx="78">
                  <c:v>1314.7</c:v>
                </c:pt>
                <c:pt idx="79">
                  <c:v>1318</c:v>
                </c:pt>
                <c:pt idx="80">
                  <c:v>1321</c:v>
                </c:pt>
                <c:pt idx="81">
                  <c:v>1324.4</c:v>
                </c:pt>
                <c:pt idx="82">
                  <c:v>1327.7</c:v>
                </c:pt>
                <c:pt idx="83">
                  <c:v>1331.3</c:v>
                </c:pt>
                <c:pt idx="84">
                  <c:v>1334.4</c:v>
                </c:pt>
                <c:pt idx="85">
                  <c:v>1337.9</c:v>
                </c:pt>
                <c:pt idx="86">
                  <c:v>1341.1</c:v>
                </c:pt>
                <c:pt idx="87">
                  <c:v>1344.7</c:v>
                </c:pt>
                <c:pt idx="88">
                  <c:v>1348</c:v>
                </c:pt>
                <c:pt idx="89">
                  <c:v>1351.5</c:v>
                </c:pt>
                <c:pt idx="90">
                  <c:v>1354.9</c:v>
                </c:pt>
                <c:pt idx="91">
                  <c:v>1358.5</c:v>
                </c:pt>
                <c:pt idx="92">
                  <c:v>1362</c:v>
                </c:pt>
                <c:pt idx="93">
                  <c:v>1365.8999999999999</c:v>
                </c:pt>
                <c:pt idx="94">
                  <c:v>1369.3999999999999</c:v>
                </c:pt>
                <c:pt idx="95">
                  <c:v>1373.8</c:v>
                </c:pt>
                <c:pt idx="96">
                  <c:v>1377.3999999999999</c:v>
                </c:pt>
                <c:pt idx="97">
                  <c:v>1381.5</c:v>
                </c:pt>
                <c:pt idx="98">
                  <c:v>1385.6999999999998</c:v>
                </c:pt>
                <c:pt idx="99">
                  <c:v>1390.3000000000002</c:v>
                </c:pt>
                <c:pt idx="100">
                  <c:v>1400</c:v>
                </c:pt>
              </c:numCache>
            </c:numRef>
          </c:xVal>
          <c:yVal>
            <c:numRef>
              <c:f>Accu60!$B$2:$B$102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4-4DD9-8C7E-51B64D247F9C}"/>
            </c:ext>
          </c:extLst>
        </c:ser>
        <c:ser>
          <c:idx val="1"/>
          <c:order val="1"/>
          <c:tx>
            <c:v>SOC_shift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Accu60!$C$2:$C$102</c:f>
              <c:numCache>
                <c:formatCode>General</c:formatCode>
                <c:ptCount val="101"/>
                <c:pt idx="0">
                  <c:v>1123</c:v>
                </c:pt>
                <c:pt idx="1">
                  <c:v>1127.6000000000001</c:v>
                </c:pt>
                <c:pt idx="2">
                  <c:v>1130.7</c:v>
                </c:pt>
                <c:pt idx="3">
                  <c:v>1133</c:v>
                </c:pt>
                <c:pt idx="4">
                  <c:v>1135</c:v>
                </c:pt>
                <c:pt idx="5">
                  <c:v>1136.5999999999999</c:v>
                </c:pt>
                <c:pt idx="6">
                  <c:v>1138.2</c:v>
                </c:pt>
                <c:pt idx="7">
                  <c:v>1139.9000000000001</c:v>
                </c:pt>
                <c:pt idx="8">
                  <c:v>1141.6000000000001</c:v>
                </c:pt>
                <c:pt idx="9">
                  <c:v>1144.3</c:v>
                </c:pt>
                <c:pt idx="10">
                  <c:v>1147.4000000000001</c:v>
                </c:pt>
                <c:pt idx="11">
                  <c:v>1150.8999999999999</c:v>
                </c:pt>
                <c:pt idx="12">
                  <c:v>1154.1000000000001</c:v>
                </c:pt>
                <c:pt idx="13">
                  <c:v>1156.8</c:v>
                </c:pt>
                <c:pt idx="14">
                  <c:v>1159.6000000000001</c:v>
                </c:pt>
                <c:pt idx="15">
                  <c:v>1162.3</c:v>
                </c:pt>
                <c:pt idx="16">
                  <c:v>1164.3</c:v>
                </c:pt>
                <c:pt idx="17">
                  <c:v>1166.4000000000001</c:v>
                </c:pt>
                <c:pt idx="18">
                  <c:v>1168.5</c:v>
                </c:pt>
                <c:pt idx="19">
                  <c:v>1170.3</c:v>
                </c:pt>
                <c:pt idx="20">
                  <c:v>1172.2</c:v>
                </c:pt>
                <c:pt idx="21">
                  <c:v>1174.3</c:v>
                </c:pt>
                <c:pt idx="22">
                  <c:v>1176</c:v>
                </c:pt>
                <c:pt idx="23">
                  <c:v>1177.5</c:v>
                </c:pt>
                <c:pt idx="24">
                  <c:v>1179</c:v>
                </c:pt>
                <c:pt idx="25">
                  <c:v>1180.5</c:v>
                </c:pt>
                <c:pt idx="26">
                  <c:v>1181.9000000000001</c:v>
                </c:pt>
                <c:pt idx="27">
                  <c:v>1183.0999999999999</c:v>
                </c:pt>
                <c:pt idx="28">
                  <c:v>1184.3</c:v>
                </c:pt>
                <c:pt idx="29">
                  <c:v>1185.3999999999999</c:v>
                </c:pt>
                <c:pt idx="30">
                  <c:v>1186.5</c:v>
                </c:pt>
                <c:pt idx="31">
                  <c:v>1187.5999999999999</c:v>
                </c:pt>
                <c:pt idx="32">
                  <c:v>1188.8</c:v>
                </c:pt>
                <c:pt idx="33">
                  <c:v>1190</c:v>
                </c:pt>
                <c:pt idx="34">
                  <c:v>1191.2</c:v>
                </c:pt>
                <c:pt idx="35">
                  <c:v>1192.3</c:v>
                </c:pt>
                <c:pt idx="36">
                  <c:v>1193.3</c:v>
                </c:pt>
                <c:pt idx="37">
                  <c:v>1194.3</c:v>
                </c:pt>
                <c:pt idx="38">
                  <c:v>1195.5</c:v>
                </c:pt>
                <c:pt idx="39">
                  <c:v>1196.8</c:v>
                </c:pt>
                <c:pt idx="40">
                  <c:v>1198.1000000000001</c:v>
                </c:pt>
                <c:pt idx="41">
                  <c:v>1199.3999999999999</c:v>
                </c:pt>
                <c:pt idx="42">
                  <c:v>1200.7</c:v>
                </c:pt>
                <c:pt idx="43">
                  <c:v>1202.1000000000001</c:v>
                </c:pt>
                <c:pt idx="44">
                  <c:v>1203.3</c:v>
                </c:pt>
                <c:pt idx="45">
                  <c:v>1204.5999999999999</c:v>
                </c:pt>
                <c:pt idx="46">
                  <c:v>1206.5</c:v>
                </c:pt>
                <c:pt idx="47">
                  <c:v>1208.5999999999999</c:v>
                </c:pt>
                <c:pt idx="48">
                  <c:v>1210.2</c:v>
                </c:pt>
                <c:pt idx="49">
                  <c:v>1211.9000000000001</c:v>
                </c:pt>
                <c:pt idx="50">
                  <c:v>1214.3</c:v>
                </c:pt>
                <c:pt idx="51">
                  <c:v>1216.5</c:v>
                </c:pt>
                <c:pt idx="52">
                  <c:v>1218.7</c:v>
                </c:pt>
                <c:pt idx="53">
                  <c:v>1221.6999999999998</c:v>
                </c:pt>
                <c:pt idx="54">
                  <c:v>1224.4000000000001</c:v>
                </c:pt>
                <c:pt idx="55">
                  <c:v>1228.4000000000001</c:v>
                </c:pt>
                <c:pt idx="56">
                  <c:v>1231.0999999999999</c:v>
                </c:pt>
                <c:pt idx="57">
                  <c:v>1235.3999999999999</c:v>
                </c:pt>
                <c:pt idx="58">
                  <c:v>1238</c:v>
                </c:pt>
                <c:pt idx="59">
                  <c:v>1242.2</c:v>
                </c:pt>
                <c:pt idx="60">
                  <c:v>1244.7</c:v>
                </c:pt>
                <c:pt idx="61">
                  <c:v>1247.3999999999999</c:v>
                </c:pt>
                <c:pt idx="62">
                  <c:v>1250.7</c:v>
                </c:pt>
                <c:pt idx="63">
                  <c:v>1253.5999999999999</c:v>
                </c:pt>
                <c:pt idx="64">
                  <c:v>1256.8</c:v>
                </c:pt>
                <c:pt idx="65">
                  <c:v>1260</c:v>
                </c:pt>
                <c:pt idx="66">
                  <c:v>1262.9000000000001</c:v>
                </c:pt>
                <c:pt idx="67">
                  <c:v>1266.0999999999999</c:v>
                </c:pt>
                <c:pt idx="68">
                  <c:v>1269.3</c:v>
                </c:pt>
                <c:pt idx="69">
                  <c:v>1272.7</c:v>
                </c:pt>
                <c:pt idx="70">
                  <c:v>1275.3</c:v>
                </c:pt>
                <c:pt idx="71">
                  <c:v>1278.9000000000001</c:v>
                </c:pt>
                <c:pt idx="72">
                  <c:v>1281.4000000000001</c:v>
                </c:pt>
                <c:pt idx="73">
                  <c:v>1285.1000000000001</c:v>
                </c:pt>
                <c:pt idx="74">
                  <c:v>1287.5999999999999</c:v>
                </c:pt>
                <c:pt idx="75">
                  <c:v>1290.5</c:v>
                </c:pt>
                <c:pt idx="76">
                  <c:v>1293.7</c:v>
                </c:pt>
                <c:pt idx="77">
                  <c:v>1296.6000000000001</c:v>
                </c:pt>
                <c:pt idx="78">
                  <c:v>1299.7</c:v>
                </c:pt>
                <c:pt idx="79">
                  <c:v>1303</c:v>
                </c:pt>
                <c:pt idx="80">
                  <c:v>1306</c:v>
                </c:pt>
                <c:pt idx="81">
                  <c:v>1309.4000000000001</c:v>
                </c:pt>
                <c:pt idx="82">
                  <c:v>1312.7</c:v>
                </c:pt>
                <c:pt idx="83">
                  <c:v>1316.3</c:v>
                </c:pt>
                <c:pt idx="84">
                  <c:v>1319.4</c:v>
                </c:pt>
                <c:pt idx="85">
                  <c:v>1322.9</c:v>
                </c:pt>
                <c:pt idx="86">
                  <c:v>1326.1</c:v>
                </c:pt>
                <c:pt idx="87">
                  <c:v>1329.7</c:v>
                </c:pt>
                <c:pt idx="88">
                  <c:v>1333</c:v>
                </c:pt>
                <c:pt idx="89">
                  <c:v>1336.5</c:v>
                </c:pt>
                <c:pt idx="90">
                  <c:v>1339.9</c:v>
                </c:pt>
                <c:pt idx="91">
                  <c:v>1343.5</c:v>
                </c:pt>
                <c:pt idx="92">
                  <c:v>1347</c:v>
                </c:pt>
                <c:pt idx="93">
                  <c:v>1350.8999999999999</c:v>
                </c:pt>
                <c:pt idx="94">
                  <c:v>1354.3999999999999</c:v>
                </c:pt>
                <c:pt idx="95">
                  <c:v>1358.8</c:v>
                </c:pt>
                <c:pt idx="96">
                  <c:v>1362.3999999999999</c:v>
                </c:pt>
                <c:pt idx="97">
                  <c:v>1366.5</c:v>
                </c:pt>
                <c:pt idx="98">
                  <c:v>1370.6999999999998</c:v>
                </c:pt>
                <c:pt idx="99">
                  <c:v>1375.3000000000002</c:v>
                </c:pt>
                <c:pt idx="100">
                  <c:v>1385</c:v>
                </c:pt>
              </c:numCache>
            </c:numRef>
          </c:xVal>
          <c:yVal>
            <c:numRef>
              <c:f>Accu60!$B$2:$B$102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4-4DD9-8C7E-51B64D247F9C}"/>
            </c:ext>
          </c:extLst>
        </c:ser>
        <c:ser>
          <c:idx val="2"/>
          <c:order val="2"/>
          <c:tx>
            <c:v>Accu60_PWL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Accu60!$F$33:$F$39</c:f>
              <c:numCache>
                <c:formatCode>General</c:formatCode>
                <c:ptCount val="7"/>
                <c:pt idx="0">
                  <c:v>1123</c:v>
                </c:pt>
                <c:pt idx="1">
                  <c:v>1135</c:v>
                </c:pt>
                <c:pt idx="2">
                  <c:v>1147.4000000000001</c:v>
                </c:pt>
                <c:pt idx="3">
                  <c:v>1186.5</c:v>
                </c:pt>
                <c:pt idx="4">
                  <c:v>1244.7</c:v>
                </c:pt>
                <c:pt idx="5">
                  <c:v>1337</c:v>
                </c:pt>
                <c:pt idx="6">
                  <c:v>1420</c:v>
                </c:pt>
              </c:numCache>
            </c:numRef>
          </c:xVal>
          <c:yVal>
            <c:numRef>
              <c:f>Accu60!$G$33:$G$39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4-4DD9-8C7E-51B64D247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926688"/>
        <c:axId val="1467927648"/>
      </c:scatterChart>
      <c:valAx>
        <c:axId val="1467926688"/>
        <c:scaling>
          <c:orientation val="minMax"/>
          <c:max val="1400"/>
          <c:min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27648"/>
        <c:crosses val="autoZero"/>
        <c:crossBetween val="midCat"/>
      </c:valAx>
      <c:valAx>
        <c:axId val="14679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2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Piecewise</a:t>
            </a:r>
            <a:r>
              <a:rPr lang="en-US" b="1" baseline="0">
                <a:solidFill>
                  <a:schemeClr val="tx1"/>
                </a:solidFill>
              </a:rPr>
              <a:t> Linear SOC Functions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1979068241469816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261986001749782"/>
          <c:y val="0.16849555263925342"/>
          <c:w val="0.8132134733158356"/>
          <c:h val="0.64305737824438614"/>
        </c:manualLayout>
      </c:layout>
      <c:scatterChart>
        <c:scatterStyle val="lineMarker"/>
        <c:varyColors val="0"/>
        <c:ser>
          <c:idx val="4"/>
          <c:order val="0"/>
          <c:tx>
            <c:v>Varta PWL SOC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Accu60!$F$33:$F$39</c:f>
              <c:numCache>
                <c:formatCode>General</c:formatCode>
                <c:ptCount val="7"/>
                <c:pt idx="0">
                  <c:v>1123</c:v>
                </c:pt>
                <c:pt idx="1">
                  <c:v>1135</c:v>
                </c:pt>
                <c:pt idx="2">
                  <c:v>1147.4000000000001</c:v>
                </c:pt>
                <c:pt idx="3">
                  <c:v>1186.5</c:v>
                </c:pt>
                <c:pt idx="4">
                  <c:v>1244.7</c:v>
                </c:pt>
                <c:pt idx="5">
                  <c:v>1337</c:v>
                </c:pt>
                <c:pt idx="6">
                  <c:v>1420</c:v>
                </c:pt>
              </c:numCache>
            </c:numRef>
          </c:xVal>
          <c:yVal>
            <c:numRef>
              <c:f>Accu60!$G$33:$G$39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90-431A-BA3B-0A0206083DA0}"/>
            </c:ext>
          </c:extLst>
        </c:ser>
        <c:ser>
          <c:idx val="5"/>
          <c:order val="1"/>
          <c:tx>
            <c:v>Average PWL SOC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Accu60!$J$33:$J$39</c:f>
              <c:numCache>
                <c:formatCode>0.0</c:formatCode>
                <c:ptCount val="7"/>
                <c:pt idx="0">
                  <c:v>1123</c:v>
                </c:pt>
                <c:pt idx="1">
                  <c:v>1155.5</c:v>
                </c:pt>
                <c:pt idx="2">
                  <c:v>1176.2</c:v>
                </c:pt>
                <c:pt idx="3">
                  <c:v>1207.75</c:v>
                </c:pt>
                <c:pt idx="4">
                  <c:v>1255.8499999999999</c:v>
                </c:pt>
                <c:pt idx="5">
                  <c:v>1337</c:v>
                </c:pt>
                <c:pt idx="6">
                  <c:v>1420</c:v>
                </c:pt>
              </c:numCache>
            </c:numRef>
          </c:xVal>
          <c:yVal>
            <c:numRef>
              <c:f>Accu60!$K$33:$K$39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90-431A-BA3B-0A0206083DA0}"/>
            </c:ext>
          </c:extLst>
        </c:ser>
        <c:ser>
          <c:idx val="3"/>
          <c:order val="2"/>
          <c:tx>
            <c:v>Zeni PWL SOC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Accu60!$F$23:$F$29</c:f>
              <c:numCache>
                <c:formatCode>General</c:formatCode>
                <c:ptCount val="7"/>
                <c:pt idx="0">
                  <c:v>1123</c:v>
                </c:pt>
                <c:pt idx="1">
                  <c:v>1176</c:v>
                </c:pt>
                <c:pt idx="2">
                  <c:v>1205</c:v>
                </c:pt>
                <c:pt idx="3">
                  <c:v>1229</c:v>
                </c:pt>
                <c:pt idx="4">
                  <c:v>1267</c:v>
                </c:pt>
                <c:pt idx="5">
                  <c:v>1337</c:v>
                </c:pt>
                <c:pt idx="6">
                  <c:v>1420</c:v>
                </c:pt>
              </c:numCache>
            </c:numRef>
          </c:xVal>
          <c:yVal>
            <c:numRef>
              <c:f>Accu60!$G$23:$G$29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0.1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90-431A-BA3B-0A0206083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42415"/>
        <c:axId val="451242895"/>
        <c:extLst/>
      </c:scatterChart>
      <c:valAx>
        <c:axId val="451242415"/>
        <c:scaling>
          <c:orientation val="minMax"/>
          <c:max val="1420"/>
          <c:min val="1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VHA</a:t>
                </a:r>
                <a:r>
                  <a:rPr lang="en-US" b="1" baseline="0">
                    <a:solidFill>
                      <a:schemeClr val="tx1"/>
                    </a:solidFill>
                  </a:rPr>
                  <a:t> (Volts)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231189761344037"/>
              <c:y val="0.892849227179935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42895"/>
        <c:crossesAt val="-0.4"/>
        <c:crossBetween val="midCat"/>
        <c:majorUnit val="50"/>
        <c:minorUnit val="10"/>
      </c:valAx>
      <c:valAx>
        <c:axId val="4512428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SOC (Error)</a:t>
                </a:r>
              </a:p>
            </c:rich>
          </c:tx>
          <c:layout>
            <c:manualLayout>
              <c:xMode val="edge"/>
              <c:yMode val="edge"/>
              <c:x val="1.6458361479399348E-2"/>
              <c:y val="0.318866652085156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42415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55487948381452323"/>
          <c:y val="0.55405803441236512"/>
          <c:w val="0.35599825021872267"/>
          <c:h val="0.187197069116360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SOC</a:t>
            </a:r>
            <a:r>
              <a:rPr lang="en-US" b="1" baseline="0"/>
              <a:t> Errors Versus VHA</a:t>
            </a:r>
            <a:endParaRPr lang="en-US" b="1"/>
          </a:p>
        </c:rich>
      </c:tx>
      <c:layout>
        <c:manualLayout>
          <c:xMode val="edge"/>
          <c:yMode val="edge"/>
          <c:x val="6.4213032222905864E-2"/>
          <c:y val="3.600823045267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6263943569553"/>
          <c:y val="0.16849555263925342"/>
          <c:w val="0.81772740321522297"/>
          <c:h val="0.64305737824438614"/>
        </c:manualLayout>
      </c:layout>
      <c:scatterChart>
        <c:scatterStyle val="lineMarker"/>
        <c:varyColors val="0"/>
        <c:ser>
          <c:idx val="3"/>
          <c:order val="3"/>
          <c:tx>
            <c:v>Varta-Avg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Accu60!$N$29:$N$128</c:f>
              <c:numCache>
                <c:formatCode>General</c:formatCode>
                <c:ptCount val="100"/>
                <c:pt idx="0">
                  <c:v>1123</c:v>
                </c:pt>
                <c:pt idx="1">
                  <c:v>1126</c:v>
                </c:pt>
                <c:pt idx="2">
                  <c:v>1129</c:v>
                </c:pt>
                <c:pt idx="3">
                  <c:v>1132</c:v>
                </c:pt>
                <c:pt idx="4">
                  <c:v>1135</c:v>
                </c:pt>
                <c:pt idx="5">
                  <c:v>1138</c:v>
                </c:pt>
                <c:pt idx="6">
                  <c:v>1141</c:v>
                </c:pt>
                <c:pt idx="7">
                  <c:v>1144</c:v>
                </c:pt>
                <c:pt idx="8">
                  <c:v>1147</c:v>
                </c:pt>
                <c:pt idx="9">
                  <c:v>1150</c:v>
                </c:pt>
                <c:pt idx="10">
                  <c:v>1153</c:v>
                </c:pt>
                <c:pt idx="11">
                  <c:v>1156</c:v>
                </c:pt>
                <c:pt idx="12">
                  <c:v>1159</c:v>
                </c:pt>
                <c:pt idx="13">
                  <c:v>1162</c:v>
                </c:pt>
                <c:pt idx="14">
                  <c:v>1165</c:v>
                </c:pt>
                <c:pt idx="15">
                  <c:v>1168</c:v>
                </c:pt>
                <c:pt idx="16">
                  <c:v>1171</c:v>
                </c:pt>
                <c:pt idx="17">
                  <c:v>1174</c:v>
                </c:pt>
                <c:pt idx="18">
                  <c:v>1177</c:v>
                </c:pt>
                <c:pt idx="19">
                  <c:v>1180</c:v>
                </c:pt>
                <c:pt idx="20">
                  <c:v>1183</c:v>
                </c:pt>
                <c:pt idx="21">
                  <c:v>1186</c:v>
                </c:pt>
                <c:pt idx="22">
                  <c:v>1189</c:v>
                </c:pt>
                <c:pt idx="23">
                  <c:v>1192</c:v>
                </c:pt>
                <c:pt idx="24">
                  <c:v>1195</c:v>
                </c:pt>
                <c:pt idx="25">
                  <c:v>1198</c:v>
                </c:pt>
                <c:pt idx="26">
                  <c:v>1201</c:v>
                </c:pt>
                <c:pt idx="27">
                  <c:v>1204</c:v>
                </c:pt>
                <c:pt idx="28">
                  <c:v>1207</c:v>
                </c:pt>
                <c:pt idx="29">
                  <c:v>1210</c:v>
                </c:pt>
                <c:pt idx="30">
                  <c:v>1213</c:v>
                </c:pt>
                <c:pt idx="31">
                  <c:v>1216</c:v>
                </c:pt>
                <c:pt idx="32">
                  <c:v>1219</c:v>
                </c:pt>
                <c:pt idx="33">
                  <c:v>1222</c:v>
                </c:pt>
                <c:pt idx="34">
                  <c:v>1225</c:v>
                </c:pt>
                <c:pt idx="35">
                  <c:v>1228</c:v>
                </c:pt>
                <c:pt idx="36">
                  <c:v>1231</c:v>
                </c:pt>
                <c:pt idx="37">
                  <c:v>1234</c:v>
                </c:pt>
                <c:pt idx="38">
                  <c:v>1237</c:v>
                </c:pt>
                <c:pt idx="39">
                  <c:v>1240</c:v>
                </c:pt>
                <c:pt idx="40">
                  <c:v>1243</c:v>
                </c:pt>
                <c:pt idx="41">
                  <c:v>1246</c:v>
                </c:pt>
                <c:pt idx="42">
                  <c:v>1249</c:v>
                </c:pt>
                <c:pt idx="43">
                  <c:v>1252</c:v>
                </c:pt>
                <c:pt idx="44">
                  <c:v>1255</c:v>
                </c:pt>
                <c:pt idx="45">
                  <c:v>1258</c:v>
                </c:pt>
                <c:pt idx="46">
                  <c:v>1261</c:v>
                </c:pt>
                <c:pt idx="47">
                  <c:v>1264</c:v>
                </c:pt>
                <c:pt idx="48">
                  <c:v>1267</c:v>
                </c:pt>
                <c:pt idx="49">
                  <c:v>1270</c:v>
                </c:pt>
                <c:pt idx="50">
                  <c:v>1273</c:v>
                </c:pt>
                <c:pt idx="51">
                  <c:v>1276</c:v>
                </c:pt>
                <c:pt idx="52">
                  <c:v>1279</c:v>
                </c:pt>
                <c:pt idx="53">
                  <c:v>1282</c:v>
                </c:pt>
                <c:pt idx="54">
                  <c:v>1285</c:v>
                </c:pt>
                <c:pt idx="55">
                  <c:v>1288</c:v>
                </c:pt>
                <c:pt idx="56">
                  <c:v>1291</c:v>
                </c:pt>
                <c:pt idx="57">
                  <c:v>1294</c:v>
                </c:pt>
                <c:pt idx="58">
                  <c:v>1297</c:v>
                </c:pt>
                <c:pt idx="59">
                  <c:v>1300</c:v>
                </c:pt>
                <c:pt idx="60">
                  <c:v>1303</c:v>
                </c:pt>
                <c:pt idx="61">
                  <c:v>1306</c:v>
                </c:pt>
                <c:pt idx="62">
                  <c:v>1309</c:v>
                </c:pt>
                <c:pt idx="63">
                  <c:v>1312</c:v>
                </c:pt>
                <c:pt idx="64">
                  <c:v>1315</c:v>
                </c:pt>
                <c:pt idx="65">
                  <c:v>1318</c:v>
                </c:pt>
                <c:pt idx="66">
                  <c:v>1321</c:v>
                </c:pt>
                <c:pt idx="67">
                  <c:v>1324</c:v>
                </c:pt>
                <c:pt idx="68">
                  <c:v>1327</c:v>
                </c:pt>
                <c:pt idx="69">
                  <c:v>1330</c:v>
                </c:pt>
                <c:pt idx="70">
                  <c:v>1333</c:v>
                </c:pt>
                <c:pt idx="71">
                  <c:v>1336</c:v>
                </c:pt>
                <c:pt idx="72">
                  <c:v>1339</c:v>
                </c:pt>
                <c:pt idx="73">
                  <c:v>1342</c:v>
                </c:pt>
                <c:pt idx="74">
                  <c:v>1345</c:v>
                </c:pt>
                <c:pt idx="75">
                  <c:v>1348</c:v>
                </c:pt>
                <c:pt idx="76">
                  <c:v>1351</c:v>
                </c:pt>
                <c:pt idx="77">
                  <c:v>1354</c:v>
                </c:pt>
                <c:pt idx="78">
                  <c:v>1357</c:v>
                </c:pt>
                <c:pt idx="79">
                  <c:v>1360</c:v>
                </c:pt>
                <c:pt idx="80">
                  <c:v>1363</c:v>
                </c:pt>
                <c:pt idx="81">
                  <c:v>1366</c:v>
                </c:pt>
                <c:pt idx="82">
                  <c:v>1369</c:v>
                </c:pt>
                <c:pt idx="83">
                  <c:v>1372</c:v>
                </c:pt>
                <c:pt idx="84">
                  <c:v>1375</c:v>
                </c:pt>
                <c:pt idx="85">
                  <c:v>1378</c:v>
                </c:pt>
                <c:pt idx="86">
                  <c:v>1381</c:v>
                </c:pt>
                <c:pt idx="87">
                  <c:v>1384</c:v>
                </c:pt>
                <c:pt idx="88">
                  <c:v>1387</c:v>
                </c:pt>
                <c:pt idx="89">
                  <c:v>1390</c:v>
                </c:pt>
                <c:pt idx="90">
                  <c:v>1393</c:v>
                </c:pt>
                <c:pt idx="91">
                  <c:v>1396</c:v>
                </c:pt>
                <c:pt idx="92">
                  <c:v>1399</c:v>
                </c:pt>
                <c:pt idx="93">
                  <c:v>1402</c:v>
                </c:pt>
                <c:pt idx="94">
                  <c:v>1405</c:v>
                </c:pt>
                <c:pt idx="95">
                  <c:v>1408</c:v>
                </c:pt>
                <c:pt idx="96">
                  <c:v>1411</c:v>
                </c:pt>
                <c:pt idx="97">
                  <c:v>1414</c:v>
                </c:pt>
                <c:pt idx="98">
                  <c:v>1417</c:v>
                </c:pt>
                <c:pt idx="99">
                  <c:v>1420</c:v>
                </c:pt>
              </c:numCache>
            </c:numRef>
          </c:xVal>
          <c:yVal>
            <c:numRef>
              <c:f>Accu60!$R$29:$R$128</c:f>
              <c:numCache>
                <c:formatCode>General</c:formatCode>
                <c:ptCount val="100"/>
                <c:pt idx="0">
                  <c:v>0</c:v>
                </c:pt>
                <c:pt idx="1">
                  <c:v>6.3076923076923076E-3</c:v>
                </c:pt>
                <c:pt idx="2">
                  <c:v>1.2615384615384615E-2</c:v>
                </c:pt>
                <c:pt idx="3">
                  <c:v>1.8923076923076924E-2</c:v>
                </c:pt>
                <c:pt idx="4">
                  <c:v>2.523076923076923E-2</c:v>
                </c:pt>
                <c:pt idx="5">
                  <c:v>3.6054590570719504E-2</c:v>
                </c:pt>
                <c:pt idx="6">
                  <c:v>4.6878411910669771E-2</c:v>
                </c:pt>
                <c:pt idx="7">
                  <c:v>5.7702233250620023E-2</c:v>
                </c:pt>
                <c:pt idx="8">
                  <c:v>6.8526054590570304E-2</c:v>
                </c:pt>
                <c:pt idx="9">
                  <c:v>8.0068463505803239E-2</c:v>
                </c:pt>
                <c:pt idx="10">
                  <c:v>9.1721424355695053E-2</c:v>
                </c:pt>
                <c:pt idx="11">
                  <c:v>0.10254049445865265</c:v>
                </c:pt>
                <c:pt idx="12">
                  <c:v>0.10919011082693914</c:v>
                </c:pt>
                <c:pt idx="13">
                  <c:v>0.11583972719522564</c:v>
                </c:pt>
                <c:pt idx="14">
                  <c:v>0.12248934356351218</c:v>
                </c:pt>
                <c:pt idx="15">
                  <c:v>0.12913895993179866</c:v>
                </c:pt>
                <c:pt idx="16">
                  <c:v>0.13578857630008517</c:v>
                </c:pt>
                <c:pt idx="17">
                  <c:v>0.14243819266837165</c:v>
                </c:pt>
                <c:pt idx="18">
                  <c:v>0.14633533424394371</c:v>
                </c:pt>
                <c:pt idx="19">
                  <c:v>0.14266317013955049</c:v>
                </c:pt>
                <c:pt idx="20">
                  <c:v>0.13899100603515729</c:v>
                </c:pt>
                <c:pt idx="21">
                  <c:v>0.1353188419307641</c:v>
                </c:pt>
                <c:pt idx="22">
                  <c:v>0.1317455519793489</c:v>
                </c:pt>
                <c:pt idx="23">
                  <c:v>0.1281920368585294</c:v>
                </c:pt>
                <c:pt idx="24">
                  <c:v>0.12463852173770978</c:v>
                </c:pt>
                <c:pt idx="25">
                  <c:v>0.12108500661689026</c:v>
                </c:pt>
                <c:pt idx="26">
                  <c:v>0.11753149149607073</c:v>
                </c:pt>
                <c:pt idx="27">
                  <c:v>0.1139779763752512</c:v>
                </c:pt>
                <c:pt idx="28">
                  <c:v>0.11042446125443162</c:v>
                </c:pt>
                <c:pt idx="29">
                  <c:v>0.10710075658529256</c:v>
                </c:pt>
                <c:pt idx="30">
                  <c:v>0.10385365540004698</c:v>
                </c:pt>
                <c:pt idx="31">
                  <c:v>0.10060655421480141</c:v>
                </c:pt>
                <c:pt idx="32">
                  <c:v>9.7359453029555898E-2</c:v>
                </c:pt>
                <c:pt idx="33">
                  <c:v>9.4112351844310327E-2</c:v>
                </c:pt>
                <c:pt idx="34">
                  <c:v>9.0865250659064756E-2</c:v>
                </c:pt>
                <c:pt idx="35">
                  <c:v>8.7618149473819018E-2</c:v>
                </c:pt>
                <c:pt idx="36">
                  <c:v>8.4371048288573558E-2</c:v>
                </c:pt>
                <c:pt idx="37">
                  <c:v>8.1123947103328098E-2</c:v>
                </c:pt>
                <c:pt idx="38">
                  <c:v>7.7876845918082471E-2</c:v>
                </c:pt>
                <c:pt idx="39">
                  <c:v>7.46297447328369E-2</c:v>
                </c:pt>
                <c:pt idx="40">
                  <c:v>7.1382643547591274E-2</c:v>
                </c:pt>
                <c:pt idx="41">
                  <c:v>6.7068314251412242E-2</c:v>
                </c:pt>
                <c:pt idx="42">
                  <c:v>6.1358378964012195E-2</c:v>
                </c:pt>
                <c:pt idx="43">
                  <c:v>5.5648443676611925E-2</c:v>
                </c:pt>
                <c:pt idx="44">
                  <c:v>4.9938508389211878E-2</c:v>
                </c:pt>
                <c:pt idx="45">
                  <c:v>4.7040477854566998E-2</c:v>
                </c:pt>
                <c:pt idx="46">
                  <c:v>4.5254130594266972E-2</c:v>
                </c:pt>
                <c:pt idx="47">
                  <c:v>4.3467783333966947E-2</c:v>
                </c:pt>
                <c:pt idx="48">
                  <c:v>4.1681436073667033E-2</c:v>
                </c:pt>
                <c:pt idx="49">
                  <c:v>3.9895088813366897E-2</c:v>
                </c:pt>
                <c:pt idx="50">
                  <c:v>3.8108741553066983E-2</c:v>
                </c:pt>
                <c:pt idx="51">
                  <c:v>3.6322394292766846E-2</c:v>
                </c:pt>
                <c:pt idx="52">
                  <c:v>3.4536047032466821E-2</c:v>
                </c:pt>
                <c:pt idx="53">
                  <c:v>3.2749699772166907E-2</c:v>
                </c:pt>
                <c:pt idx="54">
                  <c:v>3.0963352511866882E-2</c:v>
                </c:pt>
                <c:pt idx="55">
                  <c:v>2.9177005251566968E-2</c:v>
                </c:pt>
                <c:pt idx="56">
                  <c:v>2.7390657991266831E-2</c:v>
                </c:pt>
                <c:pt idx="57">
                  <c:v>2.5604310730966806E-2</c:v>
                </c:pt>
                <c:pt idx="58">
                  <c:v>2.3817963470666781E-2</c:v>
                </c:pt>
                <c:pt idx="59">
                  <c:v>2.2031616210366756E-2</c:v>
                </c:pt>
                <c:pt idx="60">
                  <c:v>2.0245268950066841E-2</c:v>
                </c:pt>
                <c:pt idx="61">
                  <c:v>1.8458921689766816E-2</c:v>
                </c:pt>
                <c:pt idx="62">
                  <c:v>1.6672574429466791E-2</c:v>
                </c:pt>
                <c:pt idx="63">
                  <c:v>1.4886227169166766E-2</c:v>
                </c:pt>
                <c:pt idx="64">
                  <c:v>1.3099879908866741E-2</c:v>
                </c:pt>
                <c:pt idx="65">
                  <c:v>1.1313532648566715E-2</c:v>
                </c:pt>
                <c:pt idx="66">
                  <c:v>9.5271853882666901E-3</c:v>
                </c:pt>
                <c:pt idx="67">
                  <c:v>7.740838127966776E-3</c:v>
                </c:pt>
                <c:pt idx="68">
                  <c:v>5.9544908676666397E-3</c:v>
                </c:pt>
                <c:pt idx="69">
                  <c:v>4.1681436073667255E-3</c:v>
                </c:pt>
                <c:pt idx="70">
                  <c:v>2.3817963470667003E-3</c:v>
                </c:pt>
                <c:pt idx="71">
                  <c:v>5.9544908676667507E-4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E4-4A14-93D4-DA5905E4F7DC}"/>
            </c:ext>
          </c:extLst>
        </c:ser>
        <c:ser>
          <c:idx val="4"/>
          <c:order val="4"/>
          <c:tx>
            <c:v>Zen-Avg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Accu60!$N$29:$N$128</c:f>
              <c:numCache>
                <c:formatCode>General</c:formatCode>
                <c:ptCount val="100"/>
                <c:pt idx="0">
                  <c:v>1123</c:v>
                </c:pt>
                <c:pt idx="1">
                  <c:v>1126</c:v>
                </c:pt>
                <c:pt idx="2">
                  <c:v>1129</c:v>
                </c:pt>
                <c:pt idx="3">
                  <c:v>1132</c:v>
                </c:pt>
                <c:pt idx="4">
                  <c:v>1135</c:v>
                </c:pt>
                <c:pt idx="5">
                  <c:v>1138</c:v>
                </c:pt>
                <c:pt idx="6">
                  <c:v>1141</c:v>
                </c:pt>
                <c:pt idx="7">
                  <c:v>1144</c:v>
                </c:pt>
                <c:pt idx="8">
                  <c:v>1147</c:v>
                </c:pt>
                <c:pt idx="9">
                  <c:v>1150</c:v>
                </c:pt>
                <c:pt idx="10">
                  <c:v>1153</c:v>
                </c:pt>
                <c:pt idx="11">
                  <c:v>1156</c:v>
                </c:pt>
                <c:pt idx="12">
                  <c:v>1159</c:v>
                </c:pt>
                <c:pt idx="13">
                  <c:v>1162</c:v>
                </c:pt>
                <c:pt idx="14">
                  <c:v>1165</c:v>
                </c:pt>
                <c:pt idx="15">
                  <c:v>1168</c:v>
                </c:pt>
                <c:pt idx="16">
                  <c:v>1171</c:v>
                </c:pt>
                <c:pt idx="17">
                  <c:v>1174</c:v>
                </c:pt>
                <c:pt idx="18">
                  <c:v>1177</c:v>
                </c:pt>
                <c:pt idx="19">
                  <c:v>1180</c:v>
                </c:pt>
                <c:pt idx="20">
                  <c:v>1183</c:v>
                </c:pt>
                <c:pt idx="21">
                  <c:v>1186</c:v>
                </c:pt>
                <c:pt idx="22">
                  <c:v>1189</c:v>
                </c:pt>
                <c:pt idx="23">
                  <c:v>1192</c:v>
                </c:pt>
                <c:pt idx="24">
                  <c:v>1195</c:v>
                </c:pt>
                <c:pt idx="25">
                  <c:v>1198</c:v>
                </c:pt>
                <c:pt idx="26">
                  <c:v>1201</c:v>
                </c:pt>
                <c:pt idx="27">
                  <c:v>1204</c:v>
                </c:pt>
                <c:pt idx="28">
                  <c:v>1207</c:v>
                </c:pt>
                <c:pt idx="29">
                  <c:v>1210</c:v>
                </c:pt>
                <c:pt idx="30">
                  <c:v>1213</c:v>
                </c:pt>
                <c:pt idx="31">
                  <c:v>1216</c:v>
                </c:pt>
                <c:pt idx="32">
                  <c:v>1219</c:v>
                </c:pt>
                <c:pt idx="33">
                  <c:v>1222</c:v>
                </c:pt>
                <c:pt idx="34">
                  <c:v>1225</c:v>
                </c:pt>
                <c:pt idx="35">
                  <c:v>1228</c:v>
                </c:pt>
                <c:pt idx="36">
                  <c:v>1231</c:v>
                </c:pt>
                <c:pt idx="37">
                  <c:v>1234</c:v>
                </c:pt>
                <c:pt idx="38">
                  <c:v>1237</c:v>
                </c:pt>
                <c:pt idx="39">
                  <c:v>1240</c:v>
                </c:pt>
                <c:pt idx="40">
                  <c:v>1243</c:v>
                </c:pt>
                <c:pt idx="41">
                  <c:v>1246</c:v>
                </c:pt>
                <c:pt idx="42">
                  <c:v>1249</c:v>
                </c:pt>
                <c:pt idx="43">
                  <c:v>1252</c:v>
                </c:pt>
                <c:pt idx="44">
                  <c:v>1255</c:v>
                </c:pt>
                <c:pt idx="45">
                  <c:v>1258</c:v>
                </c:pt>
                <c:pt idx="46">
                  <c:v>1261</c:v>
                </c:pt>
                <c:pt idx="47">
                  <c:v>1264</c:v>
                </c:pt>
                <c:pt idx="48">
                  <c:v>1267</c:v>
                </c:pt>
                <c:pt idx="49">
                  <c:v>1270</c:v>
                </c:pt>
                <c:pt idx="50">
                  <c:v>1273</c:v>
                </c:pt>
                <c:pt idx="51">
                  <c:v>1276</c:v>
                </c:pt>
                <c:pt idx="52">
                  <c:v>1279</c:v>
                </c:pt>
                <c:pt idx="53">
                  <c:v>1282</c:v>
                </c:pt>
                <c:pt idx="54">
                  <c:v>1285</c:v>
                </c:pt>
                <c:pt idx="55">
                  <c:v>1288</c:v>
                </c:pt>
                <c:pt idx="56">
                  <c:v>1291</c:v>
                </c:pt>
                <c:pt idx="57">
                  <c:v>1294</c:v>
                </c:pt>
                <c:pt idx="58">
                  <c:v>1297</c:v>
                </c:pt>
                <c:pt idx="59">
                  <c:v>1300</c:v>
                </c:pt>
                <c:pt idx="60">
                  <c:v>1303</c:v>
                </c:pt>
                <c:pt idx="61">
                  <c:v>1306</c:v>
                </c:pt>
                <c:pt idx="62">
                  <c:v>1309</c:v>
                </c:pt>
                <c:pt idx="63">
                  <c:v>1312</c:v>
                </c:pt>
                <c:pt idx="64">
                  <c:v>1315</c:v>
                </c:pt>
                <c:pt idx="65">
                  <c:v>1318</c:v>
                </c:pt>
                <c:pt idx="66">
                  <c:v>1321</c:v>
                </c:pt>
                <c:pt idx="67">
                  <c:v>1324</c:v>
                </c:pt>
                <c:pt idx="68">
                  <c:v>1327</c:v>
                </c:pt>
                <c:pt idx="69">
                  <c:v>1330</c:v>
                </c:pt>
                <c:pt idx="70">
                  <c:v>1333</c:v>
                </c:pt>
                <c:pt idx="71">
                  <c:v>1336</c:v>
                </c:pt>
                <c:pt idx="72">
                  <c:v>1339</c:v>
                </c:pt>
                <c:pt idx="73">
                  <c:v>1342</c:v>
                </c:pt>
                <c:pt idx="74">
                  <c:v>1345</c:v>
                </c:pt>
                <c:pt idx="75">
                  <c:v>1348</c:v>
                </c:pt>
                <c:pt idx="76">
                  <c:v>1351</c:v>
                </c:pt>
                <c:pt idx="77">
                  <c:v>1354</c:v>
                </c:pt>
                <c:pt idx="78">
                  <c:v>1357</c:v>
                </c:pt>
                <c:pt idx="79">
                  <c:v>1360</c:v>
                </c:pt>
                <c:pt idx="80">
                  <c:v>1363</c:v>
                </c:pt>
                <c:pt idx="81">
                  <c:v>1366</c:v>
                </c:pt>
                <c:pt idx="82">
                  <c:v>1369</c:v>
                </c:pt>
                <c:pt idx="83">
                  <c:v>1372</c:v>
                </c:pt>
                <c:pt idx="84">
                  <c:v>1375</c:v>
                </c:pt>
                <c:pt idx="85">
                  <c:v>1378</c:v>
                </c:pt>
                <c:pt idx="86">
                  <c:v>1381</c:v>
                </c:pt>
                <c:pt idx="87">
                  <c:v>1384</c:v>
                </c:pt>
                <c:pt idx="88">
                  <c:v>1387</c:v>
                </c:pt>
                <c:pt idx="89">
                  <c:v>1390</c:v>
                </c:pt>
                <c:pt idx="90">
                  <c:v>1393</c:v>
                </c:pt>
                <c:pt idx="91">
                  <c:v>1396</c:v>
                </c:pt>
                <c:pt idx="92">
                  <c:v>1399</c:v>
                </c:pt>
                <c:pt idx="93">
                  <c:v>1402</c:v>
                </c:pt>
                <c:pt idx="94">
                  <c:v>1405</c:v>
                </c:pt>
                <c:pt idx="95">
                  <c:v>1408</c:v>
                </c:pt>
                <c:pt idx="96">
                  <c:v>1411</c:v>
                </c:pt>
                <c:pt idx="97">
                  <c:v>1414</c:v>
                </c:pt>
                <c:pt idx="98">
                  <c:v>1417</c:v>
                </c:pt>
                <c:pt idx="99">
                  <c:v>1420</c:v>
                </c:pt>
              </c:numCache>
            </c:numRef>
          </c:xVal>
          <c:yVal>
            <c:numRef>
              <c:f>Accu60!$S$29:$S$128</c:f>
              <c:numCache>
                <c:formatCode>General</c:formatCode>
                <c:ptCount val="100"/>
                <c:pt idx="0">
                  <c:v>0</c:v>
                </c:pt>
                <c:pt idx="1">
                  <c:v>-1.4281567489114657E-3</c:v>
                </c:pt>
                <c:pt idx="2">
                  <c:v>-2.8563134978229314E-3</c:v>
                </c:pt>
                <c:pt idx="3">
                  <c:v>-4.2844702467343971E-3</c:v>
                </c:pt>
                <c:pt idx="4">
                  <c:v>-5.7126269956458628E-3</c:v>
                </c:pt>
                <c:pt idx="5">
                  <c:v>-7.1407837445573285E-3</c:v>
                </c:pt>
                <c:pt idx="6">
                  <c:v>-8.5689404934687942E-3</c:v>
                </c:pt>
                <c:pt idx="7">
                  <c:v>-9.9970972423802616E-3</c:v>
                </c:pt>
                <c:pt idx="8">
                  <c:v>-1.1425253991291726E-2</c:v>
                </c:pt>
                <c:pt idx="9">
                  <c:v>-1.2853410740203193E-2</c:v>
                </c:pt>
                <c:pt idx="10">
                  <c:v>-1.4281567489114657E-2</c:v>
                </c:pt>
                <c:pt idx="11">
                  <c:v>-1.6543614984960351E-2</c:v>
                </c:pt>
                <c:pt idx="12">
                  <c:v>-2.2975116215477147E-2</c:v>
                </c:pt>
                <c:pt idx="13">
                  <c:v>-2.9406617445993939E-2</c:v>
                </c:pt>
                <c:pt idx="14">
                  <c:v>-3.5838118676510745E-2</c:v>
                </c:pt>
                <c:pt idx="15">
                  <c:v>-4.2269619907027538E-2</c:v>
                </c:pt>
                <c:pt idx="16">
                  <c:v>-4.870112113754433E-2</c:v>
                </c:pt>
                <c:pt idx="17">
                  <c:v>-5.5132622368061136E-2</c:v>
                </c:pt>
                <c:pt idx="18">
                  <c:v>-6.3002349855183062E-2</c:v>
                </c:pt>
                <c:pt idx="19">
                  <c:v>-7.5812885950051673E-2</c:v>
                </c:pt>
                <c:pt idx="20">
                  <c:v>-8.8623422044920269E-2</c:v>
                </c:pt>
                <c:pt idx="21">
                  <c:v>-0.10143395813978887</c:v>
                </c:pt>
                <c:pt idx="22">
                  <c:v>-0.11424449423465745</c:v>
                </c:pt>
                <c:pt idx="23">
                  <c:v>-0.12705503032952606</c:v>
                </c:pt>
                <c:pt idx="24">
                  <c:v>-0.13986556642439468</c:v>
                </c:pt>
                <c:pt idx="25">
                  <c:v>-0.15267610251926325</c:v>
                </c:pt>
                <c:pt idx="26">
                  <c:v>-0.16548663861413185</c:v>
                </c:pt>
                <c:pt idx="27">
                  <c:v>-0.17829717470900042</c:v>
                </c:pt>
                <c:pt idx="28">
                  <c:v>-0.17857897517168508</c:v>
                </c:pt>
                <c:pt idx="29">
                  <c:v>-0.17236659736659735</c:v>
                </c:pt>
                <c:pt idx="30">
                  <c:v>-0.16607761607761609</c:v>
                </c:pt>
                <c:pt idx="31">
                  <c:v>-0.15978863478863492</c:v>
                </c:pt>
                <c:pt idx="32">
                  <c:v>-0.15349965349965361</c:v>
                </c:pt>
                <c:pt idx="33">
                  <c:v>-0.14721067221067233</c:v>
                </c:pt>
                <c:pt idx="34">
                  <c:v>-0.1409216909216911</c:v>
                </c:pt>
                <c:pt idx="35">
                  <c:v>-0.13463270963270996</c:v>
                </c:pt>
                <c:pt idx="36">
                  <c:v>-0.12922092132618485</c:v>
                </c:pt>
                <c:pt idx="37">
                  <c:v>-0.12424772951088769</c:v>
                </c:pt>
                <c:pt idx="38">
                  <c:v>-0.11927453769559065</c:v>
                </c:pt>
                <c:pt idx="39">
                  <c:v>-0.11430134588029361</c:v>
                </c:pt>
                <c:pt idx="40">
                  <c:v>-0.10932815406499657</c:v>
                </c:pt>
                <c:pt idx="41">
                  <c:v>-0.10435496224969953</c:v>
                </c:pt>
                <c:pt idx="42">
                  <c:v>-9.9381770434402439E-2</c:v>
                </c:pt>
                <c:pt idx="43">
                  <c:v>-9.4408578619105565E-2</c:v>
                </c:pt>
                <c:pt idx="44">
                  <c:v>-8.9435386803808359E-2</c:v>
                </c:pt>
                <c:pt idx="45">
                  <c:v>-8.1650290235756207E-2</c:v>
                </c:pt>
                <c:pt idx="46">
                  <c:v>-7.2753510393358978E-2</c:v>
                </c:pt>
                <c:pt idx="47">
                  <c:v>-6.385673055096186E-2</c:v>
                </c:pt>
                <c:pt idx="48">
                  <c:v>-5.4959950708564742E-2</c:v>
                </c:pt>
                <c:pt idx="49">
                  <c:v>-5.260452424962625E-2</c:v>
                </c:pt>
                <c:pt idx="50">
                  <c:v>-5.0249097790687869E-2</c:v>
                </c:pt>
                <c:pt idx="51">
                  <c:v>-4.7893671331749266E-2</c:v>
                </c:pt>
                <c:pt idx="52">
                  <c:v>-4.5538244872810885E-2</c:v>
                </c:pt>
                <c:pt idx="53">
                  <c:v>-4.3182818413872281E-2</c:v>
                </c:pt>
                <c:pt idx="54">
                  <c:v>-4.08273919549339E-2</c:v>
                </c:pt>
                <c:pt idx="55">
                  <c:v>-3.8471965495995297E-2</c:v>
                </c:pt>
                <c:pt idx="56">
                  <c:v>-3.6116539037056805E-2</c:v>
                </c:pt>
                <c:pt idx="57">
                  <c:v>-3.3761112578118424E-2</c:v>
                </c:pt>
                <c:pt idx="58">
                  <c:v>-3.1405686119179821E-2</c:v>
                </c:pt>
                <c:pt idx="59">
                  <c:v>-2.905025966024144E-2</c:v>
                </c:pt>
                <c:pt idx="60">
                  <c:v>-2.6694833201302948E-2</c:v>
                </c:pt>
                <c:pt idx="61">
                  <c:v>-2.4339406742364456E-2</c:v>
                </c:pt>
                <c:pt idx="62">
                  <c:v>-2.1983980283425852E-2</c:v>
                </c:pt>
                <c:pt idx="63">
                  <c:v>-1.9628553824487471E-2</c:v>
                </c:pt>
                <c:pt idx="64">
                  <c:v>-1.7273127365548868E-2</c:v>
                </c:pt>
                <c:pt idx="65">
                  <c:v>-1.4917700906610487E-2</c:v>
                </c:pt>
                <c:pt idx="66">
                  <c:v>-1.2562274447671884E-2</c:v>
                </c:pt>
                <c:pt idx="67">
                  <c:v>-1.0206847988733392E-2</c:v>
                </c:pt>
                <c:pt idx="68">
                  <c:v>-7.8514215297950107E-3</c:v>
                </c:pt>
                <c:pt idx="69">
                  <c:v>-5.4959950708564076E-3</c:v>
                </c:pt>
                <c:pt idx="70">
                  <c:v>-3.1405686119180265E-3</c:v>
                </c:pt>
                <c:pt idx="71">
                  <c:v>-7.8514215297953438E-4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E4-4A14-93D4-DA5905E4F7DC}"/>
            </c:ext>
          </c:extLst>
        </c:ser>
        <c:ser>
          <c:idx val="5"/>
          <c:order val="5"/>
          <c:tx>
            <c:v>Zeni-Varta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Accu60!$N$29:$N$128</c:f>
              <c:numCache>
                <c:formatCode>General</c:formatCode>
                <c:ptCount val="100"/>
                <c:pt idx="0">
                  <c:v>1123</c:v>
                </c:pt>
                <c:pt idx="1">
                  <c:v>1126</c:v>
                </c:pt>
                <c:pt idx="2">
                  <c:v>1129</c:v>
                </c:pt>
                <c:pt idx="3">
                  <c:v>1132</c:v>
                </c:pt>
                <c:pt idx="4">
                  <c:v>1135</c:v>
                </c:pt>
                <c:pt idx="5">
                  <c:v>1138</c:v>
                </c:pt>
                <c:pt idx="6">
                  <c:v>1141</c:v>
                </c:pt>
                <c:pt idx="7">
                  <c:v>1144</c:v>
                </c:pt>
                <c:pt idx="8">
                  <c:v>1147</c:v>
                </c:pt>
                <c:pt idx="9">
                  <c:v>1150</c:v>
                </c:pt>
                <c:pt idx="10">
                  <c:v>1153</c:v>
                </c:pt>
                <c:pt idx="11">
                  <c:v>1156</c:v>
                </c:pt>
                <c:pt idx="12">
                  <c:v>1159</c:v>
                </c:pt>
                <c:pt idx="13">
                  <c:v>1162</c:v>
                </c:pt>
                <c:pt idx="14">
                  <c:v>1165</c:v>
                </c:pt>
                <c:pt idx="15">
                  <c:v>1168</c:v>
                </c:pt>
                <c:pt idx="16">
                  <c:v>1171</c:v>
                </c:pt>
                <c:pt idx="17">
                  <c:v>1174</c:v>
                </c:pt>
                <c:pt idx="18">
                  <c:v>1177</c:v>
                </c:pt>
                <c:pt idx="19">
                  <c:v>1180</c:v>
                </c:pt>
                <c:pt idx="20">
                  <c:v>1183</c:v>
                </c:pt>
                <c:pt idx="21">
                  <c:v>1186</c:v>
                </c:pt>
                <c:pt idx="22">
                  <c:v>1189</c:v>
                </c:pt>
                <c:pt idx="23">
                  <c:v>1192</c:v>
                </c:pt>
                <c:pt idx="24">
                  <c:v>1195</c:v>
                </c:pt>
                <c:pt idx="25">
                  <c:v>1198</c:v>
                </c:pt>
                <c:pt idx="26">
                  <c:v>1201</c:v>
                </c:pt>
                <c:pt idx="27">
                  <c:v>1204</c:v>
                </c:pt>
                <c:pt idx="28">
                  <c:v>1207</c:v>
                </c:pt>
                <c:pt idx="29">
                  <c:v>1210</c:v>
                </c:pt>
                <c:pt idx="30">
                  <c:v>1213</c:v>
                </c:pt>
                <c:pt idx="31">
                  <c:v>1216</c:v>
                </c:pt>
                <c:pt idx="32">
                  <c:v>1219</c:v>
                </c:pt>
                <c:pt idx="33">
                  <c:v>1222</c:v>
                </c:pt>
                <c:pt idx="34">
                  <c:v>1225</c:v>
                </c:pt>
                <c:pt idx="35">
                  <c:v>1228</c:v>
                </c:pt>
                <c:pt idx="36">
                  <c:v>1231</c:v>
                </c:pt>
                <c:pt idx="37">
                  <c:v>1234</c:v>
                </c:pt>
                <c:pt idx="38">
                  <c:v>1237</c:v>
                </c:pt>
                <c:pt idx="39">
                  <c:v>1240</c:v>
                </c:pt>
                <c:pt idx="40">
                  <c:v>1243</c:v>
                </c:pt>
                <c:pt idx="41">
                  <c:v>1246</c:v>
                </c:pt>
                <c:pt idx="42">
                  <c:v>1249</c:v>
                </c:pt>
                <c:pt idx="43">
                  <c:v>1252</c:v>
                </c:pt>
                <c:pt idx="44">
                  <c:v>1255</c:v>
                </c:pt>
                <c:pt idx="45">
                  <c:v>1258</c:v>
                </c:pt>
                <c:pt idx="46">
                  <c:v>1261</c:v>
                </c:pt>
                <c:pt idx="47">
                  <c:v>1264</c:v>
                </c:pt>
                <c:pt idx="48">
                  <c:v>1267</c:v>
                </c:pt>
                <c:pt idx="49">
                  <c:v>1270</c:v>
                </c:pt>
                <c:pt idx="50">
                  <c:v>1273</c:v>
                </c:pt>
                <c:pt idx="51">
                  <c:v>1276</c:v>
                </c:pt>
                <c:pt idx="52">
                  <c:v>1279</c:v>
                </c:pt>
                <c:pt idx="53">
                  <c:v>1282</c:v>
                </c:pt>
                <c:pt idx="54">
                  <c:v>1285</c:v>
                </c:pt>
                <c:pt idx="55">
                  <c:v>1288</c:v>
                </c:pt>
                <c:pt idx="56">
                  <c:v>1291</c:v>
                </c:pt>
                <c:pt idx="57">
                  <c:v>1294</c:v>
                </c:pt>
                <c:pt idx="58">
                  <c:v>1297</c:v>
                </c:pt>
                <c:pt idx="59">
                  <c:v>1300</c:v>
                </c:pt>
                <c:pt idx="60">
                  <c:v>1303</c:v>
                </c:pt>
                <c:pt idx="61">
                  <c:v>1306</c:v>
                </c:pt>
                <c:pt idx="62">
                  <c:v>1309</c:v>
                </c:pt>
                <c:pt idx="63">
                  <c:v>1312</c:v>
                </c:pt>
                <c:pt idx="64">
                  <c:v>1315</c:v>
                </c:pt>
                <c:pt idx="65">
                  <c:v>1318</c:v>
                </c:pt>
                <c:pt idx="66">
                  <c:v>1321</c:v>
                </c:pt>
                <c:pt idx="67">
                  <c:v>1324</c:v>
                </c:pt>
                <c:pt idx="68">
                  <c:v>1327</c:v>
                </c:pt>
                <c:pt idx="69">
                  <c:v>1330</c:v>
                </c:pt>
                <c:pt idx="70">
                  <c:v>1333</c:v>
                </c:pt>
                <c:pt idx="71">
                  <c:v>1336</c:v>
                </c:pt>
                <c:pt idx="72">
                  <c:v>1339</c:v>
                </c:pt>
                <c:pt idx="73">
                  <c:v>1342</c:v>
                </c:pt>
                <c:pt idx="74">
                  <c:v>1345</c:v>
                </c:pt>
                <c:pt idx="75">
                  <c:v>1348</c:v>
                </c:pt>
                <c:pt idx="76">
                  <c:v>1351</c:v>
                </c:pt>
                <c:pt idx="77">
                  <c:v>1354</c:v>
                </c:pt>
                <c:pt idx="78">
                  <c:v>1357</c:v>
                </c:pt>
                <c:pt idx="79">
                  <c:v>1360</c:v>
                </c:pt>
                <c:pt idx="80">
                  <c:v>1363</c:v>
                </c:pt>
                <c:pt idx="81">
                  <c:v>1366</c:v>
                </c:pt>
                <c:pt idx="82">
                  <c:v>1369</c:v>
                </c:pt>
                <c:pt idx="83">
                  <c:v>1372</c:v>
                </c:pt>
                <c:pt idx="84">
                  <c:v>1375</c:v>
                </c:pt>
                <c:pt idx="85">
                  <c:v>1378</c:v>
                </c:pt>
                <c:pt idx="86">
                  <c:v>1381</c:v>
                </c:pt>
                <c:pt idx="87">
                  <c:v>1384</c:v>
                </c:pt>
                <c:pt idx="88">
                  <c:v>1387</c:v>
                </c:pt>
                <c:pt idx="89">
                  <c:v>1390</c:v>
                </c:pt>
                <c:pt idx="90">
                  <c:v>1393</c:v>
                </c:pt>
                <c:pt idx="91">
                  <c:v>1396</c:v>
                </c:pt>
                <c:pt idx="92">
                  <c:v>1399</c:v>
                </c:pt>
                <c:pt idx="93">
                  <c:v>1402</c:v>
                </c:pt>
                <c:pt idx="94">
                  <c:v>1405</c:v>
                </c:pt>
                <c:pt idx="95">
                  <c:v>1408</c:v>
                </c:pt>
                <c:pt idx="96">
                  <c:v>1411</c:v>
                </c:pt>
                <c:pt idx="97">
                  <c:v>1414</c:v>
                </c:pt>
                <c:pt idx="98">
                  <c:v>1417</c:v>
                </c:pt>
                <c:pt idx="99">
                  <c:v>1420</c:v>
                </c:pt>
              </c:numCache>
            </c:numRef>
          </c:xVal>
          <c:yVal>
            <c:numRef>
              <c:f>Accu60!$T$29:$T$128</c:f>
              <c:numCache>
                <c:formatCode>General</c:formatCode>
                <c:ptCount val="100"/>
                <c:pt idx="0">
                  <c:v>0</c:v>
                </c:pt>
                <c:pt idx="1">
                  <c:v>-7.7358490566037733E-3</c:v>
                </c:pt>
                <c:pt idx="2">
                  <c:v>-1.5471698113207547E-2</c:v>
                </c:pt>
                <c:pt idx="3">
                  <c:v>-2.320754716981132E-2</c:v>
                </c:pt>
                <c:pt idx="4">
                  <c:v>-3.0943396226415093E-2</c:v>
                </c:pt>
                <c:pt idx="5">
                  <c:v>-4.3195374315276834E-2</c:v>
                </c:pt>
                <c:pt idx="6">
                  <c:v>-5.5447352404138561E-2</c:v>
                </c:pt>
                <c:pt idx="7">
                  <c:v>-6.7699330493000281E-2</c:v>
                </c:pt>
                <c:pt idx="8">
                  <c:v>-7.9951308581862029E-2</c:v>
                </c:pt>
                <c:pt idx="9">
                  <c:v>-9.2921874246006425E-2</c:v>
                </c:pt>
                <c:pt idx="10">
                  <c:v>-0.10600299184480971</c:v>
                </c:pt>
                <c:pt idx="11">
                  <c:v>-0.11908410944361301</c:v>
                </c:pt>
                <c:pt idx="12">
                  <c:v>-0.13216522704241629</c:v>
                </c:pt>
                <c:pt idx="13">
                  <c:v>-0.1452463446412196</c:v>
                </c:pt>
                <c:pt idx="14">
                  <c:v>-0.15832746224002292</c:v>
                </c:pt>
                <c:pt idx="15">
                  <c:v>-0.17140857983882621</c:v>
                </c:pt>
                <c:pt idx="16">
                  <c:v>-0.1844896974376295</c:v>
                </c:pt>
                <c:pt idx="17">
                  <c:v>-0.19757081503643278</c:v>
                </c:pt>
                <c:pt idx="18">
                  <c:v>-0.20933768409912679</c:v>
                </c:pt>
                <c:pt idx="19">
                  <c:v>-0.21847605608960219</c:v>
                </c:pt>
                <c:pt idx="20">
                  <c:v>-0.22761442808007756</c:v>
                </c:pt>
                <c:pt idx="21">
                  <c:v>-0.23675280007055297</c:v>
                </c:pt>
                <c:pt idx="22">
                  <c:v>-0.24599004621400633</c:v>
                </c:pt>
                <c:pt idx="23">
                  <c:v>-0.25524706718805545</c:v>
                </c:pt>
                <c:pt idx="24">
                  <c:v>-0.26450408816210447</c:v>
                </c:pt>
                <c:pt idx="25">
                  <c:v>-0.27376110913615348</c:v>
                </c:pt>
                <c:pt idx="26">
                  <c:v>-0.2830181301102026</c:v>
                </c:pt>
                <c:pt idx="27">
                  <c:v>-0.29227515108425162</c:v>
                </c:pt>
                <c:pt idx="28">
                  <c:v>-0.2890034364261167</c:v>
                </c:pt>
                <c:pt idx="29">
                  <c:v>-0.27946735395188993</c:v>
                </c:pt>
                <c:pt idx="30">
                  <c:v>-0.26993127147766305</c:v>
                </c:pt>
                <c:pt idx="31">
                  <c:v>-0.26039518900343633</c:v>
                </c:pt>
                <c:pt idx="32">
                  <c:v>-0.25085910652920951</c:v>
                </c:pt>
                <c:pt idx="33">
                  <c:v>-0.24132302405498265</c:v>
                </c:pt>
                <c:pt idx="34">
                  <c:v>-0.23178694158075586</c:v>
                </c:pt>
                <c:pt idx="35">
                  <c:v>-0.22225085910652898</c:v>
                </c:pt>
                <c:pt idx="36">
                  <c:v>-0.2135919696147584</c:v>
                </c:pt>
                <c:pt idx="37">
                  <c:v>-0.20537167661421579</c:v>
                </c:pt>
                <c:pt idx="38">
                  <c:v>-0.19715138361367313</c:v>
                </c:pt>
                <c:pt idx="39">
                  <c:v>-0.18893109061313051</c:v>
                </c:pt>
                <c:pt idx="40">
                  <c:v>-0.18071079761258785</c:v>
                </c:pt>
                <c:pt idx="41">
                  <c:v>-0.17142327650111178</c:v>
                </c:pt>
                <c:pt idx="42">
                  <c:v>-0.16074014939841463</c:v>
                </c:pt>
                <c:pt idx="43">
                  <c:v>-0.15005702229571749</c:v>
                </c:pt>
                <c:pt idx="44">
                  <c:v>-0.13937389519302024</c:v>
                </c:pt>
                <c:pt idx="45">
                  <c:v>-0.1286907680903232</c:v>
                </c:pt>
                <c:pt idx="46">
                  <c:v>-0.11800764098762595</c:v>
                </c:pt>
                <c:pt idx="47">
                  <c:v>-0.10732451388492881</c:v>
                </c:pt>
                <c:pt idx="48">
                  <c:v>-9.6641386782231775E-2</c:v>
                </c:pt>
                <c:pt idx="49">
                  <c:v>-9.2499613062993147E-2</c:v>
                </c:pt>
                <c:pt idx="50">
                  <c:v>-8.8357839343754851E-2</c:v>
                </c:pt>
                <c:pt idx="51">
                  <c:v>-8.4216065624516112E-2</c:v>
                </c:pt>
                <c:pt idx="52">
                  <c:v>-8.0074291905277706E-2</c:v>
                </c:pt>
                <c:pt idx="53">
                  <c:v>-7.5932518186039188E-2</c:v>
                </c:pt>
                <c:pt idx="54">
                  <c:v>-7.1790744466800782E-2</c:v>
                </c:pt>
                <c:pt idx="55">
                  <c:v>-6.7648970747562265E-2</c:v>
                </c:pt>
                <c:pt idx="56">
                  <c:v>-6.3507197028323636E-2</c:v>
                </c:pt>
                <c:pt idx="57">
                  <c:v>-5.936542330908523E-2</c:v>
                </c:pt>
                <c:pt idx="58">
                  <c:v>-5.5223649589846602E-2</c:v>
                </c:pt>
                <c:pt idx="59">
                  <c:v>-5.1081875870608195E-2</c:v>
                </c:pt>
                <c:pt idx="60">
                  <c:v>-4.6940102151369789E-2</c:v>
                </c:pt>
                <c:pt idx="61">
                  <c:v>-4.2798328432131272E-2</c:v>
                </c:pt>
                <c:pt idx="62">
                  <c:v>-3.8656554712892643E-2</c:v>
                </c:pt>
                <c:pt idx="63">
                  <c:v>-3.4514780993654237E-2</c:v>
                </c:pt>
                <c:pt idx="64">
                  <c:v>-3.0373007274415609E-2</c:v>
                </c:pt>
                <c:pt idx="65">
                  <c:v>-2.6231233555177202E-2</c:v>
                </c:pt>
                <c:pt idx="66">
                  <c:v>-2.2089459835938574E-2</c:v>
                </c:pt>
                <c:pt idx="67">
                  <c:v>-1.7947686116700168E-2</c:v>
                </c:pt>
                <c:pt idx="68">
                  <c:v>-1.380591239746165E-2</c:v>
                </c:pt>
                <c:pt idx="69">
                  <c:v>-9.6641386782231331E-3</c:v>
                </c:pt>
                <c:pt idx="70">
                  <c:v>-5.5223649589847268E-3</c:v>
                </c:pt>
                <c:pt idx="71">
                  <c:v>-1.3805912397462095E-3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E4-4A14-93D4-DA5905E4F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42415"/>
        <c:axId val="4512428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Accu60!$O$28</c15:sqref>
                        </c15:formulaRef>
                      </c:ext>
                    </c:extLst>
                    <c:strCache>
                      <c:ptCount val="1"/>
                      <c:pt idx="0">
                        <c:v>Accu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Accu60!$N$29:$N$128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1123</c:v>
                      </c:pt>
                      <c:pt idx="1">
                        <c:v>1126</c:v>
                      </c:pt>
                      <c:pt idx="2">
                        <c:v>1129</c:v>
                      </c:pt>
                      <c:pt idx="3">
                        <c:v>1132</c:v>
                      </c:pt>
                      <c:pt idx="4">
                        <c:v>1135</c:v>
                      </c:pt>
                      <c:pt idx="5">
                        <c:v>1138</c:v>
                      </c:pt>
                      <c:pt idx="6">
                        <c:v>1141</c:v>
                      </c:pt>
                      <c:pt idx="7">
                        <c:v>1144</c:v>
                      </c:pt>
                      <c:pt idx="8">
                        <c:v>1147</c:v>
                      </c:pt>
                      <c:pt idx="9">
                        <c:v>1150</c:v>
                      </c:pt>
                      <c:pt idx="10">
                        <c:v>1153</c:v>
                      </c:pt>
                      <c:pt idx="11">
                        <c:v>1156</c:v>
                      </c:pt>
                      <c:pt idx="12">
                        <c:v>1159</c:v>
                      </c:pt>
                      <c:pt idx="13">
                        <c:v>1162</c:v>
                      </c:pt>
                      <c:pt idx="14">
                        <c:v>1165</c:v>
                      </c:pt>
                      <c:pt idx="15">
                        <c:v>1168</c:v>
                      </c:pt>
                      <c:pt idx="16">
                        <c:v>1171</c:v>
                      </c:pt>
                      <c:pt idx="17">
                        <c:v>1174</c:v>
                      </c:pt>
                      <c:pt idx="18">
                        <c:v>1177</c:v>
                      </c:pt>
                      <c:pt idx="19">
                        <c:v>1180</c:v>
                      </c:pt>
                      <c:pt idx="20">
                        <c:v>1183</c:v>
                      </c:pt>
                      <c:pt idx="21">
                        <c:v>1186</c:v>
                      </c:pt>
                      <c:pt idx="22">
                        <c:v>1189</c:v>
                      </c:pt>
                      <c:pt idx="23">
                        <c:v>1192</c:v>
                      </c:pt>
                      <c:pt idx="24">
                        <c:v>1195</c:v>
                      </c:pt>
                      <c:pt idx="25">
                        <c:v>1198</c:v>
                      </c:pt>
                      <c:pt idx="26">
                        <c:v>1201</c:v>
                      </c:pt>
                      <c:pt idx="27">
                        <c:v>1204</c:v>
                      </c:pt>
                      <c:pt idx="28">
                        <c:v>1207</c:v>
                      </c:pt>
                      <c:pt idx="29">
                        <c:v>1210</c:v>
                      </c:pt>
                      <c:pt idx="30">
                        <c:v>1213</c:v>
                      </c:pt>
                      <c:pt idx="31">
                        <c:v>1216</c:v>
                      </c:pt>
                      <c:pt idx="32">
                        <c:v>1219</c:v>
                      </c:pt>
                      <c:pt idx="33">
                        <c:v>1222</c:v>
                      </c:pt>
                      <c:pt idx="34">
                        <c:v>1225</c:v>
                      </c:pt>
                      <c:pt idx="35">
                        <c:v>1228</c:v>
                      </c:pt>
                      <c:pt idx="36">
                        <c:v>1231</c:v>
                      </c:pt>
                      <c:pt idx="37">
                        <c:v>1234</c:v>
                      </c:pt>
                      <c:pt idx="38">
                        <c:v>1237</c:v>
                      </c:pt>
                      <c:pt idx="39">
                        <c:v>1240</c:v>
                      </c:pt>
                      <c:pt idx="40">
                        <c:v>1243</c:v>
                      </c:pt>
                      <c:pt idx="41">
                        <c:v>1246</c:v>
                      </c:pt>
                      <c:pt idx="42">
                        <c:v>1249</c:v>
                      </c:pt>
                      <c:pt idx="43">
                        <c:v>1252</c:v>
                      </c:pt>
                      <c:pt idx="44">
                        <c:v>1255</c:v>
                      </c:pt>
                      <c:pt idx="45">
                        <c:v>1258</c:v>
                      </c:pt>
                      <c:pt idx="46">
                        <c:v>1261</c:v>
                      </c:pt>
                      <c:pt idx="47">
                        <c:v>1264</c:v>
                      </c:pt>
                      <c:pt idx="48">
                        <c:v>1267</c:v>
                      </c:pt>
                      <c:pt idx="49">
                        <c:v>1270</c:v>
                      </c:pt>
                      <c:pt idx="50">
                        <c:v>1273</c:v>
                      </c:pt>
                      <c:pt idx="51">
                        <c:v>1276</c:v>
                      </c:pt>
                      <c:pt idx="52">
                        <c:v>1279</c:v>
                      </c:pt>
                      <c:pt idx="53">
                        <c:v>1282</c:v>
                      </c:pt>
                      <c:pt idx="54">
                        <c:v>1285</c:v>
                      </c:pt>
                      <c:pt idx="55">
                        <c:v>1288</c:v>
                      </c:pt>
                      <c:pt idx="56">
                        <c:v>1291</c:v>
                      </c:pt>
                      <c:pt idx="57">
                        <c:v>1294</c:v>
                      </c:pt>
                      <c:pt idx="58">
                        <c:v>1297</c:v>
                      </c:pt>
                      <c:pt idx="59">
                        <c:v>1300</c:v>
                      </c:pt>
                      <c:pt idx="60">
                        <c:v>1303</c:v>
                      </c:pt>
                      <c:pt idx="61">
                        <c:v>1306</c:v>
                      </c:pt>
                      <c:pt idx="62">
                        <c:v>1309</c:v>
                      </c:pt>
                      <c:pt idx="63">
                        <c:v>1312</c:v>
                      </c:pt>
                      <c:pt idx="64">
                        <c:v>1315</c:v>
                      </c:pt>
                      <c:pt idx="65">
                        <c:v>1318</c:v>
                      </c:pt>
                      <c:pt idx="66">
                        <c:v>1321</c:v>
                      </c:pt>
                      <c:pt idx="67">
                        <c:v>1324</c:v>
                      </c:pt>
                      <c:pt idx="68">
                        <c:v>1327</c:v>
                      </c:pt>
                      <c:pt idx="69">
                        <c:v>1330</c:v>
                      </c:pt>
                      <c:pt idx="70">
                        <c:v>1333</c:v>
                      </c:pt>
                      <c:pt idx="71">
                        <c:v>1336</c:v>
                      </c:pt>
                      <c:pt idx="72">
                        <c:v>1339</c:v>
                      </c:pt>
                      <c:pt idx="73">
                        <c:v>1342</c:v>
                      </c:pt>
                      <c:pt idx="74">
                        <c:v>1345</c:v>
                      </c:pt>
                      <c:pt idx="75">
                        <c:v>1348</c:v>
                      </c:pt>
                      <c:pt idx="76">
                        <c:v>1351</c:v>
                      </c:pt>
                      <c:pt idx="77">
                        <c:v>1354</c:v>
                      </c:pt>
                      <c:pt idx="78">
                        <c:v>1357</c:v>
                      </c:pt>
                      <c:pt idx="79">
                        <c:v>1360</c:v>
                      </c:pt>
                      <c:pt idx="80">
                        <c:v>1363</c:v>
                      </c:pt>
                      <c:pt idx="81">
                        <c:v>1366</c:v>
                      </c:pt>
                      <c:pt idx="82">
                        <c:v>1369</c:v>
                      </c:pt>
                      <c:pt idx="83">
                        <c:v>1372</c:v>
                      </c:pt>
                      <c:pt idx="84">
                        <c:v>1375</c:v>
                      </c:pt>
                      <c:pt idx="85">
                        <c:v>1378</c:v>
                      </c:pt>
                      <c:pt idx="86">
                        <c:v>1381</c:v>
                      </c:pt>
                      <c:pt idx="87">
                        <c:v>1384</c:v>
                      </c:pt>
                      <c:pt idx="88">
                        <c:v>1387</c:v>
                      </c:pt>
                      <c:pt idx="89">
                        <c:v>1390</c:v>
                      </c:pt>
                      <c:pt idx="90">
                        <c:v>1393</c:v>
                      </c:pt>
                      <c:pt idx="91">
                        <c:v>1396</c:v>
                      </c:pt>
                      <c:pt idx="92">
                        <c:v>1399</c:v>
                      </c:pt>
                      <c:pt idx="93">
                        <c:v>1402</c:v>
                      </c:pt>
                      <c:pt idx="94">
                        <c:v>1405</c:v>
                      </c:pt>
                      <c:pt idx="95">
                        <c:v>1408</c:v>
                      </c:pt>
                      <c:pt idx="96">
                        <c:v>1411</c:v>
                      </c:pt>
                      <c:pt idx="97">
                        <c:v>1414</c:v>
                      </c:pt>
                      <c:pt idx="98">
                        <c:v>1417</c:v>
                      </c:pt>
                      <c:pt idx="99">
                        <c:v>1420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Accu60!$O$29:$O$128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5.4516129032257964E-2</c:v>
                      </c:pt>
                      <c:pt idx="6">
                        <c:v>6.903225806451592E-2</c:v>
                      </c:pt>
                      <c:pt idx="7">
                        <c:v>8.3548387096773868E-2</c:v>
                      </c:pt>
                      <c:pt idx="8">
                        <c:v>9.8064516129031845E-2</c:v>
                      </c:pt>
                      <c:pt idx="9">
                        <c:v>0.11329923273657247</c:v>
                      </c:pt>
                      <c:pt idx="10">
                        <c:v>0.12864450127877197</c:v>
                      </c:pt>
                      <c:pt idx="11">
                        <c:v>0.1439897698209715</c:v>
                      </c:pt>
                      <c:pt idx="12">
                        <c:v>0.15933503836317101</c:v>
                      </c:pt>
                      <c:pt idx="13">
                        <c:v>0.17468030690537054</c:v>
                      </c:pt>
                      <c:pt idx="14">
                        <c:v>0.19002557544757009</c:v>
                      </c:pt>
                      <c:pt idx="15">
                        <c:v>0.2053708439897696</c:v>
                      </c:pt>
                      <c:pt idx="16">
                        <c:v>0.22071611253196913</c:v>
                      </c:pt>
                      <c:pt idx="17">
                        <c:v>0.23606138107416863</c:v>
                      </c:pt>
                      <c:pt idx="18">
                        <c:v>0.25140664961636816</c:v>
                      </c:pt>
                      <c:pt idx="19">
                        <c:v>0.26675191815856769</c:v>
                      </c:pt>
                      <c:pt idx="20">
                        <c:v>0.28209718670076722</c:v>
                      </c:pt>
                      <c:pt idx="21">
                        <c:v>0.29744245524296675</c:v>
                      </c:pt>
                      <c:pt idx="22">
                        <c:v>0.31288659793814427</c:v>
                      </c:pt>
                      <c:pt idx="23">
                        <c:v>0.32835051546391752</c:v>
                      </c:pt>
                      <c:pt idx="24">
                        <c:v>0.34381443298969067</c:v>
                      </c:pt>
                      <c:pt idx="25">
                        <c:v>0.35927835051546386</c:v>
                      </c:pt>
                      <c:pt idx="26">
                        <c:v>0.37474226804123706</c:v>
                      </c:pt>
                      <c:pt idx="27">
                        <c:v>0.39020618556701026</c:v>
                      </c:pt>
                      <c:pt idx="28">
                        <c:v>0.4056701030927834</c:v>
                      </c:pt>
                      <c:pt idx="29">
                        <c:v>0.42113402061855659</c:v>
                      </c:pt>
                      <c:pt idx="30">
                        <c:v>0.43659793814432973</c:v>
                      </c:pt>
                      <c:pt idx="31">
                        <c:v>0.45206185567010299</c:v>
                      </c:pt>
                      <c:pt idx="32">
                        <c:v>0.46752577319587618</c:v>
                      </c:pt>
                      <c:pt idx="33">
                        <c:v>0.48298969072164932</c:v>
                      </c:pt>
                      <c:pt idx="34">
                        <c:v>0.49845360824742252</c:v>
                      </c:pt>
                      <c:pt idx="35">
                        <c:v>0.5139175257731956</c:v>
                      </c:pt>
                      <c:pt idx="36">
                        <c:v>0.52938144329896886</c:v>
                      </c:pt>
                      <c:pt idx="37">
                        <c:v>0.54484536082474211</c:v>
                      </c:pt>
                      <c:pt idx="38">
                        <c:v>0.56030927835051525</c:v>
                      </c:pt>
                      <c:pt idx="39">
                        <c:v>0.57577319587628839</c:v>
                      </c:pt>
                      <c:pt idx="40">
                        <c:v>0.59123711340206153</c:v>
                      </c:pt>
                      <c:pt idx="41">
                        <c:v>0.60563380281690127</c:v>
                      </c:pt>
                      <c:pt idx="42">
                        <c:v>0.61863488624051988</c:v>
                      </c:pt>
                      <c:pt idx="43">
                        <c:v>0.63163596966413849</c:v>
                      </c:pt>
                      <c:pt idx="44">
                        <c:v>0.64463705308775709</c:v>
                      </c:pt>
                      <c:pt idx="45">
                        <c:v>0.65763813651137581</c:v>
                      </c:pt>
                      <c:pt idx="46">
                        <c:v>0.67063921993499442</c:v>
                      </c:pt>
                      <c:pt idx="47">
                        <c:v>0.68364030335861303</c:v>
                      </c:pt>
                      <c:pt idx="48">
                        <c:v>0.69664138678223175</c:v>
                      </c:pt>
                      <c:pt idx="49">
                        <c:v>0.70964247020585025</c:v>
                      </c:pt>
                      <c:pt idx="50">
                        <c:v>0.72264355362946908</c:v>
                      </c:pt>
                      <c:pt idx="51">
                        <c:v>0.73564463705308758</c:v>
                      </c:pt>
                      <c:pt idx="52">
                        <c:v>0.74864572047670619</c:v>
                      </c:pt>
                      <c:pt idx="53">
                        <c:v>0.76164680390032491</c:v>
                      </c:pt>
                      <c:pt idx="54">
                        <c:v>0.77464788732394363</c:v>
                      </c:pt>
                      <c:pt idx="55">
                        <c:v>0.78764897074756224</c:v>
                      </c:pt>
                      <c:pt idx="56">
                        <c:v>0.80065005417118074</c:v>
                      </c:pt>
                      <c:pt idx="57">
                        <c:v>0.81365113759479946</c:v>
                      </c:pt>
                      <c:pt idx="58">
                        <c:v>0.82665222101841807</c:v>
                      </c:pt>
                      <c:pt idx="59">
                        <c:v>0.83965330444203679</c:v>
                      </c:pt>
                      <c:pt idx="60">
                        <c:v>0.85265438786565551</c:v>
                      </c:pt>
                      <c:pt idx="61">
                        <c:v>0.865655471289274</c:v>
                      </c:pt>
                      <c:pt idx="62">
                        <c:v>0.87865655471289261</c:v>
                      </c:pt>
                      <c:pt idx="63">
                        <c:v>0.89165763813651133</c:v>
                      </c:pt>
                      <c:pt idx="64">
                        <c:v>0.90465872156012994</c:v>
                      </c:pt>
                      <c:pt idx="65">
                        <c:v>0.91765980498374866</c:v>
                      </c:pt>
                      <c:pt idx="66">
                        <c:v>0.93066088840736716</c:v>
                      </c:pt>
                      <c:pt idx="67">
                        <c:v>0.94366197183098588</c:v>
                      </c:pt>
                      <c:pt idx="68">
                        <c:v>0.95666305525460449</c:v>
                      </c:pt>
                      <c:pt idx="69">
                        <c:v>0.96966413867822321</c:v>
                      </c:pt>
                      <c:pt idx="70">
                        <c:v>0.98266522210184193</c:v>
                      </c:pt>
                      <c:pt idx="71">
                        <c:v>0.99566630552546043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4-4A14-93D4-DA5905E4F7D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Accu60!$P$28</c15:sqref>
                        </c15:formulaRef>
                      </c:ext>
                    </c:extLst>
                    <c:strCache>
                      <c:ptCount val="1"/>
                      <c:pt idx="0">
                        <c:v>Zeni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Accu60!$N$29:$N$128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1123</c:v>
                      </c:pt>
                      <c:pt idx="1">
                        <c:v>1126</c:v>
                      </c:pt>
                      <c:pt idx="2">
                        <c:v>1129</c:v>
                      </c:pt>
                      <c:pt idx="3">
                        <c:v>1132</c:v>
                      </c:pt>
                      <c:pt idx="4">
                        <c:v>1135</c:v>
                      </c:pt>
                      <c:pt idx="5">
                        <c:v>1138</c:v>
                      </c:pt>
                      <c:pt idx="6">
                        <c:v>1141</c:v>
                      </c:pt>
                      <c:pt idx="7">
                        <c:v>1144</c:v>
                      </c:pt>
                      <c:pt idx="8">
                        <c:v>1147</c:v>
                      </c:pt>
                      <c:pt idx="9">
                        <c:v>1150</c:v>
                      </c:pt>
                      <c:pt idx="10">
                        <c:v>1153</c:v>
                      </c:pt>
                      <c:pt idx="11">
                        <c:v>1156</c:v>
                      </c:pt>
                      <c:pt idx="12">
                        <c:v>1159</c:v>
                      </c:pt>
                      <c:pt idx="13">
                        <c:v>1162</c:v>
                      </c:pt>
                      <c:pt idx="14">
                        <c:v>1165</c:v>
                      </c:pt>
                      <c:pt idx="15">
                        <c:v>1168</c:v>
                      </c:pt>
                      <c:pt idx="16">
                        <c:v>1171</c:v>
                      </c:pt>
                      <c:pt idx="17">
                        <c:v>1174</c:v>
                      </c:pt>
                      <c:pt idx="18">
                        <c:v>1177</c:v>
                      </c:pt>
                      <c:pt idx="19">
                        <c:v>1180</c:v>
                      </c:pt>
                      <c:pt idx="20">
                        <c:v>1183</c:v>
                      </c:pt>
                      <c:pt idx="21">
                        <c:v>1186</c:v>
                      </c:pt>
                      <c:pt idx="22">
                        <c:v>1189</c:v>
                      </c:pt>
                      <c:pt idx="23">
                        <c:v>1192</c:v>
                      </c:pt>
                      <c:pt idx="24">
                        <c:v>1195</c:v>
                      </c:pt>
                      <c:pt idx="25">
                        <c:v>1198</c:v>
                      </c:pt>
                      <c:pt idx="26">
                        <c:v>1201</c:v>
                      </c:pt>
                      <c:pt idx="27">
                        <c:v>1204</c:v>
                      </c:pt>
                      <c:pt idx="28">
                        <c:v>1207</c:v>
                      </c:pt>
                      <c:pt idx="29">
                        <c:v>1210</c:v>
                      </c:pt>
                      <c:pt idx="30">
                        <c:v>1213</c:v>
                      </c:pt>
                      <c:pt idx="31">
                        <c:v>1216</c:v>
                      </c:pt>
                      <c:pt idx="32">
                        <c:v>1219</c:v>
                      </c:pt>
                      <c:pt idx="33">
                        <c:v>1222</c:v>
                      </c:pt>
                      <c:pt idx="34">
                        <c:v>1225</c:v>
                      </c:pt>
                      <c:pt idx="35">
                        <c:v>1228</c:v>
                      </c:pt>
                      <c:pt idx="36">
                        <c:v>1231</c:v>
                      </c:pt>
                      <c:pt idx="37">
                        <c:v>1234</c:v>
                      </c:pt>
                      <c:pt idx="38">
                        <c:v>1237</c:v>
                      </c:pt>
                      <c:pt idx="39">
                        <c:v>1240</c:v>
                      </c:pt>
                      <c:pt idx="40">
                        <c:v>1243</c:v>
                      </c:pt>
                      <c:pt idx="41">
                        <c:v>1246</c:v>
                      </c:pt>
                      <c:pt idx="42">
                        <c:v>1249</c:v>
                      </c:pt>
                      <c:pt idx="43">
                        <c:v>1252</c:v>
                      </c:pt>
                      <c:pt idx="44">
                        <c:v>1255</c:v>
                      </c:pt>
                      <c:pt idx="45">
                        <c:v>1258</c:v>
                      </c:pt>
                      <c:pt idx="46">
                        <c:v>1261</c:v>
                      </c:pt>
                      <c:pt idx="47">
                        <c:v>1264</c:v>
                      </c:pt>
                      <c:pt idx="48">
                        <c:v>1267</c:v>
                      </c:pt>
                      <c:pt idx="49">
                        <c:v>1270</c:v>
                      </c:pt>
                      <c:pt idx="50">
                        <c:v>1273</c:v>
                      </c:pt>
                      <c:pt idx="51">
                        <c:v>1276</c:v>
                      </c:pt>
                      <c:pt idx="52">
                        <c:v>1279</c:v>
                      </c:pt>
                      <c:pt idx="53">
                        <c:v>1282</c:v>
                      </c:pt>
                      <c:pt idx="54">
                        <c:v>1285</c:v>
                      </c:pt>
                      <c:pt idx="55">
                        <c:v>1288</c:v>
                      </c:pt>
                      <c:pt idx="56">
                        <c:v>1291</c:v>
                      </c:pt>
                      <c:pt idx="57">
                        <c:v>1294</c:v>
                      </c:pt>
                      <c:pt idx="58">
                        <c:v>1297</c:v>
                      </c:pt>
                      <c:pt idx="59">
                        <c:v>1300</c:v>
                      </c:pt>
                      <c:pt idx="60">
                        <c:v>1303</c:v>
                      </c:pt>
                      <c:pt idx="61">
                        <c:v>1306</c:v>
                      </c:pt>
                      <c:pt idx="62">
                        <c:v>1309</c:v>
                      </c:pt>
                      <c:pt idx="63">
                        <c:v>1312</c:v>
                      </c:pt>
                      <c:pt idx="64">
                        <c:v>1315</c:v>
                      </c:pt>
                      <c:pt idx="65">
                        <c:v>1318</c:v>
                      </c:pt>
                      <c:pt idx="66">
                        <c:v>1321</c:v>
                      </c:pt>
                      <c:pt idx="67">
                        <c:v>1324</c:v>
                      </c:pt>
                      <c:pt idx="68">
                        <c:v>1327</c:v>
                      </c:pt>
                      <c:pt idx="69">
                        <c:v>1330</c:v>
                      </c:pt>
                      <c:pt idx="70">
                        <c:v>1333</c:v>
                      </c:pt>
                      <c:pt idx="71">
                        <c:v>1336</c:v>
                      </c:pt>
                      <c:pt idx="72">
                        <c:v>1339</c:v>
                      </c:pt>
                      <c:pt idx="73">
                        <c:v>1342</c:v>
                      </c:pt>
                      <c:pt idx="74">
                        <c:v>1345</c:v>
                      </c:pt>
                      <c:pt idx="75">
                        <c:v>1348</c:v>
                      </c:pt>
                      <c:pt idx="76">
                        <c:v>1351</c:v>
                      </c:pt>
                      <c:pt idx="77">
                        <c:v>1354</c:v>
                      </c:pt>
                      <c:pt idx="78">
                        <c:v>1357</c:v>
                      </c:pt>
                      <c:pt idx="79">
                        <c:v>1360</c:v>
                      </c:pt>
                      <c:pt idx="80">
                        <c:v>1363</c:v>
                      </c:pt>
                      <c:pt idx="81">
                        <c:v>1366</c:v>
                      </c:pt>
                      <c:pt idx="82">
                        <c:v>1369</c:v>
                      </c:pt>
                      <c:pt idx="83">
                        <c:v>1372</c:v>
                      </c:pt>
                      <c:pt idx="84">
                        <c:v>1375</c:v>
                      </c:pt>
                      <c:pt idx="85">
                        <c:v>1378</c:v>
                      </c:pt>
                      <c:pt idx="86">
                        <c:v>1381</c:v>
                      </c:pt>
                      <c:pt idx="87">
                        <c:v>1384</c:v>
                      </c:pt>
                      <c:pt idx="88">
                        <c:v>1387</c:v>
                      </c:pt>
                      <c:pt idx="89">
                        <c:v>1390</c:v>
                      </c:pt>
                      <c:pt idx="90">
                        <c:v>1393</c:v>
                      </c:pt>
                      <c:pt idx="91">
                        <c:v>1396</c:v>
                      </c:pt>
                      <c:pt idx="92">
                        <c:v>1399</c:v>
                      </c:pt>
                      <c:pt idx="93">
                        <c:v>1402</c:v>
                      </c:pt>
                      <c:pt idx="94">
                        <c:v>1405</c:v>
                      </c:pt>
                      <c:pt idx="95">
                        <c:v>1408</c:v>
                      </c:pt>
                      <c:pt idx="96">
                        <c:v>1411</c:v>
                      </c:pt>
                      <c:pt idx="97">
                        <c:v>1414</c:v>
                      </c:pt>
                      <c:pt idx="98">
                        <c:v>1417</c:v>
                      </c:pt>
                      <c:pt idx="99">
                        <c:v>1420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Accu60!$P$29:$P$128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2.2641509433962265E-3</c:v>
                      </c:pt>
                      <c:pt idx="2">
                        <c:v>4.528301886792453E-3</c:v>
                      </c:pt>
                      <c:pt idx="3">
                        <c:v>6.7924528301886791E-3</c:v>
                      </c:pt>
                      <c:pt idx="4">
                        <c:v>9.0566037735849061E-3</c:v>
                      </c:pt>
                      <c:pt idx="5">
                        <c:v>1.1320754716981131E-2</c:v>
                      </c:pt>
                      <c:pt idx="6">
                        <c:v>1.3584905660377358E-2</c:v>
                      </c:pt>
                      <c:pt idx="7">
                        <c:v>1.5849056603773583E-2</c:v>
                      </c:pt>
                      <c:pt idx="8">
                        <c:v>1.8113207547169812E-2</c:v>
                      </c:pt>
                      <c:pt idx="9">
                        <c:v>2.0377358490566037E-2</c:v>
                      </c:pt>
                      <c:pt idx="10">
                        <c:v>2.2641509433962263E-2</c:v>
                      </c:pt>
                      <c:pt idx="11">
                        <c:v>2.4905660377358491E-2</c:v>
                      </c:pt>
                      <c:pt idx="12">
                        <c:v>2.7169811320754716E-2</c:v>
                      </c:pt>
                      <c:pt idx="13">
                        <c:v>2.9433962264150945E-2</c:v>
                      </c:pt>
                      <c:pt idx="14">
                        <c:v>3.1698113207547167E-2</c:v>
                      </c:pt>
                      <c:pt idx="15">
                        <c:v>3.3962264150943396E-2</c:v>
                      </c:pt>
                      <c:pt idx="16">
                        <c:v>3.6226415094339624E-2</c:v>
                      </c:pt>
                      <c:pt idx="17">
                        <c:v>3.8490566037735853E-2</c:v>
                      </c:pt>
                      <c:pt idx="18">
                        <c:v>4.2068965517241388E-2</c:v>
                      </c:pt>
                      <c:pt idx="19">
                        <c:v>4.8275862068965517E-2</c:v>
                      </c:pt>
                      <c:pt idx="20">
                        <c:v>5.4482758620689659E-2</c:v>
                      </c:pt>
                      <c:pt idx="21">
                        <c:v>6.0689655172413794E-2</c:v>
                      </c:pt>
                      <c:pt idx="22">
                        <c:v>6.6896551724137929E-2</c:v>
                      </c:pt>
                      <c:pt idx="23">
                        <c:v>7.3103448275862071E-2</c:v>
                      </c:pt>
                      <c:pt idx="24">
                        <c:v>7.9310344827586213E-2</c:v>
                      </c:pt>
                      <c:pt idx="25">
                        <c:v>8.5517241379310355E-2</c:v>
                      </c:pt>
                      <c:pt idx="26">
                        <c:v>9.1724137931034483E-2</c:v>
                      </c:pt>
                      <c:pt idx="27">
                        <c:v>9.7931034482758625E-2</c:v>
                      </c:pt>
                      <c:pt idx="28">
                        <c:v>0.11666666666666668</c:v>
                      </c:pt>
                      <c:pt idx="29">
                        <c:v>0.14166666666666669</c:v>
                      </c:pt>
                      <c:pt idx="30">
                        <c:v>0.16666666666666666</c:v>
                      </c:pt>
                      <c:pt idx="31">
                        <c:v>0.19166666666666665</c:v>
                      </c:pt>
                      <c:pt idx="32">
                        <c:v>0.21666666666666667</c:v>
                      </c:pt>
                      <c:pt idx="33">
                        <c:v>0.24166666666666667</c:v>
                      </c:pt>
                      <c:pt idx="34">
                        <c:v>0.26666666666666666</c:v>
                      </c:pt>
                      <c:pt idx="35">
                        <c:v>0.29166666666666663</c:v>
                      </c:pt>
                      <c:pt idx="36">
                        <c:v>0.31578947368421045</c:v>
                      </c:pt>
                      <c:pt idx="37">
                        <c:v>0.33947368421052632</c:v>
                      </c:pt>
                      <c:pt idx="38">
                        <c:v>0.36315789473684212</c:v>
                      </c:pt>
                      <c:pt idx="39">
                        <c:v>0.38684210526315788</c:v>
                      </c:pt>
                      <c:pt idx="40">
                        <c:v>0.41052631578947368</c:v>
                      </c:pt>
                      <c:pt idx="41">
                        <c:v>0.43421052631578949</c:v>
                      </c:pt>
                      <c:pt idx="42">
                        <c:v>0.45789473684210524</c:v>
                      </c:pt>
                      <c:pt idx="43">
                        <c:v>0.481578947368421</c:v>
                      </c:pt>
                      <c:pt idx="44">
                        <c:v>0.50526315789473686</c:v>
                      </c:pt>
                      <c:pt idx="45">
                        <c:v>0.52894736842105261</c:v>
                      </c:pt>
                      <c:pt idx="46">
                        <c:v>0.55263157894736847</c:v>
                      </c:pt>
                      <c:pt idx="47">
                        <c:v>0.57631578947368423</c:v>
                      </c:pt>
                      <c:pt idx="48">
                        <c:v>0.6</c:v>
                      </c:pt>
                      <c:pt idx="49">
                        <c:v>0.6171428571428571</c:v>
                      </c:pt>
                      <c:pt idx="50">
                        <c:v>0.63428571428571423</c:v>
                      </c:pt>
                      <c:pt idx="51">
                        <c:v>0.65142857142857147</c:v>
                      </c:pt>
                      <c:pt idx="52">
                        <c:v>0.66857142857142848</c:v>
                      </c:pt>
                      <c:pt idx="53">
                        <c:v>0.68571428571428572</c:v>
                      </c:pt>
                      <c:pt idx="54">
                        <c:v>0.70285714285714285</c:v>
                      </c:pt>
                      <c:pt idx="55">
                        <c:v>0.72</c:v>
                      </c:pt>
                      <c:pt idx="56">
                        <c:v>0.7371428571428571</c:v>
                      </c:pt>
                      <c:pt idx="57">
                        <c:v>0.75428571428571423</c:v>
                      </c:pt>
                      <c:pt idx="58">
                        <c:v>0.77142857142857146</c:v>
                      </c:pt>
                      <c:pt idx="59">
                        <c:v>0.78857142857142859</c:v>
                      </c:pt>
                      <c:pt idx="60">
                        <c:v>0.80571428571428572</c:v>
                      </c:pt>
                      <c:pt idx="61">
                        <c:v>0.82285714285714273</c:v>
                      </c:pt>
                      <c:pt idx="62">
                        <c:v>0.84</c:v>
                      </c:pt>
                      <c:pt idx="63">
                        <c:v>0.8571428571428571</c:v>
                      </c:pt>
                      <c:pt idx="64">
                        <c:v>0.87428571428571433</c:v>
                      </c:pt>
                      <c:pt idx="65">
                        <c:v>0.89142857142857146</c:v>
                      </c:pt>
                      <c:pt idx="66">
                        <c:v>0.90857142857142859</c:v>
                      </c:pt>
                      <c:pt idx="67">
                        <c:v>0.92571428571428571</c:v>
                      </c:pt>
                      <c:pt idx="68">
                        <c:v>0.94285714285714284</c:v>
                      </c:pt>
                      <c:pt idx="69">
                        <c:v>0.96000000000000008</c:v>
                      </c:pt>
                      <c:pt idx="70">
                        <c:v>0.9771428571428572</c:v>
                      </c:pt>
                      <c:pt idx="71">
                        <c:v>0.99428571428571422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3E4-4A14-93D4-DA5905E4F7D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Accu60!$Q$28</c15:sqref>
                        </c15:formulaRef>
                      </c:ext>
                    </c:extLst>
                    <c:strCache>
                      <c:ptCount val="1"/>
                      <c:pt idx="0">
                        <c:v>Nom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Accu60!$N$29:$N$128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1123</c:v>
                      </c:pt>
                      <c:pt idx="1">
                        <c:v>1126</c:v>
                      </c:pt>
                      <c:pt idx="2">
                        <c:v>1129</c:v>
                      </c:pt>
                      <c:pt idx="3">
                        <c:v>1132</c:v>
                      </c:pt>
                      <c:pt idx="4">
                        <c:v>1135</c:v>
                      </c:pt>
                      <c:pt idx="5">
                        <c:v>1138</c:v>
                      </c:pt>
                      <c:pt idx="6">
                        <c:v>1141</c:v>
                      </c:pt>
                      <c:pt idx="7">
                        <c:v>1144</c:v>
                      </c:pt>
                      <c:pt idx="8">
                        <c:v>1147</c:v>
                      </c:pt>
                      <c:pt idx="9">
                        <c:v>1150</c:v>
                      </c:pt>
                      <c:pt idx="10">
                        <c:v>1153</c:v>
                      </c:pt>
                      <c:pt idx="11">
                        <c:v>1156</c:v>
                      </c:pt>
                      <c:pt idx="12">
                        <c:v>1159</c:v>
                      </c:pt>
                      <c:pt idx="13">
                        <c:v>1162</c:v>
                      </c:pt>
                      <c:pt idx="14">
                        <c:v>1165</c:v>
                      </c:pt>
                      <c:pt idx="15">
                        <c:v>1168</c:v>
                      </c:pt>
                      <c:pt idx="16">
                        <c:v>1171</c:v>
                      </c:pt>
                      <c:pt idx="17">
                        <c:v>1174</c:v>
                      </c:pt>
                      <c:pt idx="18">
                        <c:v>1177</c:v>
                      </c:pt>
                      <c:pt idx="19">
                        <c:v>1180</c:v>
                      </c:pt>
                      <c:pt idx="20">
                        <c:v>1183</c:v>
                      </c:pt>
                      <c:pt idx="21">
                        <c:v>1186</c:v>
                      </c:pt>
                      <c:pt idx="22">
                        <c:v>1189</c:v>
                      </c:pt>
                      <c:pt idx="23">
                        <c:v>1192</c:v>
                      </c:pt>
                      <c:pt idx="24">
                        <c:v>1195</c:v>
                      </c:pt>
                      <c:pt idx="25">
                        <c:v>1198</c:v>
                      </c:pt>
                      <c:pt idx="26">
                        <c:v>1201</c:v>
                      </c:pt>
                      <c:pt idx="27">
                        <c:v>1204</c:v>
                      </c:pt>
                      <c:pt idx="28">
                        <c:v>1207</c:v>
                      </c:pt>
                      <c:pt idx="29">
                        <c:v>1210</c:v>
                      </c:pt>
                      <c:pt idx="30">
                        <c:v>1213</c:v>
                      </c:pt>
                      <c:pt idx="31">
                        <c:v>1216</c:v>
                      </c:pt>
                      <c:pt idx="32">
                        <c:v>1219</c:v>
                      </c:pt>
                      <c:pt idx="33">
                        <c:v>1222</c:v>
                      </c:pt>
                      <c:pt idx="34">
                        <c:v>1225</c:v>
                      </c:pt>
                      <c:pt idx="35">
                        <c:v>1228</c:v>
                      </c:pt>
                      <c:pt idx="36">
                        <c:v>1231</c:v>
                      </c:pt>
                      <c:pt idx="37">
                        <c:v>1234</c:v>
                      </c:pt>
                      <c:pt idx="38">
                        <c:v>1237</c:v>
                      </c:pt>
                      <c:pt idx="39">
                        <c:v>1240</c:v>
                      </c:pt>
                      <c:pt idx="40">
                        <c:v>1243</c:v>
                      </c:pt>
                      <c:pt idx="41">
                        <c:v>1246</c:v>
                      </c:pt>
                      <c:pt idx="42">
                        <c:v>1249</c:v>
                      </c:pt>
                      <c:pt idx="43">
                        <c:v>1252</c:v>
                      </c:pt>
                      <c:pt idx="44">
                        <c:v>1255</c:v>
                      </c:pt>
                      <c:pt idx="45">
                        <c:v>1258</c:v>
                      </c:pt>
                      <c:pt idx="46">
                        <c:v>1261</c:v>
                      </c:pt>
                      <c:pt idx="47">
                        <c:v>1264</c:v>
                      </c:pt>
                      <c:pt idx="48">
                        <c:v>1267</c:v>
                      </c:pt>
                      <c:pt idx="49">
                        <c:v>1270</c:v>
                      </c:pt>
                      <c:pt idx="50">
                        <c:v>1273</c:v>
                      </c:pt>
                      <c:pt idx="51">
                        <c:v>1276</c:v>
                      </c:pt>
                      <c:pt idx="52">
                        <c:v>1279</c:v>
                      </c:pt>
                      <c:pt idx="53">
                        <c:v>1282</c:v>
                      </c:pt>
                      <c:pt idx="54">
                        <c:v>1285</c:v>
                      </c:pt>
                      <c:pt idx="55">
                        <c:v>1288</c:v>
                      </c:pt>
                      <c:pt idx="56">
                        <c:v>1291</c:v>
                      </c:pt>
                      <c:pt idx="57">
                        <c:v>1294</c:v>
                      </c:pt>
                      <c:pt idx="58">
                        <c:v>1297</c:v>
                      </c:pt>
                      <c:pt idx="59">
                        <c:v>1300</c:v>
                      </c:pt>
                      <c:pt idx="60">
                        <c:v>1303</c:v>
                      </c:pt>
                      <c:pt idx="61">
                        <c:v>1306</c:v>
                      </c:pt>
                      <c:pt idx="62">
                        <c:v>1309</c:v>
                      </c:pt>
                      <c:pt idx="63">
                        <c:v>1312</c:v>
                      </c:pt>
                      <c:pt idx="64">
                        <c:v>1315</c:v>
                      </c:pt>
                      <c:pt idx="65">
                        <c:v>1318</c:v>
                      </c:pt>
                      <c:pt idx="66">
                        <c:v>1321</c:v>
                      </c:pt>
                      <c:pt idx="67">
                        <c:v>1324</c:v>
                      </c:pt>
                      <c:pt idx="68">
                        <c:v>1327</c:v>
                      </c:pt>
                      <c:pt idx="69">
                        <c:v>1330</c:v>
                      </c:pt>
                      <c:pt idx="70">
                        <c:v>1333</c:v>
                      </c:pt>
                      <c:pt idx="71">
                        <c:v>1336</c:v>
                      </c:pt>
                      <c:pt idx="72">
                        <c:v>1339</c:v>
                      </c:pt>
                      <c:pt idx="73">
                        <c:v>1342</c:v>
                      </c:pt>
                      <c:pt idx="74">
                        <c:v>1345</c:v>
                      </c:pt>
                      <c:pt idx="75">
                        <c:v>1348</c:v>
                      </c:pt>
                      <c:pt idx="76">
                        <c:v>1351</c:v>
                      </c:pt>
                      <c:pt idx="77">
                        <c:v>1354</c:v>
                      </c:pt>
                      <c:pt idx="78">
                        <c:v>1357</c:v>
                      </c:pt>
                      <c:pt idx="79">
                        <c:v>1360</c:v>
                      </c:pt>
                      <c:pt idx="80">
                        <c:v>1363</c:v>
                      </c:pt>
                      <c:pt idx="81">
                        <c:v>1366</c:v>
                      </c:pt>
                      <c:pt idx="82">
                        <c:v>1369</c:v>
                      </c:pt>
                      <c:pt idx="83">
                        <c:v>1372</c:v>
                      </c:pt>
                      <c:pt idx="84">
                        <c:v>1375</c:v>
                      </c:pt>
                      <c:pt idx="85">
                        <c:v>1378</c:v>
                      </c:pt>
                      <c:pt idx="86">
                        <c:v>1381</c:v>
                      </c:pt>
                      <c:pt idx="87">
                        <c:v>1384</c:v>
                      </c:pt>
                      <c:pt idx="88">
                        <c:v>1387</c:v>
                      </c:pt>
                      <c:pt idx="89">
                        <c:v>1390</c:v>
                      </c:pt>
                      <c:pt idx="90">
                        <c:v>1393</c:v>
                      </c:pt>
                      <c:pt idx="91">
                        <c:v>1396</c:v>
                      </c:pt>
                      <c:pt idx="92">
                        <c:v>1399</c:v>
                      </c:pt>
                      <c:pt idx="93">
                        <c:v>1402</c:v>
                      </c:pt>
                      <c:pt idx="94">
                        <c:v>1405</c:v>
                      </c:pt>
                      <c:pt idx="95">
                        <c:v>1408</c:v>
                      </c:pt>
                      <c:pt idx="96">
                        <c:v>1411</c:v>
                      </c:pt>
                      <c:pt idx="97">
                        <c:v>1414</c:v>
                      </c:pt>
                      <c:pt idx="98">
                        <c:v>1417</c:v>
                      </c:pt>
                      <c:pt idx="99">
                        <c:v>1420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Accu60!$Q$29:$Q$128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3.6923076923076922E-3</c:v>
                      </c:pt>
                      <c:pt idx="2">
                        <c:v>7.3846153846153844E-3</c:v>
                      </c:pt>
                      <c:pt idx="3">
                        <c:v>1.1076923076923076E-2</c:v>
                      </c:pt>
                      <c:pt idx="4">
                        <c:v>1.4769230769230769E-2</c:v>
                      </c:pt>
                      <c:pt idx="5">
                        <c:v>1.846153846153846E-2</c:v>
                      </c:pt>
                      <c:pt idx="6">
                        <c:v>2.2153846153846152E-2</c:v>
                      </c:pt>
                      <c:pt idx="7">
                        <c:v>2.5846153846153845E-2</c:v>
                      </c:pt>
                      <c:pt idx="8">
                        <c:v>2.9538461538461538E-2</c:v>
                      </c:pt>
                      <c:pt idx="9">
                        <c:v>3.323076923076923E-2</c:v>
                      </c:pt>
                      <c:pt idx="10">
                        <c:v>3.692307692307692E-2</c:v>
                      </c:pt>
                      <c:pt idx="11">
                        <c:v>4.1449275362318842E-2</c:v>
                      </c:pt>
                      <c:pt idx="12">
                        <c:v>5.0144927536231863E-2</c:v>
                      </c:pt>
                      <c:pt idx="13">
                        <c:v>5.8840579710144884E-2</c:v>
                      </c:pt>
                      <c:pt idx="14">
                        <c:v>6.7536231884057912E-2</c:v>
                      </c:pt>
                      <c:pt idx="15">
                        <c:v>7.6231884057970933E-2</c:v>
                      </c:pt>
                      <c:pt idx="16">
                        <c:v>8.4927536231883954E-2</c:v>
                      </c:pt>
                      <c:pt idx="17">
                        <c:v>9.3623188405796989E-2</c:v>
                      </c:pt>
                      <c:pt idx="18">
                        <c:v>0.10507131537242445</c:v>
                      </c:pt>
                      <c:pt idx="19">
                        <c:v>0.12408874801901719</c:v>
                      </c:pt>
                      <c:pt idx="20">
                        <c:v>0.14310618066560993</c:v>
                      </c:pt>
                      <c:pt idx="21">
                        <c:v>0.16212361331220265</c:v>
                      </c:pt>
                      <c:pt idx="22">
                        <c:v>0.18114104595879538</c:v>
                      </c:pt>
                      <c:pt idx="23">
                        <c:v>0.20015847860538813</c:v>
                      </c:pt>
                      <c:pt idx="24">
                        <c:v>0.21917591125198088</c:v>
                      </c:pt>
                      <c:pt idx="25">
                        <c:v>0.23819334389857361</c:v>
                      </c:pt>
                      <c:pt idx="26">
                        <c:v>0.25721077654516633</c:v>
                      </c:pt>
                      <c:pt idx="27">
                        <c:v>0.27622820919175906</c:v>
                      </c:pt>
                      <c:pt idx="28">
                        <c:v>0.29524564183835178</c:v>
                      </c:pt>
                      <c:pt idx="29">
                        <c:v>0.31403326403326404</c:v>
                      </c:pt>
                      <c:pt idx="30">
                        <c:v>0.33274428274428275</c:v>
                      </c:pt>
                      <c:pt idx="31">
                        <c:v>0.35145530145530157</c:v>
                      </c:pt>
                      <c:pt idx="32">
                        <c:v>0.37016632016632028</c:v>
                      </c:pt>
                      <c:pt idx="33">
                        <c:v>0.388877338877339</c:v>
                      </c:pt>
                      <c:pt idx="34">
                        <c:v>0.40758835758835776</c:v>
                      </c:pt>
                      <c:pt idx="35">
                        <c:v>0.42629937629937659</c:v>
                      </c:pt>
                      <c:pt idx="36">
                        <c:v>0.4450103950103953</c:v>
                      </c:pt>
                      <c:pt idx="37">
                        <c:v>0.46372141372141401</c:v>
                      </c:pt>
                      <c:pt idx="38">
                        <c:v>0.48243243243243278</c:v>
                      </c:pt>
                      <c:pt idx="39">
                        <c:v>0.50114345114345149</c:v>
                      </c:pt>
                      <c:pt idx="40">
                        <c:v>0.51985446985447026</c:v>
                      </c:pt>
                      <c:pt idx="41">
                        <c:v>0.53856548856548903</c:v>
                      </c:pt>
                      <c:pt idx="42">
                        <c:v>0.55727650727650768</c:v>
                      </c:pt>
                      <c:pt idx="43">
                        <c:v>0.57598752598752656</c:v>
                      </c:pt>
                      <c:pt idx="44">
                        <c:v>0.59469854469854522</c:v>
                      </c:pt>
                      <c:pt idx="45">
                        <c:v>0.61059765865680882</c:v>
                      </c:pt>
                      <c:pt idx="46">
                        <c:v>0.62538508934072745</c:v>
                      </c:pt>
                      <c:pt idx="47">
                        <c:v>0.64017252002464609</c:v>
                      </c:pt>
                      <c:pt idx="48">
                        <c:v>0.65495995070856472</c:v>
                      </c:pt>
                      <c:pt idx="49">
                        <c:v>0.66974738139248335</c:v>
                      </c:pt>
                      <c:pt idx="50">
                        <c:v>0.6845348120764021</c:v>
                      </c:pt>
                      <c:pt idx="51">
                        <c:v>0.69932224276032073</c:v>
                      </c:pt>
                      <c:pt idx="52">
                        <c:v>0.71410967344423937</c:v>
                      </c:pt>
                      <c:pt idx="53">
                        <c:v>0.728897104128158</c:v>
                      </c:pt>
                      <c:pt idx="54">
                        <c:v>0.74368453481207675</c:v>
                      </c:pt>
                      <c:pt idx="55">
                        <c:v>0.75847196549599527</c:v>
                      </c:pt>
                      <c:pt idx="56">
                        <c:v>0.7732593961799139</c:v>
                      </c:pt>
                      <c:pt idx="57">
                        <c:v>0.78804682686383265</c:v>
                      </c:pt>
                      <c:pt idx="58">
                        <c:v>0.80283425754775128</c:v>
                      </c:pt>
                      <c:pt idx="59">
                        <c:v>0.81762168823167003</c:v>
                      </c:pt>
                      <c:pt idx="60">
                        <c:v>0.83240911891558866</c:v>
                      </c:pt>
                      <c:pt idx="61">
                        <c:v>0.84719654959950719</c:v>
                      </c:pt>
                      <c:pt idx="62">
                        <c:v>0.86198398028342582</c:v>
                      </c:pt>
                      <c:pt idx="63">
                        <c:v>0.87677141096734457</c:v>
                      </c:pt>
                      <c:pt idx="64">
                        <c:v>0.8915588416512632</c:v>
                      </c:pt>
                      <c:pt idx="65">
                        <c:v>0.90634627233518195</c:v>
                      </c:pt>
                      <c:pt idx="66">
                        <c:v>0.92113370301910047</c:v>
                      </c:pt>
                      <c:pt idx="67">
                        <c:v>0.9359211337030191</c:v>
                      </c:pt>
                      <c:pt idx="68">
                        <c:v>0.95070856438693785</c:v>
                      </c:pt>
                      <c:pt idx="69">
                        <c:v>0.96549599507085648</c:v>
                      </c:pt>
                      <c:pt idx="70">
                        <c:v>0.98028342575477523</c:v>
                      </c:pt>
                      <c:pt idx="71">
                        <c:v>0.99507085643869375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3E4-4A14-93D4-DA5905E4F7DC}"/>
                  </c:ext>
                </c:extLst>
              </c15:ser>
            </c15:filteredScatterSeries>
          </c:ext>
        </c:extLst>
      </c:scatterChart>
      <c:valAx>
        <c:axId val="451242415"/>
        <c:scaling>
          <c:orientation val="minMax"/>
          <c:max val="1420"/>
          <c:min val="1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VHA</a:t>
                </a:r>
                <a:r>
                  <a:rPr lang="en-US" b="1" baseline="0">
                    <a:solidFill>
                      <a:schemeClr val="tx1"/>
                    </a:solidFill>
                  </a:rPr>
                  <a:t> (Volts)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231189761344037"/>
              <c:y val="0.89284922717993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42895"/>
        <c:crossesAt val="-0.4"/>
        <c:crossBetween val="midCat"/>
        <c:majorUnit val="50"/>
        <c:minorUnit val="10"/>
      </c:valAx>
      <c:valAx>
        <c:axId val="451242895"/>
        <c:scaling>
          <c:orientation val="minMax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SOC (Error)</a:t>
                </a:r>
              </a:p>
            </c:rich>
          </c:tx>
          <c:layout>
            <c:manualLayout>
              <c:xMode val="edge"/>
              <c:yMode val="edge"/>
              <c:x val="1.6458361479399348E-2"/>
              <c:y val="0.31886665208515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4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168512139107614"/>
          <c:y val="0.553029389844788"/>
          <c:w val="0.2757898622047244"/>
          <c:h val="0.1779378098571012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466725</xdr:colOff>
      <xdr:row>0</xdr:row>
      <xdr:rowOff>161925</xdr:rowOff>
    </xdr:from>
    <xdr:to>
      <xdr:col>24</xdr:col>
      <xdr:colOff>169545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DD7D5-2DC8-9D36-8FC8-EA843EE6E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22</xdr:col>
      <xdr:colOff>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C966D7-F3C8-7D35-3930-DBB5754E6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8661B-7A55-6963-4E02-30328F4DD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588645</xdr:colOff>
      <xdr:row>3</xdr:row>
      <xdr:rowOff>0</xdr:rowOff>
    </xdr:from>
    <xdr:to>
      <xdr:col>28</xdr:col>
      <xdr:colOff>588645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E1F5DC-3512-9F45-4E15-7C6E91EE7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26670</xdr:colOff>
      <xdr:row>27</xdr:row>
      <xdr:rowOff>0</xdr:rowOff>
    </xdr:from>
    <xdr:to>
      <xdr:col>29</xdr:col>
      <xdr:colOff>26670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4D1FE6-3AA0-2185-1DAA-0E70DC11F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92.4235743055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A3508F-B728-428D-8939-C7AA9BFCB8E5}" autoFormatId="16" applyNumberFormats="0" applyBorderFormats="0" applyFontFormats="0" applyPatternFormats="0" applyAlignmentFormats="0" applyWidthHeightFormats="0">
  <queryTableRefresh nextId="7">
    <queryTableFields count="3">
      <queryTableField id="5" name="Index" tableColumnId="5"/>
      <queryTableField id="3" name="Time" tableColumnId="3"/>
      <queryTableField id="4" name="VH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0DF88C-7DF9-4880-A21F-A1DBC8E69A3D}" name="Z22A" displayName="Z22A" ref="A1:C143" tableType="queryTable" totalsRowShown="0">
  <autoFilter ref="A1:C143" xr:uid="{F40DF88C-7DF9-4880-A21F-A1DBC8E69A3D}"/>
  <tableColumns count="3">
    <tableColumn id="5" xr3:uid="{D2027678-CD46-4F70-9B3A-01351A1D8EB6}" uniqueName="5" name="Index" queryTableFieldId="5"/>
    <tableColumn id="3" xr3:uid="{41FB4205-4FC1-4ABD-A6A1-77094B17A412}" uniqueName="3" name="Time" queryTableFieldId="3"/>
    <tableColumn id="4" xr3:uid="{FD8B1A8A-4067-44A1-9C83-DE702F5083B2}" uniqueName="4" name="VHA" queryTableFieldId="4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D31CC-6AAC-44D6-B7D4-8A2235C63B7A}" name="Table3" displayName="Table3" ref="AD1:AE102" totalsRowShown="0">
  <autoFilter ref="AD1:AE102" xr:uid="{64BD31CC-6AAC-44D6-B7D4-8A2235C63B7A}"/>
  <tableColumns count="2">
    <tableColumn id="1" xr3:uid="{0FB91416-3344-4535-9B83-AF1883887AF2}" name="VBAT"/>
    <tableColumn id="2" xr3:uid="{C43A9B3C-1776-438E-A583-BC415878505F}" name="SOC" dataDxfId="0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34AF-9111-4CBB-AB44-036AA1F20AB3}">
  <dimension ref="A1:AE143"/>
  <sheetViews>
    <sheetView topLeftCell="G11" zoomScaleNormal="100" workbookViewId="0">
      <selection activeCell="R38" sqref="R38:S46"/>
    </sheetView>
  </sheetViews>
  <sheetFormatPr defaultRowHeight="13.2" x14ac:dyDescent="0.25"/>
  <cols>
    <col min="1" max="1" width="8.21875" bestFit="1" customWidth="1"/>
    <col min="2" max="2" width="12" bestFit="1" customWidth="1"/>
    <col min="3" max="5" width="6.21875" customWidth="1"/>
    <col min="6" max="6" width="12" bestFit="1" customWidth="1"/>
    <col min="7" max="7" width="21.44140625" bestFit="1" customWidth="1"/>
    <col min="8" max="8" width="2.77734375" customWidth="1"/>
    <col min="9" max="9" width="5" bestFit="1" customWidth="1"/>
    <col min="10" max="10" width="12" bestFit="1" customWidth="1"/>
    <col min="11" max="11" width="5" bestFit="1" customWidth="1"/>
    <col min="12" max="13" width="21.44140625" customWidth="1"/>
    <col min="30" max="30" width="9.21875" customWidth="1"/>
  </cols>
  <sheetData>
    <row r="1" spans="1:31" x14ac:dyDescent="0.25">
      <c r="A1" t="s">
        <v>41</v>
      </c>
      <c r="B1" t="s">
        <v>36</v>
      </c>
      <c r="C1" t="s">
        <v>37</v>
      </c>
      <c r="E1" t="s">
        <v>41</v>
      </c>
      <c r="F1" t="s">
        <v>36</v>
      </c>
      <c r="G1" t="s">
        <v>37</v>
      </c>
      <c r="J1" t="s">
        <v>36</v>
      </c>
      <c r="K1" t="s">
        <v>37</v>
      </c>
      <c r="L1" t="s">
        <v>42</v>
      </c>
      <c r="N1" t="s">
        <v>39</v>
      </c>
      <c r="O1" t="s">
        <v>38</v>
      </c>
      <c r="AB1" t="s">
        <v>44</v>
      </c>
      <c r="AD1" t="s">
        <v>43</v>
      </c>
      <c r="AE1" t="s">
        <v>42</v>
      </c>
    </row>
    <row r="2" spans="1:31" x14ac:dyDescent="0.25">
      <c r="A2">
        <v>0</v>
      </c>
      <c r="B2">
        <v>0</v>
      </c>
      <c r="C2">
        <v>1370</v>
      </c>
      <c r="E2" cm="1">
        <f t="array" ref="E2:G134">_xlfn._xlws.FILTER(Z22A[],Z22A[Index]&gt;=O5-1)</f>
        <v>9</v>
      </c>
      <c r="F2">
        <v>1.5</v>
      </c>
      <c r="G2">
        <v>1382</v>
      </c>
      <c r="J2" cm="1">
        <f t="array" ref="J2:L134">_xlfn.LET(_xlpm.t,_xlfn.CHOOSECOLS(_xlfn.ANCHORARRAY(E2),2),_xlpm.v,_xlfn.CHOOSECOLS(_xlfn.ANCHORARRAY(E2),3),_xlpm.t0,_xlpm.t-MIN(_xlpm.t),_xlpm.soc,1-(_xlpm.t-MIN(_xlpm.t))/(MAX(_xlpm.t)-MIN(_xlpm.t)),_xlfn.HSTACK(_xlpm.t0,_xlpm.v,_xlpm.soc))</f>
        <v>0</v>
      </c>
      <c r="K2">
        <v>1382</v>
      </c>
      <c r="L2">
        <v>1</v>
      </c>
      <c r="N2">
        <f>MIN(Z22A[VHA])</f>
        <v>1108</v>
      </c>
      <c r="O2">
        <f>3*N2</f>
        <v>3324</v>
      </c>
      <c r="AA2">
        <f>AB2-Table3[[#This Row],[VBAT]]</f>
        <v>-13</v>
      </c>
      <c r="AB2" cm="1">
        <f t="array" ref="AB2">fnInterp(Table3[[#This Row],[SOC]],$S$40:$S$46,$R$40:$R$46)</f>
        <v>1123</v>
      </c>
      <c r="AD2">
        <v>1136</v>
      </c>
      <c r="AE2" s="15">
        <v>0</v>
      </c>
    </row>
    <row r="3" spans="1:31" x14ac:dyDescent="0.25">
      <c r="A3">
        <v>1</v>
      </c>
      <c r="B3">
        <v>0.16666666666666666</v>
      </c>
      <c r="C3">
        <v>1370</v>
      </c>
      <c r="E3">
        <v>10</v>
      </c>
      <c r="F3">
        <v>1.6666666666666667</v>
      </c>
      <c r="G3">
        <v>1377</v>
      </c>
      <c r="J3">
        <v>0.16666666666666674</v>
      </c>
      <c r="K3">
        <v>1377</v>
      </c>
      <c r="L3">
        <v>0.99242424242424243</v>
      </c>
      <c r="N3">
        <f>MAX(Z22A[VHA])</f>
        <v>1382</v>
      </c>
      <c r="O3">
        <f>3*N3</f>
        <v>4146</v>
      </c>
      <c r="AA3">
        <f>AB3-Table3[[#This Row],[VBAT]]</f>
        <v>-27.326000000000249</v>
      </c>
      <c r="AB3" cm="1">
        <f t="array" ref="AB3">fnInterp(Table3[[#This Row],[SOC]],$S$40:$S$46,$R$40:$R$46)</f>
        <v>1136.2499999999998</v>
      </c>
      <c r="AD3">
        <f>(3.490728/(3))*(1000)</f>
        <v>1163.576</v>
      </c>
      <c r="AE3" s="15">
        <v>0.01</v>
      </c>
    </row>
    <row r="4" spans="1:31" x14ac:dyDescent="0.25">
      <c r="A4">
        <v>2</v>
      </c>
      <c r="B4">
        <v>0.33333333333333331</v>
      </c>
      <c r="C4">
        <v>1373</v>
      </c>
      <c r="E4">
        <v>11</v>
      </c>
      <c r="F4">
        <v>1.8333333333333333</v>
      </c>
      <c r="G4">
        <v>1374</v>
      </c>
      <c r="J4">
        <v>0.33333333333333326</v>
      </c>
      <c r="K4">
        <v>1374</v>
      </c>
      <c r="L4">
        <v>0.98484848484848486</v>
      </c>
      <c r="AA4">
        <f>AB4-Table3[[#This Row],[VBAT]]</f>
        <v>-32.187333333333299</v>
      </c>
      <c r="AB4" cm="1">
        <f t="array" ref="AB4">fnInterp(Table3[[#This Row],[SOC]],$S$40:$S$46,$R$40:$R$46)</f>
        <v>1149.5</v>
      </c>
      <c r="AD4">
        <f>(3.545062/(3))*(1000)</f>
        <v>1181.6873333333333</v>
      </c>
      <c r="AE4" s="15">
        <v>0.02</v>
      </c>
    </row>
    <row r="5" spans="1:31" x14ac:dyDescent="0.25">
      <c r="A5">
        <v>3</v>
      </c>
      <c r="B5">
        <v>0.5</v>
      </c>
      <c r="C5">
        <v>1372</v>
      </c>
      <c r="E5">
        <v>12</v>
      </c>
      <c r="F5">
        <v>2</v>
      </c>
      <c r="G5">
        <v>1372</v>
      </c>
      <c r="J5">
        <v>0.5</v>
      </c>
      <c r="K5">
        <v>1372</v>
      </c>
      <c r="L5">
        <v>0.97727272727272729</v>
      </c>
      <c r="N5" t="s">
        <v>40</v>
      </c>
      <c r="O5">
        <f>_xlfn.XMATCH(N3,Z22A[VHA])</f>
        <v>10</v>
      </c>
      <c r="AA5">
        <f>AB5-Table3[[#This Row],[VBAT]]</f>
        <v>-33.221666666666579</v>
      </c>
      <c r="AB5" cm="1">
        <f t="array" ref="AB5">fnInterp(Table3[[#This Row],[SOC]],$S$40:$S$46,$R$40:$R$46)</f>
        <v>1162.75</v>
      </c>
      <c r="AD5">
        <f>(3.587915/(3))*(1000)</f>
        <v>1195.9716666666666</v>
      </c>
      <c r="AE5" s="15">
        <v>0.03</v>
      </c>
    </row>
    <row r="6" spans="1:31" x14ac:dyDescent="0.25">
      <c r="A6">
        <v>4</v>
      </c>
      <c r="B6">
        <v>0.66666666666666663</v>
      </c>
      <c r="C6">
        <v>1375</v>
      </c>
      <c r="E6">
        <v>13</v>
      </c>
      <c r="F6">
        <v>2.1666666666666665</v>
      </c>
      <c r="G6">
        <v>1369</v>
      </c>
      <c r="J6">
        <v>0.66666666666666652</v>
      </c>
      <c r="K6">
        <v>1369</v>
      </c>
      <c r="L6">
        <v>0.96969696969696972</v>
      </c>
      <c r="AA6">
        <f>AB6-Table3[[#This Row],[VBAT]]</f>
        <v>-31.250999999999976</v>
      </c>
      <c r="AB6" cm="1">
        <f t="array" ref="AB6">fnInterp(Table3[[#This Row],[SOC]],$S$40:$S$46,$R$40:$R$46)</f>
        <v>1176</v>
      </c>
      <c r="AD6">
        <f>(3.621753/(3))*(1000)</f>
        <v>1207.251</v>
      </c>
      <c r="AE6" s="15">
        <v>0.04</v>
      </c>
    </row>
    <row r="7" spans="1:31" x14ac:dyDescent="0.25">
      <c r="A7">
        <v>5</v>
      </c>
      <c r="B7">
        <v>0.83333333333333337</v>
      </c>
      <c r="C7">
        <v>1381</v>
      </c>
      <c r="E7">
        <v>14</v>
      </c>
      <c r="F7">
        <v>2.3333333333333335</v>
      </c>
      <c r="G7">
        <v>1366</v>
      </c>
      <c r="J7">
        <v>0.83333333333333348</v>
      </c>
      <c r="K7">
        <v>1366</v>
      </c>
      <c r="L7">
        <v>0.96212121212121215</v>
      </c>
      <c r="AA7">
        <f>AB7-Table3[[#This Row],[VBAT]]</f>
        <v>-35.460999999999785</v>
      </c>
      <c r="AB7" cm="1">
        <f t="array" ref="AB7">fnInterp(Table3[[#This Row],[SOC]],$S$40:$S$46,$R$40:$R$46)</f>
        <v>1180.8333333333335</v>
      </c>
      <c r="AD7">
        <f>(3.648883/(3))*(1000)</f>
        <v>1216.2943333333333</v>
      </c>
      <c r="AE7" s="15">
        <v>0.05</v>
      </c>
    </row>
    <row r="8" spans="1:31" x14ac:dyDescent="0.25">
      <c r="A8">
        <v>6</v>
      </c>
      <c r="B8">
        <v>1</v>
      </c>
      <c r="C8">
        <v>1371</v>
      </c>
      <c r="E8">
        <v>15</v>
      </c>
      <c r="F8">
        <v>2.5</v>
      </c>
      <c r="G8">
        <v>1364</v>
      </c>
      <c r="J8">
        <v>1</v>
      </c>
      <c r="K8">
        <v>1364</v>
      </c>
      <c r="L8">
        <v>0.95454545454545459</v>
      </c>
      <c r="AA8">
        <f>AB8-Table3[[#This Row],[VBAT]]</f>
        <v>-36.347333333333381</v>
      </c>
      <c r="AB8" cm="1">
        <f t="array" ref="AB8">fnInterp(Table3[[#This Row],[SOC]],$S$40:$S$46,$R$40:$R$46)</f>
        <v>1185.6666666666665</v>
      </c>
      <c r="AD8">
        <f>(3.666042/(3))*(1000)</f>
        <v>1222.0139999999999</v>
      </c>
      <c r="AE8" s="15">
        <v>0.06</v>
      </c>
    </row>
    <row r="9" spans="1:31" x14ac:dyDescent="0.25">
      <c r="A9">
        <v>7</v>
      </c>
      <c r="B9">
        <v>1.1666666666666667</v>
      </c>
      <c r="C9">
        <v>1374</v>
      </c>
      <c r="E9">
        <v>16</v>
      </c>
      <c r="F9">
        <v>2.6666666666666665</v>
      </c>
      <c r="G9">
        <v>1361</v>
      </c>
      <c r="J9">
        <v>1.1666666666666665</v>
      </c>
      <c r="K9">
        <v>1361</v>
      </c>
      <c r="L9">
        <v>0.94696969696969702</v>
      </c>
      <c r="AA9">
        <f>AB9-Table3[[#This Row],[VBAT]]</f>
        <v>-34.17766666666671</v>
      </c>
      <c r="AB9" cm="1">
        <f t="array" ref="AB9">fnInterp(Table3[[#This Row],[SOC]],$S$40:$S$46,$R$40:$R$46)</f>
        <v>1190.5</v>
      </c>
      <c r="AD9">
        <f>(3.674033/(3))*(1000)</f>
        <v>1224.6776666666667</v>
      </c>
      <c r="AE9" s="15">
        <v>7.0000000000000007E-2</v>
      </c>
    </row>
    <row r="10" spans="1:31" x14ac:dyDescent="0.25">
      <c r="A10">
        <v>8</v>
      </c>
      <c r="B10">
        <v>1.3333333333333333</v>
      </c>
      <c r="C10">
        <v>1378</v>
      </c>
      <c r="E10">
        <v>17</v>
      </c>
      <c r="F10">
        <v>2.8333333333333335</v>
      </c>
      <c r="G10">
        <v>1359</v>
      </c>
      <c r="J10">
        <v>1.3333333333333335</v>
      </c>
      <c r="K10">
        <v>1359</v>
      </c>
      <c r="L10">
        <v>0.93939393939393934</v>
      </c>
      <c r="AA10">
        <f>AB10-Table3[[#This Row],[VBAT]]</f>
        <v>-30.728000000000065</v>
      </c>
      <c r="AB10" cm="1">
        <f t="array" ref="AB10">fnInterp(Table3[[#This Row],[SOC]],$S$40:$S$46,$R$40:$R$46)</f>
        <v>1195.3333333333333</v>
      </c>
      <c r="AD10">
        <f>(3.678184/(3))*(1000)</f>
        <v>1226.0613333333333</v>
      </c>
      <c r="AE10" s="15">
        <v>0.08</v>
      </c>
    </row>
    <row r="11" spans="1:31" x14ac:dyDescent="0.25">
      <c r="A11">
        <v>9</v>
      </c>
      <c r="B11">
        <v>1.5</v>
      </c>
      <c r="C11">
        <v>1382</v>
      </c>
      <c r="E11">
        <v>18</v>
      </c>
      <c r="F11">
        <v>3</v>
      </c>
      <c r="G11">
        <v>1356</v>
      </c>
      <c r="J11">
        <v>1.5</v>
      </c>
      <c r="K11">
        <v>1356</v>
      </c>
      <c r="L11">
        <v>0.93181818181818188</v>
      </c>
      <c r="AA11">
        <f>AB11-Table3[[#This Row],[VBAT]]</f>
        <v>-26.776333333333469</v>
      </c>
      <c r="AB11" cm="1">
        <f t="array" ref="AB11">fnInterp(Table3[[#This Row],[SOC]],$S$40:$S$46,$R$40:$R$46)</f>
        <v>1200.1666666666667</v>
      </c>
      <c r="AD11">
        <f>(3.680829/(3))*(1000)</f>
        <v>1226.9430000000002</v>
      </c>
      <c r="AE11" s="15">
        <v>0.09</v>
      </c>
    </row>
    <row r="12" spans="1:31" x14ac:dyDescent="0.25">
      <c r="A12">
        <v>10</v>
      </c>
      <c r="B12">
        <v>1.6666666666666667</v>
      </c>
      <c r="C12">
        <v>1377</v>
      </c>
      <c r="E12">
        <v>19</v>
      </c>
      <c r="F12">
        <v>3.1666666666666665</v>
      </c>
      <c r="G12">
        <v>1354</v>
      </c>
      <c r="J12">
        <v>1.6666666666666665</v>
      </c>
      <c r="K12">
        <v>1354</v>
      </c>
      <c r="L12">
        <v>0.92424242424242431</v>
      </c>
      <c r="AA12">
        <f>AB12-Table3[[#This Row],[VBAT]]</f>
        <v>-22.622666666666646</v>
      </c>
      <c r="AB12" cm="1">
        <f t="array" ref="AB12">fnInterp(Table3[[#This Row],[SOC]],$S$40:$S$46,$R$40:$R$46)</f>
        <v>1205</v>
      </c>
      <c r="AD12">
        <f>(3.682868/(3))*(1000)</f>
        <v>1227.6226666666666</v>
      </c>
      <c r="AE12" s="15">
        <v>0.1</v>
      </c>
    </row>
    <row r="13" spans="1:31" x14ac:dyDescent="0.25">
      <c r="A13">
        <v>11</v>
      </c>
      <c r="B13">
        <v>1.8333333333333333</v>
      </c>
      <c r="C13">
        <v>1374</v>
      </c>
      <c r="E13">
        <v>20</v>
      </c>
      <c r="F13">
        <v>3.3333333333333335</v>
      </c>
      <c r="G13">
        <v>1351</v>
      </c>
      <c r="J13">
        <v>1.8333333333333335</v>
      </c>
      <c r="K13">
        <v>1351</v>
      </c>
      <c r="L13">
        <v>0.91666666666666663</v>
      </c>
      <c r="AA13">
        <f>AB13-Table3[[#This Row],[VBAT]]</f>
        <v>-21.95900000000006</v>
      </c>
      <c r="AB13" cm="1">
        <f t="array" ref="AB13">fnInterp(Table3[[#This Row],[SOC]],$S$40:$S$46,$R$40:$R$46)</f>
        <v>1206.2</v>
      </c>
      <c r="AD13">
        <f>(3.684477/(3))*(1000)</f>
        <v>1228.1590000000001</v>
      </c>
      <c r="AE13" s="15">
        <v>0.11</v>
      </c>
    </row>
    <row r="14" spans="1:31" x14ac:dyDescent="0.25">
      <c r="A14">
        <v>12</v>
      </c>
      <c r="B14">
        <v>2</v>
      </c>
      <c r="C14">
        <v>1372</v>
      </c>
      <c r="E14">
        <v>21</v>
      </c>
      <c r="F14">
        <v>3.5</v>
      </c>
      <c r="G14">
        <v>1350</v>
      </c>
      <c r="J14">
        <v>2</v>
      </c>
      <c r="K14">
        <v>1350</v>
      </c>
      <c r="L14">
        <v>0.90909090909090906</v>
      </c>
      <c r="AA14">
        <f>AB14-Table3[[#This Row],[VBAT]]</f>
        <v>-21.272999999999911</v>
      </c>
      <c r="AB14" cm="1">
        <f t="array" ref="AB14">fnInterp(Table3[[#This Row],[SOC]],$S$40:$S$46,$R$40:$R$46)</f>
        <v>1207.4000000000001</v>
      </c>
      <c r="AD14">
        <f>(3.686019/(3))*(1000)</f>
        <v>1228.673</v>
      </c>
      <c r="AE14" s="15">
        <v>0.12</v>
      </c>
    </row>
    <row r="15" spans="1:31" x14ac:dyDescent="0.25">
      <c r="A15">
        <v>13</v>
      </c>
      <c r="B15">
        <v>2.1666666666666665</v>
      </c>
      <c r="C15">
        <v>1369</v>
      </c>
      <c r="E15">
        <v>22</v>
      </c>
      <c r="F15">
        <v>3.6666666666666665</v>
      </c>
      <c r="G15">
        <v>1347</v>
      </c>
      <c r="J15">
        <v>2.1666666666666665</v>
      </c>
      <c r="K15">
        <v>1347</v>
      </c>
      <c r="L15">
        <v>0.90151515151515149</v>
      </c>
      <c r="AA15">
        <f>AB15-Table3[[#This Row],[VBAT]]</f>
        <v>-20.8926666666664</v>
      </c>
      <c r="AB15" cm="1">
        <f t="array" ref="AB15">fnInterp(Table3[[#This Row],[SOC]],$S$40:$S$46,$R$40:$R$46)</f>
        <v>1208.6000000000001</v>
      </c>
      <c r="AD15">
        <f>(3.688478/(3))*(1000)</f>
        <v>1229.4926666666665</v>
      </c>
      <c r="AE15" s="15">
        <v>0.13</v>
      </c>
    </row>
    <row r="16" spans="1:31" x14ac:dyDescent="0.25">
      <c r="A16">
        <v>14</v>
      </c>
      <c r="B16">
        <v>2.3333333333333335</v>
      </c>
      <c r="C16">
        <v>1366</v>
      </c>
      <c r="E16">
        <v>23</v>
      </c>
      <c r="F16">
        <v>3.8333333333333335</v>
      </c>
      <c r="G16">
        <v>1345</v>
      </c>
      <c r="J16">
        <v>2.3333333333333335</v>
      </c>
      <c r="K16">
        <v>1345</v>
      </c>
      <c r="L16">
        <v>0.89393939393939392</v>
      </c>
      <c r="AA16">
        <f>AB16-Table3[[#This Row],[VBAT]]</f>
        <v>-21.584333333333461</v>
      </c>
      <c r="AB16" cm="1">
        <f t="array" ref="AB16">fnInterp(Table3[[#This Row],[SOC]],$S$40:$S$46,$R$40:$R$46)</f>
        <v>1209.8</v>
      </c>
      <c r="AD16">
        <f>(3.694153/(3))*(1000)</f>
        <v>1231.3843333333334</v>
      </c>
      <c r="AE16" s="15">
        <v>0.14000000000000001</v>
      </c>
    </row>
    <row r="17" spans="1:31" x14ac:dyDescent="0.25">
      <c r="A17">
        <v>15</v>
      </c>
      <c r="B17">
        <v>2.5</v>
      </c>
      <c r="C17">
        <v>1364</v>
      </c>
      <c r="E17">
        <v>24</v>
      </c>
      <c r="F17">
        <v>4</v>
      </c>
      <c r="G17">
        <v>1342</v>
      </c>
      <c r="J17">
        <v>2.5</v>
      </c>
      <c r="K17">
        <v>1342</v>
      </c>
      <c r="L17">
        <v>0.88636363636363635</v>
      </c>
      <c r="AA17">
        <f>AB17-Table3[[#This Row],[VBAT]]</f>
        <v>-22.590666666666721</v>
      </c>
      <c r="AB17" cm="1">
        <f t="array" ref="AB17">fnInterp(Table3[[#This Row],[SOC]],$S$40:$S$46,$R$40:$R$46)</f>
        <v>1211</v>
      </c>
      <c r="AD17">
        <f>(3.700772/(3))*(1000)</f>
        <v>1233.5906666666667</v>
      </c>
      <c r="AE17" s="15">
        <v>0.15</v>
      </c>
    </row>
    <row r="18" spans="1:31" x14ac:dyDescent="0.25">
      <c r="A18">
        <v>16</v>
      </c>
      <c r="B18">
        <v>2.6666666666666665</v>
      </c>
      <c r="C18">
        <v>1361</v>
      </c>
      <c r="E18">
        <v>25</v>
      </c>
      <c r="F18">
        <v>4.166666666666667</v>
      </c>
      <c r="G18">
        <v>1340</v>
      </c>
      <c r="J18">
        <v>2.666666666666667</v>
      </c>
      <c r="K18">
        <v>1340</v>
      </c>
      <c r="L18">
        <v>0.87878787878787878</v>
      </c>
      <c r="AA18">
        <f>AB18-Table3[[#This Row],[VBAT]]</f>
        <v>-23.201999999999771</v>
      </c>
      <c r="AB18" cm="1">
        <f t="array" ref="AB18">fnInterp(Table3[[#This Row],[SOC]],$S$40:$S$46,$R$40:$R$46)</f>
        <v>1212.2</v>
      </c>
      <c r="AD18">
        <f>(3.706206/(3))*(1000)</f>
        <v>1235.4019999999998</v>
      </c>
      <c r="AE18" s="15">
        <v>0.16</v>
      </c>
    </row>
    <row r="19" spans="1:31" x14ac:dyDescent="0.25">
      <c r="A19">
        <v>17</v>
      </c>
      <c r="B19">
        <v>2.8333333333333335</v>
      </c>
      <c r="C19">
        <v>1359</v>
      </c>
      <c r="E19">
        <v>26</v>
      </c>
      <c r="F19">
        <v>4.333333333333333</v>
      </c>
      <c r="G19">
        <v>1338</v>
      </c>
      <c r="J19">
        <v>2.833333333333333</v>
      </c>
      <c r="K19">
        <v>1338</v>
      </c>
      <c r="L19">
        <v>0.87121212121212122</v>
      </c>
      <c r="AA19">
        <f>AB19-Table3[[#This Row],[VBAT]]</f>
        <v>-23.673666666666577</v>
      </c>
      <c r="AB19" cm="1">
        <f t="array" ref="AB19">fnInterp(Table3[[#This Row],[SOC]],$S$40:$S$46,$R$40:$R$46)</f>
        <v>1213.4000000000001</v>
      </c>
      <c r="AD19">
        <f>(3.711221/(3))*(1000)</f>
        <v>1237.0736666666667</v>
      </c>
      <c r="AE19" s="15">
        <v>0.17</v>
      </c>
    </row>
    <row r="20" spans="1:31" x14ac:dyDescent="0.25">
      <c r="A20">
        <v>18</v>
      </c>
      <c r="B20">
        <v>3</v>
      </c>
      <c r="C20">
        <v>1356</v>
      </c>
      <c r="E20">
        <v>27</v>
      </c>
      <c r="F20">
        <v>4.5</v>
      </c>
      <c r="G20">
        <v>1337</v>
      </c>
      <c r="J20">
        <v>3</v>
      </c>
      <c r="K20">
        <v>1337</v>
      </c>
      <c r="L20">
        <v>0.86363636363636365</v>
      </c>
      <c r="AA20">
        <f>AB20-Table3[[#This Row],[VBAT]]</f>
        <v>-24.221333333333405</v>
      </c>
      <c r="AB20" cm="1">
        <f t="array" ref="AB20">fnInterp(Table3[[#This Row],[SOC]],$S$40:$S$46,$R$40:$R$46)</f>
        <v>1214.5999999999999</v>
      </c>
      <c r="AD20">
        <f>(3.716464/(3))*(1000)</f>
        <v>1238.8213333333333</v>
      </c>
      <c r="AE20" s="15">
        <v>0.18</v>
      </c>
    </row>
    <row r="21" spans="1:31" x14ac:dyDescent="0.25">
      <c r="A21">
        <v>19</v>
      </c>
      <c r="B21">
        <v>3.1666666666666665</v>
      </c>
      <c r="C21">
        <v>1354</v>
      </c>
      <c r="E21">
        <v>28</v>
      </c>
      <c r="F21">
        <v>4.666666666666667</v>
      </c>
      <c r="G21">
        <v>1334</v>
      </c>
      <c r="J21">
        <v>3.166666666666667</v>
      </c>
      <c r="K21">
        <v>1334</v>
      </c>
      <c r="L21">
        <v>0.85606060606060608</v>
      </c>
      <c r="AA21">
        <f>AB21-Table3[[#This Row],[VBAT]]</f>
        <v>-24.449666666666644</v>
      </c>
      <c r="AB21" cm="1">
        <f t="array" ref="AB21">fnInterp(Table3[[#This Row],[SOC]],$S$40:$S$46,$R$40:$R$46)</f>
        <v>1215.8</v>
      </c>
      <c r="AD21">
        <f>(3.720749/(3))*(1000)</f>
        <v>1240.2496666666666</v>
      </c>
      <c r="AE21" s="15">
        <v>0.19</v>
      </c>
    </row>
    <row r="22" spans="1:31" x14ac:dyDescent="0.25">
      <c r="A22">
        <v>20</v>
      </c>
      <c r="B22">
        <v>3.3333333333333335</v>
      </c>
      <c r="C22">
        <v>1351</v>
      </c>
      <c r="E22">
        <v>29</v>
      </c>
      <c r="F22">
        <v>4.833333333333333</v>
      </c>
      <c r="G22">
        <v>1331</v>
      </c>
      <c r="J22">
        <v>3.333333333333333</v>
      </c>
      <c r="K22">
        <v>1331</v>
      </c>
      <c r="L22">
        <v>0.84848484848484851</v>
      </c>
      <c r="AA22">
        <f>AB22-Table3[[#This Row],[VBAT]]</f>
        <v>-24.889000000000124</v>
      </c>
      <c r="AB22" cm="1">
        <f t="array" ref="AB22">fnInterp(Table3[[#This Row],[SOC]],$S$40:$S$46,$R$40:$R$46)</f>
        <v>1217</v>
      </c>
      <c r="AD22">
        <f>(3.725667/(3))*(1000)</f>
        <v>1241.8890000000001</v>
      </c>
      <c r="AE22" s="15">
        <v>0.2</v>
      </c>
    </row>
    <row r="23" spans="1:31" x14ac:dyDescent="0.25">
      <c r="A23">
        <v>21</v>
      </c>
      <c r="B23">
        <v>3.5</v>
      </c>
      <c r="C23">
        <v>1350</v>
      </c>
      <c r="E23">
        <v>30</v>
      </c>
      <c r="F23">
        <v>5</v>
      </c>
      <c r="G23">
        <v>1329</v>
      </c>
      <c r="J23">
        <v>3.5</v>
      </c>
      <c r="K23">
        <v>1329</v>
      </c>
      <c r="L23">
        <v>0.84090909090909094</v>
      </c>
      <c r="AA23">
        <f>AB23-Table3[[#This Row],[VBAT]]</f>
        <v>-25.225666666666712</v>
      </c>
      <c r="AB23" cm="1">
        <f t="array" ref="AB23">fnInterp(Table3[[#This Row],[SOC]],$S$40:$S$46,$R$40:$R$46)</f>
        <v>1218.2</v>
      </c>
      <c r="AD23">
        <f>(3.730277/(3))*(1000)</f>
        <v>1243.4256666666668</v>
      </c>
      <c r="AE23" s="15">
        <v>0.21</v>
      </c>
    </row>
    <row r="24" spans="1:31" x14ac:dyDescent="0.25">
      <c r="A24">
        <v>22</v>
      </c>
      <c r="B24">
        <v>3.6666666666666665</v>
      </c>
      <c r="C24">
        <v>1347</v>
      </c>
      <c r="E24">
        <v>31</v>
      </c>
      <c r="F24">
        <v>5.166666666666667</v>
      </c>
      <c r="G24">
        <v>1327</v>
      </c>
      <c r="J24">
        <v>3.666666666666667</v>
      </c>
      <c r="K24">
        <v>1327</v>
      </c>
      <c r="L24">
        <v>0.83333333333333326</v>
      </c>
      <c r="AA24">
        <f>AB24-Table3[[#This Row],[VBAT]]</f>
        <v>-25.397333333333108</v>
      </c>
      <c r="AB24" cm="1">
        <f t="array" ref="AB24">fnInterp(Table3[[#This Row],[SOC]],$S$40:$S$46,$R$40:$R$46)</f>
        <v>1219.4000000000001</v>
      </c>
      <c r="AD24">
        <f>(3.734392/(3))*(1000)</f>
        <v>1244.7973333333332</v>
      </c>
      <c r="AE24" s="15">
        <v>0.22</v>
      </c>
    </row>
    <row r="25" spans="1:31" x14ac:dyDescent="0.25">
      <c r="A25">
        <v>23</v>
      </c>
      <c r="B25">
        <v>3.8333333333333335</v>
      </c>
      <c r="C25">
        <v>1345</v>
      </c>
      <c r="E25">
        <v>32</v>
      </c>
      <c r="F25">
        <v>5.333333333333333</v>
      </c>
      <c r="G25">
        <v>1325</v>
      </c>
      <c r="J25">
        <v>3.833333333333333</v>
      </c>
      <c r="K25">
        <v>1325</v>
      </c>
      <c r="L25">
        <v>0.8257575757575758</v>
      </c>
      <c r="AA25">
        <f>AB25-Table3[[#This Row],[VBAT]]</f>
        <v>-25.362666666666428</v>
      </c>
      <c r="AB25" cm="1">
        <f t="array" ref="AB25">fnInterp(Table3[[#This Row],[SOC]],$S$40:$S$46,$R$40:$R$46)</f>
        <v>1220.6000000000001</v>
      </c>
      <c r="AD25">
        <f>(3.737888/(3))*(1000)</f>
        <v>1245.9626666666666</v>
      </c>
      <c r="AE25" s="15">
        <v>0.23</v>
      </c>
    </row>
    <row r="26" spans="1:31" x14ac:dyDescent="0.25">
      <c r="A26">
        <v>24</v>
      </c>
      <c r="B26">
        <v>4</v>
      </c>
      <c r="C26">
        <v>1342</v>
      </c>
      <c r="E26">
        <v>33</v>
      </c>
      <c r="F26">
        <v>5.5</v>
      </c>
      <c r="G26">
        <v>1322</v>
      </c>
      <c r="J26">
        <v>4</v>
      </c>
      <c r="K26">
        <v>1322</v>
      </c>
      <c r="L26">
        <v>0.81818181818181812</v>
      </c>
      <c r="AA26">
        <f>AB26-Table3[[#This Row],[VBAT]]</f>
        <v>-24.916666666666742</v>
      </c>
      <c r="AB26" cm="1">
        <f t="array" ref="AB26">fnInterp(Table3[[#This Row],[SOC]],$S$40:$S$46,$R$40:$R$46)</f>
        <v>1221.8</v>
      </c>
      <c r="AD26">
        <f>(3.74015/(3))*(1000)</f>
        <v>1246.7166666666667</v>
      </c>
      <c r="AE26" s="15">
        <v>0.24</v>
      </c>
    </row>
    <row r="27" spans="1:31" x14ac:dyDescent="0.25">
      <c r="A27">
        <v>25</v>
      </c>
      <c r="B27">
        <v>4.166666666666667</v>
      </c>
      <c r="C27">
        <v>1340</v>
      </c>
      <c r="E27">
        <v>34</v>
      </c>
      <c r="F27">
        <v>5.666666666666667</v>
      </c>
      <c r="G27">
        <v>1320</v>
      </c>
      <c r="J27">
        <v>4.166666666666667</v>
      </c>
      <c r="K27">
        <v>1320</v>
      </c>
      <c r="L27">
        <v>0.81060606060606055</v>
      </c>
      <c r="AA27">
        <f>AB27-Table3[[#This Row],[VBAT]]</f>
        <v>-24.830666666666502</v>
      </c>
      <c r="AB27" cm="1">
        <f t="array" ref="AB27">fnInterp(Table3[[#This Row],[SOC]],$S$40:$S$46,$R$40:$R$46)</f>
        <v>1223</v>
      </c>
      <c r="AD27">
        <f>(3.743492/(3))*(1000)</f>
        <v>1247.8306666666665</v>
      </c>
      <c r="AE27" s="15">
        <v>0.25</v>
      </c>
    </row>
    <row r="28" spans="1:31" x14ac:dyDescent="0.25">
      <c r="A28">
        <v>26</v>
      </c>
      <c r="B28">
        <v>4.333333333333333</v>
      </c>
      <c r="C28">
        <v>1338</v>
      </c>
      <c r="E28">
        <v>35</v>
      </c>
      <c r="F28">
        <v>5.833333333333333</v>
      </c>
      <c r="G28">
        <v>1318</v>
      </c>
      <c r="J28">
        <v>4.333333333333333</v>
      </c>
      <c r="K28">
        <v>1318</v>
      </c>
      <c r="L28">
        <v>0.80303030303030298</v>
      </c>
      <c r="AA28">
        <f>AB28-Table3[[#This Row],[VBAT]]</f>
        <v>-24.645666666666784</v>
      </c>
      <c r="AB28" cm="1">
        <f t="array" ref="AB28">fnInterp(Table3[[#This Row],[SOC]],$S$40:$S$46,$R$40:$R$46)</f>
        <v>1224.2</v>
      </c>
      <c r="AD28">
        <f>(3.746537/(3))*(1000)</f>
        <v>1248.8456666666668</v>
      </c>
      <c r="AE28" s="15">
        <v>0.26</v>
      </c>
    </row>
    <row r="29" spans="1:31" x14ac:dyDescent="0.25">
      <c r="A29">
        <v>27</v>
      </c>
      <c r="B29">
        <v>4.5</v>
      </c>
      <c r="C29">
        <v>1337</v>
      </c>
      <c r="E29">
        <v>36</v>
      </c>
      <c r="F29">
        <v>6</v>
      </c>
      <c r="G29">
        <v>1315</v>
      </c>
      <c r="J29">
        <v>4.5</v>
      </c>
      <c r="K29">
        <v>1315</v>
      </c>
      <c r="L29">
        <v>0.79545454545454541</v>
      </c>
      <c r="AA29">
        <f>AB29-Table3[[#This Row],[VBAT]]</f>
        <v>-24.684666666666544</v>
      </c>
      <c r="AB29" cm="1">
        <f t="array" ref="AB29">fnInterp(Table3[[#This Row],[SOC]],$S$40:$S$46,$R$40:$R$46)</f>
        <v>1225.4000000000001</v>
      </c>
      <c r="AD29">
        <f>(3.750254/(3))*(1000)</f>
        <v>1250.0846666666666</v>
      </c>
      <c r="AE29" s="15">
        <v>0.27</v>
      </c>
    </row>
    <row r="30" spans="1:31" x14ac:dyDescent="0.25">
      <c r="A30">
        <v>28</v>
      </c>
      <c r="B30">
        <v>4.666666666666667</v>
      </c>
      <c r="C30">
        <v>1334</v>
      </c>
      <c r="E30">
        <v>37</v>
      </c>
      <c r="F30">
        <v>6.166666666666667</v>
      </c>
      <c r="G30">
        <v>1313</v>
      </c>
      <c r="J30">
        <v>4.666666666666667</v>
      </c>
      <c r="K30">
        <v>1313</v>
      </c>
      <c r="L30">
        <v>0.78787878787878785</v>
      </c>
      <c r="AA30">
        <f>AB30-Table3[[#This Row],[VBAT]]</f>
        <v>-24.713999999999942</v>
      </c>
      <c r="AB30" cm="1">
        <f t="array" ref="AB30">fnInterp(Table3[[#This Row],[SOC]],$S$40:$S$46,$R$40:$R$46)</f>
        <v>1226.6000000000001</v>
      </c>
      <c r="AD30">
        <f>(3.753942/(3))*(1000)</f>
        <v>1251.3140000000001</v>
      </c>
      <c r="AE30" s="15">
        <v>0.28000000000000003</v>
      </c>
    </row>
    <row r="31" spans="1:31" x14ac:dyDescent="0.25">
      <c r="A31">
        <v>29</v>
      </c>
      <c r="B31">
        <v>4.833333333333333</v>
      </c>
      <c r="C31">
        <v>1331</v>
      </c>
      <c r="E31">
        <v>38</v>
      </c>
      <c r="F31">
        <v>6.333333333333333</v>
      </c>
      <c r="G31">
        <v>1311</v>
      </c>
      <c r="J31">
        <v>4.833333333333333</v>
      </c>
      <c r="K31">
        <v>1311</v>
      </c>
      <c r="L31">
        <v>0.78030303030303028</v>
      </c>
      <c r="AA31">
        <f>AB31-Table3[[#This Row],[VBAT]]</f>
        <v>-24.640999999999849</v>
      </c>
      <c r="AB31" cm="1">
        <f t="array" ref="AB31">fnInterp(Table3[[#This Row],[SOC]],$S$40:$S$46,$R$40:$R$46)</f>
        <v>1227.8</v>
      </c>
      <c r="AD31">
        <f>(3.757323/(3))*(1000)</f>
        <v>1252.4409999999998</v>
      </c>
      <c r="AE31" s="15">
        <v>0.28999999999999998</v>
      </c>
    </row>
    <row r="32" spans="1:31" x14ac:dyDescent="0.25">
      <c r="A32">
        <v>30</v>
      </c>
      <c r="B32">
        <v>5</v>
      </c>
      <c r="C32">
        <v>1329</v>
      </c>
      <c r="E32">
        <v>39</v>
      </c>
      <c r="F32">
        <v>6.5</v>
      </c>
      <c r="G32">
        <v>1309</v>
      </c>
      <c r="J32">
        <v>5</v>
      </c>
      <c r="K32">
        <v>1309</v>
      </c>
      <c r="L32">
        <v>0.77272727272727271</v>
      </c>
      <c r="AA32">
        <f>AB32-Table3[[#This Row],[VBAT]]</f>
        <v>-24.670333333333247</v>
      </c>
      <c r="AB32" cm="1">
        <f t="array" ref="AB32">fnInterp(Table3[[#This Row],[SOC]],$S$40:$S$46,$R$40:$R$46)</f>
        <v>1229</v>
      </c>
      <c r="AD32">
        <f>(3.761011/(3))*(1000)</f>
        <v>1253.6703333333332</v>
      </c>
      <c r="AE32" s="15">
        <v>0.3</v>
      </c>
    </row>
    <row r="33" spans="1:31" x14ac:dyDescent="0.25">
      <c r="A33">
        <v>31</v>
      </c>
      <c r="B33">
        <v>5.166666666666667</v>
      </c>
      <c r="C33">
        <v>1327</v>
      </c>
      <c r="E33">
        <v>40</v>
      </c>
      <c r="F33">
        <v>6.666666666666667</v>
      </c>
      <c r="G33">
        <v>1305</v>
      </c>
      <c r="J33">
        <v>5.166666666666667</v>
      </c>
      <c r="K33">
        <v>1305</v>
      </c>
      <c r="L33">
        <v>0.76515151515151514</v>
      </c>
      <c r="AA33">
        <f>AB33-Table3[[#This Row],[VBAT]]</f>
        <v>-24.936000000000149</v>
      </c>
      <c r="AB33" cm="1">
        <f t="array" ref="AB33">fnInterp(Table3[[#This Row],[SOC]],$S$40:$S$46,$R$40:$R$46)</f>
        <v>1230.2666666666667</v>
      </c>
      <c r="AD33">
        <f>(3.765608/(3))*(1000)</f>
        <v>1255.2026666666668</v>
      </c>
      <c r="AE33" s="15">
        <v>0.31</v>
      </c>
    </row>
    <row r="34" spans="1:31" x14ac:dyDescent="0.25">
      <c r="A34">
        <v>32</v>
      </c>
      <c r="B34">
        <v>5.333333333333333</v>
      </c>
      <c r="C34">
        <v>1325</v>
      </c>
      <c r="E34">
        <v>41</v>
      </c>
      <c r="F34">
        <v>6.833333333333333</v>
      </c>
      <c r="G34">
        <v>1304</v>
      </c>
      <c r="J34">
        <v>5.333333333333333</v>
      </c>
      <c r="K34">
        <v>1304</v>
      </c>
      <c r="L34">
        <v>0.75757575757575757</v>
      </c>
      <c r="AA34">
        <f>AB34-Table3[[#This Row],[VBAT]]</f>
        <v>-24.390666666666675</v>
      </c>
      <c r="AB34" cm="1">
        <f t="array" ref="AB34">fnInterp(Table3[[#This Row],[SOC]],$S$40:$S$46,$R$40:$R$46)</f>
        <v>1231.5333333333333</v>
      </c>
      <c r="AD34">
        <f>(3.767772/(3))*(1000)</f>
        <v>1255.924</v>
      </c>
      <c r="AE34" s="15">
        <v>0.32</v>
      </c>
    </row>
    <row r="35" spans="1:31" x14ac:dyDescent="0.25">
      <c r="A35">
        <v>33</v>
      </c>
      <c r="B35">
        <v>5.5</v>
      </c>
      <c r="C35">
        <v>1322</v>
      </c>
      <c r="E35">
        <v>42</v>
      </c>
      <c r="F35">
        <v>7</v>
      </c>
      <c r="G35">
        <v>1302</v>
      </c>
      <c r="J35">
        <v>5.5</v>
      </c>
      <c r="K35">
        <v>1302</v>
      </c>
      <c r="L35">
        <v>0.75</v>
      </c>
      <c r="AA35">
        <f>AB35-Table3[[#This Row],[VBAT]]</f>
        <v>-24.26833333333343</v>
      </c>
      <c r="AB35" cm="1">
        <f t="array" ref="AB35">fnInterp(Table3[[#This Row],[SOC]],$S$40:$S$46,$R$40:$R$46)</f>
        <v>1232.8</v>
      </c>
      <c r="AD35">
        <f>(3.771205/(3))*(1000)</f>
        <v>1257.0683333333334</v>
      </c>
      <c r="AE35" s="15">
        <v>0.33</v>
      </c>
    </row>
    <row r="36" spans="1:31" x14ac:dyDescent="0.25">
      <c r="A36">
        <v>34</v>
      </c>
      <c r="B36">
        <v>5.666666666666667</v>
      </c>
      <c r="C36">
        <v>1320</v>
      </c>
      <c r="E36">
        <v>43</v>
      </c>
      <c r="F36">
        <v>7.166666666666667</v>
      </c>
      <c r="G36">
        <v>1300</v>
      </c>
      <c r="J36">
        <v>5.666666666666667</v>
      </c>
      <c r="K36">
        <v>1300</v>
      </c>
      <c r="L36">
        <v>0.74242424242424243</v>
      </c>
      <c r="AA36">
        <f>AB36-Table3[[#This Row],[VBAT]]</f>
        <v>-24.008666666666613</v>
      </c>
      <c r="AB36" cm="1">
        <f t="array" ref="AB36">fnInterp(Table3[[#This Row],[SOC]],$S$40:$S$46,$R$40:$R$46)</f>
        <v>1234.0666666666668</v>
      </c>
      <c r="AD36">
        <f>(3.774226/(3))*(1000)</f>
        <v>1258.0753333333334</v>
      </c>
      <c r="AE36" s="15">
        <v>0.34</v>
      </c>
    </row>
    <row r="37" spans="1:31" x14ac:dyDescent="0.25">
      <c r="A37">
        <v>35</v>
      </c>
      <c r="B37">
        <v>5.833333333333333</v>
      </c>
      <c r="C37">
        <v>1318</v>
      </c>
      <c r="E37">
        <v>44</v>
      </c>
      <c r="F37">
        <v>7.333333333333333</v>
      </c>
      <c r="G37">
        <v>1297</v>
      </c>
      <c r="J37">
        <v>5.833333333333333</v>
      </c>
      <c r="K37">
        <v>1297</v>
      </c>
      <c r="L37">
        <v>0.73484848484848486</v>
      </c>
      <c r="AA37">
        <f>AB37-Table3[[#This Row],[VBAT]]</f>
        <v>-23.940333333333456</v>
      </c>
      <c r="AB37" cm="1">
        <f t="array" ref="AB37">fnInterp(Table3[[#This Row],[SOC]],$S$40:$S$46,$R$40:$R$46)</f>
        <v>1235.3333333333333</v>
      </c>
      <c r="AD37">
        <f>(3.777821/(3))*(1000)</f>
        <v>1259.2736666666667</v>
      </c>
      <c r="AE37" s="15">
        <v>0.35</v>
      </c>
    </row>
    <row r="38" spans="1:31" x14ac:dyDescent="0.25">
      <c r="A38">
        <v>36</v>
      </c>
      <c r="B38">
        <v>6</v>
      </c>
      <c r="C38">
        <v>1315</v>
      </c>
      <c r="E38">
        <v>45</v>
      </c>
      <c r="F38">
        <v>7.5</v>
      </c>
      <c r="G38">
        <v>1295</v>
      </c>
      <c r="J38">
        <v>6</v>
      </c>
      <c r="K38">
        <v>1295</v>
      </c>
      <c r="L38">
        <v>0.72727272727272729</v>
      </c>
      <c r="R38" t="s">
        <v>45</v>
      </c>
      <c r="V38" s="15"/>
      <c r="AA38">
        <f>AB38-Table3[[#This Row],[VBAT]]</f>
        <v>-23.559666666666772</v>
      </c>
      <c r="AB38" cm="1">
        <f t="array" ref="AB38">fnInterp(Table3[[#This Row],[SOC]],$S$40:$S$46,$R$40:$R$46)</f>
        <v>1236.5999999999999</v>
      </c>
      <c r="AD38">
        <f>(3.780479/(3))*(1000)</f>
        <v>1260.1596666666667</v>
      </c>
      <c r="AE38" s="15">
        <v>0.36</v>
      </c>
    </row>
    <row r="39" spans="1:31" x14ac:dyDescent="0.25">
      <c r="A39">
        <v>37</v>
      </c>
      <c r="B39">
        <v>6.166666666666667</v>
      </c>
      <c r="C39">
        <v>1313</v>
      </c>
      <c r="E39">
        <v>46</v>
      </c>
      <c r="F39">
        <v>7.666666666666667</v>
      </c>
      <c r="G39">
        <v>1293</v>
      </c>
      <c r="J39">
        <v>6.166666666666667</v>
      </c>
      <c r="K39">
        <v>1293</v>
      </c>
      <c r="L39">
        <v>0.71969696969696972</v>
      </c>
      <c r="N39" t="s">
        <v>43</v>
      </c>
      <c r="O39" t="s">
        <v>42</v>
      </c>
      <c r="R39" t="s">
        <v>43</v>
      </c>
      <c r="S39" t="s">
        <v>42</v>
      </c>
      <c r="AA39">
        <f>AB39-Table3[[#This Row],[VBAT]]</f>
        <v>-23.179666666666662</v>
      </c>
      <c r="AB39" cm="1">
        <f t="array" ref="AB39">fnInterp(Table3[[#This Row],[SOC]],$S$40:$S$46,$R$40:$R$46)</f>
        <v>1237.8666666666666</v>
      </c>
      <c r="AD39">
        <f>(3.783139/(3))*(1000)</f>
        <v>1261.0463333333332</v>
      </c>
      <c r="AE39" s="15">
        <v>0.37</v>
      </c>
    </row>
    <row r="40" spans="1:31" x14ac:dyDescent="0.25">
      <c r="A40">
        <v>38</v>
      </c>
      <c r="B40">
        <v>6.333333333333333</v>
      </c>
      <c r="C40">
        <v>1311</v>
      </c>
      <c r="E40">
        <v>47</v>
      </c>
      <c r="F40">
        <v>7.833333333333333</v>
      </c>
      <c r="G40">
        <v>1290</v>
      </c>
      <c r="J40">
        <v>6.333333333333333</v>
      </c>
      <c r="K40">
        <v>1290</v>
      </c>
      <c r="L40">
        <v>0.71212121212121215</v>
      </c>
      <c r="N40">
        <v>1136</v>
      </c>
      <c r="O40" s="15">
        <v>0</v>
      </c>
      <c r="P40" s="15"/>
      <c r="R40">
        <v>1123</v>
      </c>
      <c r="S40" s="15">
        <v>0</v>
      </c>
      <c r="AA40">
        <f>AB40-Table3[[#This Row],[VBAT]]</f>
        <v>-22.83533333333321</v>
      </c>
      <c r="AB40" cm="1">
        <f t="array" ref="AB40">fnInterp(Table3[[#This Row],[SOC]],$S$40:$S$46,$R$40:$R$46)</f>
        <v>1239.1333333333334</v>
      </c>
      <c r="AD40">
        <f>(3.785906/(3))*(1000)</f>
        <v>1261.9686666666666</v>
      </c>
      <c r="AE40" s="15">
        <v>0.38</v>
      </c>
    </row>
    <row r="41" spans="1:31" x14ac:dyDescent="0.25">
      <c r="A41">
        <v>39</v>
      </c>
      <c r="B41">
        <v>6.5</v>
      </c>
      <c r="C41">
        <v>1309</v>
      </c>
      <c r="E41">
        <v>48</v>
      </c>
      <c r="F41">
        <v>8</v>
      </c>
      <c r="G41">
        <v>1288</v>
      </c>
      <c r="J41">
        <v>6.5</v>
      </c>
      <c r="K41">
        <v>1288</v>
      </c>
      <c r="L41">
        <v>0.70454545454545459</v>
      </c>
      <c r="N41">
        <v>1192</v>
      </c>
      <c r="O41" s="15">
        <v>0.04</v>
      </c>
      <c r="R41">
        <v>1176</v>
      </c>
      <c r="S41" s="15">
        <v>0.04</v>
      </c>
      <c r="AA41">
        <f>AB41-Table3[[#This Row],[VBAT]]</f>
        <v>-22.38799999999992</v>
      </c>
      <c r="AB41" cm="1">
        <f t="array" ref="AB41">fnInterp(Table3[[#This Row],[SOC]],$S$40:$S$46,$R$40:$R$46)</f>
        <v>1240.4000000000001</v>
      </c>
      <c r="AD41">
        <f>(3.788364/(3))*(1000)</f>
        <v>1262.788</v>
      </c>
      <c r="AE41" s="15">
        <v>0.39</v>
      </c>
    </row>
    <row r="42" spans="1:31" x14ac:dyDescent="0.25">
      <c r="A42">
        <v>40</v>
      </c>
      <c r="B42">
        <v>6.666666666666667</v>
      </c>
      <c r="C42">
        <v>1305</v>
      </c>
      <c r="E42">
        <v>49</v>
      </c>
      <c r="F42">
        <v>8.1666666666666661</v>
      </c>
      <c r="G42">
        <v>1287</v>
      </c>
      <c r="J42">
        <v>6.6666666666666661</v>
      </c>
      <c r="K42">
        <v>1287</v>
      </c>
      <c r="L42">
        <v>0.69696969696969702</v>
      </c>
      <c r="N42">
        <v>1209</v>
      </c>
      <c r="O42" s="15">
        <v>0.1</v>
      </c>
      <c r="R42" cm="1">
        <f t="array" ref="R42">fnInterp(S42,L3:L135,K3:K135)</f>
        <v>1205</v>
      </c>
      <c r="S42" s="15">
        <v>0.1</v>
      </c>
      <c r="AA42">
        <f>AB42-Table3[[#This Row],[VBAT]]</f>
        <v>-22.222333333333381</v>
      </c>
      <c r="AB42" cm="1">
        <f t="array" ref="AB42">fnInterp(Table3[[#This Row],[SOC]],$S$40:$S$46,$R$40:$R$46)</f>
        <v>1241.6666666666667</v>
      </c>
      <c r="AD42">
        <f>(3.791667/(3))*(1000)</f>
        <v>1263.8890000000001</v>
      </c>
      <c r="AE42" s="15">
        <v>0.4</v>
      </c>
    </row>
    <row r="43" spans="1:31" x14ac:dyDescent="0.25">
      <c r="A43">
        <v>41</v>
      </c>
      <c r="B43">
        <v>6.833333333333333</v>
      </c>
      <c r="C43">
        <v>1304</v>
      </c>
      <c r="E43">
        <v>50</v>
      </c>
      <c r="F43">
        <v>8.3333333333333339</v>
      </c>
      <c r="G43">
        <v>1285</v>
      </c>
      <c r="J43">
        <v>6.8333333333333339</v>
      </c>
      <c r="K43">
        <v>1285</v>
      </c>
      <c r="L43">
        <v>0.68939393939393945</v>
      </c>
      <c r="N43">
        <v>1236</v>
      </c>
      <c r="O43" s="15">
        <v>0.3</v>
      </c>
      <c r="R43">
        <v>1229</v>
      </c>
      <c r="S43" s="15">
        <v>0.3</v>
      </c>
      <c r="AA43">
        <f>AB43-Table3[[#This Row],[VBAT]]</f>
        <v>-21.801333333333332</v>
      </c>
      <c r="AB43" cm="1">
        <f t="array" ref="AB43">fnInterp(Table3[[#This Row],[SOC]],$S$40:$S$46,$R$40:$R$46)</f>
        <v>1242.9333333333334</v>
      </c>
      <c r="AD43">
        <f>(3.794204/(3))*(1000)</f>
        <v>1264.7346666666667</v>
      </c>
      <c r="AE43" s="15">
        <v>0.41</v>
      </c>
    </row>
    <row r="44" spans="1:31" x14ac:dyDescent="0.25">
      <c r="A44">
        <v>42</v>
      </c>
      <c r="B44">
        <v>7</v>
      </c>
      <c r="C44">
        <v>1302</v>
      </c>
      <c r="E44">
        <v>51</v>
      </c>
      <c r="F44">
        <v>8.5</v>
      </c>
      <c r="G44">
        <v>1282</v>
      </c>
      <c r="J44">
        <v>7</v>
      </c>
      <c r="K44">
        <v>1282</v>
      </c>
      <c r="L44">
        <v>0.68181818181818188</v>
      </c>
      <c r="N44">
        <v>1266</v>
      </c>
      <c r="O44" s="15">
        <v>0.6</v>
      </c>
      <c r="R44">
        <v>1267</v>
      </c>
      <c r="S44" s="15">
        <v>0.6</v>
      </c>
      <c r="AA44">
        <f>AB44-Table3[[#This Row],[VBAT]]</f>
        <v>-21.299666666666553</v>
      </c>
      <c r="AB44" cm="1">
        <f t="array" ref="AB44">fnInterp(Table3[[#This Row],[SOC]],$S$40:$S$46,$R$40:$R$46)</f>
        <v>1244.2</v>
      </c>
      <c r="AD44">
        <f>(3.796499/(3))*(1000)</f>
        <v>1265.4996666666666</v>
      </c>
      <c r="AE44" s="15">
        <v>0.42</v>
      </c>
    </row>
    <row r="45" spans="1:31" x14ac:dyDescent="0.25">
      <c r="A45">
        <v>43</v>
      </c>
      <c r="B45">
        <v>7.166666666666667</v>
      </c>
      <c r="C45">
        <v>1300</v>
      </c>
      <c r="E45">
        <v>52</v>
      </c>
      <c r="F45">
        <v>8.6666666666666661</v>
      </c>
      <c r="G45">
        <v>1281</v>
      </c>
      <c r="J45">
        <v>7.1666666666666661</v>
      </c>
      <c r="K45">
        <v>1281</v>
      </c>
      <c r="L45">
        <v>0.67424242424242431</v>
      </c>
      <c r="N45">
        <v>1337</v>
      </c>
      <c r="O45" s="15">
        <v>1</v>
      </c>
      <c r="P45" s="15"/>
      <c r="R45">
        <v>1337</v>
      </c>
      <c r="S45" s="15">
        <v>1</v>
      </c>
      <c r="AA45">
        <f>AB45-Table3[[#This Row],[VBAT]]</f>
        <v>-20.965666666666721</v>
      </c>
      <c r="AB45" cm="1">
        <f t="array" ref="AB45">fnInterp(Table3[[#This Row],[SOC]],$S$40:$S$46,$R$40:$R$46)</f>
        <v>1245.4666666666667</v>
      </c>
      <c r="AD45">
        <f>(3.799297/(3))*(1000)</f>
        <v>1266.4323333333334</v>
      </c>
      <c r="AE45" s="15">
        <v>0.43</v>
      </c>
    </row>
    <row r="46" spans="1:31" x14ac:dyDescent="0.25">
      <c r="A46">
        <v>44</v>
      </c>
      <c r="B46">
        <v>7.333333333333333</v>
      </c>
      <c r="C46">
        <v>1297</v>
      </c>
      <c r="E46">
        <v>53</v>
      </c>
      <c r="F46">
        <v>8.8333333333333339</v>
      </c>
      <c r="G46">
        <v>1279</v>
      </c>
      <c r="J46">
        <v>7.3333333333333339</v>
      </c>
      <c r="K46">
        <v>1279</v>
      </c>
      <c r="L46">
        <v>0.66666666666666663</v>
      </c>
      <c r="N46">
        <v>1400</v>
      </c>
      <c r="O46" s="15">
        <v>1</v>
      </c>
      <c r="P46" s="15"/>
      <c r="R46">
        <v>1420</v>
      </c>
      <c r="S46" s="15">
        <v>1</v>
      </c>
      <c r="AA46">
        <f>AB46-Table3[[#This Row],[VBAT]]</f>
        <v>-20.956333333333305</v>
      </c>
      <c r="AB46" cm="1">
        <f t="array" ref="AB46">fnInterp(Table3[[#This Row],[SOC]],$S$40:$S$46,$R$40:$R$46)</f>
        <v>1246.7333333333333</v>
      </c>
      <c r="AD46">
        <f>(3.803069/(3))*(1000)</f>
        <v>1267.6896666666667</v>
      </c>
      <c r="AE46" s="15">
        <v>0.44</v>
      </c>
    </row>
    <row r="47" spans="1:31" x14ac:dyDescent="0.25">
      <c r="A47">
        <v>45</v>
      </c>
      <c r="B47">
        <v>7.5</v>
      </c>
      <c r="C47">
        <v>1295</v>
      </c>
      <c r="E47">
        <v>54</v>
      </c>
      <c r="F47">
        <v>9</v>
      </c>
      <c r="G47">
        <v>1278</v>
      </c>
      <c r="J47">
        <v>7.5</v>
      </c>
      <c r="K47">
        <v>1278</v>
      </c>
      <c r="L47">
        <v>0.65909090909090917</v>
      </c>
      <c r="AA47">
        <f>AB47-Table3[[#This Row],[VBAT]]</f>
        <v>-20.41800000000012</v>
      </c>
      <c r="AB47" cm="1">
        <f t="array" ref="AB47">fnInterp(Table3[[#This Row],[SOC]],$S$40:$S$46,$R$40:$R$46)</f>
        <v>1248</v>
      </c>
      <c r="AD47">
        <f>(3.805254/(3))*(1000)</f>
        <v>1268.4180000000001</v>
      </c>
      <c r="AE47" s="15">
        <v>0.45</v>
      </c>
    </row>
    <row r="48" spans="1:31" x14ac:dyDescent="0.25">
      <c r="A48">
        <v>46</v>
      </c>
      <c r="B48">
        <v>7.666666666666667</v>
      </c>
      <c r="C48">
        <v>1293</v>
      </c>
      <c r="E48">
        <v>55</v>
      </c>
      <c r="F48">
        <v>9.1666666666666661</v>
      </c>
      <c r="G48">
        <v>1277</v>
      </c>
      <c r="J48">
        <v>7.6666666666666661</v>
      </c>
      <c r="K48">
        <v>1277</v>
      </c>
      <c r="L48">
        <v>0.6515151515151516</v>
      </c>
      <c r="AA48">
        <f>AB48-Table3[[#This Row],[VBAT]]</f>
        <v>-20.078000000000202</v>
      </c>
      <c r="AB48" cm="1">
        <f t="array" ref="AB48">fnInterp(Table3[[#This Row],[SOC]],$S$40:$S$46,$R$40:$R$46)</f>
        <v>1249.2666666666667</v>
      </c>
      <c r="AD48">
        <f>(3.808034/(3))*(1000)</f>
        <v>1269.3446666666669</v>
      </c>
      <c r="AE48" s="15">
        <v>0.46</v>
      </c>
    </row>
    <row r="49" spans="1:31" x14ac:dyDescent="0.25">
      <c r="A49">
        <v>47</v>
      </c>
      <c r="B49">
        <v>7.833333333333333</v>
      </c>
      <c r="C49">
        <v>1290</v>
      </c>
      <c r="E49">
        <v>56</v>
      </c>
      <c r="F49">
        <v>9.3333333333333339</v>
      </c>
      <c r="G49">
        <v>1274</v>
      </c>
      <c r="J49">
        <v>7.8333333333333339</v>
      </c>
      <c r="K49">
        <v>1274</v>
      </c>
      <c r="L49">
        <v>0.64393939393939392</v>
      </c>
      <c r="AA49">
        <f>AB49-Table3[[#This Row],[VBAT]]</f>
        <v>-19.750333333333174</v>
      </c>
      <c r="AB49" cm="1">
        <f t="array" ref="AB49">fnInterp(Table3[[#This Row],[SOC]],$S$40:$S$46,$R$40:$R$46)</f>
        <v>1250.5333333333333</v>
      </c>
      <c r="AD49">
        <f>(3.810851/(3))*(1000)</f>
        <v>1270.2836666666665</v>
      </c>
      <c r="AE49" s="15">
        <v>0.47</v>
      </c>
    </row>
    <row r="50" spans="1:31" x14ac:dyDescent="0.25">
      <c r="A50">
        <v>48</v>
      </c>
      <c r="B50">
        <v>8</v>
      </c>
      <c r="C50">
        <v>1288</v>
      </c>
      <c r="E50">
        <v>57</v>
      </c>
      <c r="F50">
        <v>9.5</v>
      </c>
      <c r="G50">
        <v>1274</v>
      </c>
      <c r="J50">
        <v>8</v>
      </c>
      <c r="K50">
        <v>1274</v>
      </c>
      <c r="L50">
        <v>0.63636363636363635</v>
      </c>
      <c r="AA50">
        <f>AB50-Table3[[#This Row],[VBAT]]</f>
        <v>-19.732666666666773</v>
      </c>
      <c r="AB50" cm="1">
        <f t="array" ref="AB50">fnInterp(Table3[[#This Row],[SOC]],$S$40:$S$46,$R$40:$R$46)</f>
        <v>1251.8</v>
      </c>
      <c r="AD50">
        <f>(3.814598/(3))*(1000)</f>
        <v>1271.5326666666667</v>
      </c>
      <c r="AE50" s="15">
        <v>0.48</v>
      </c>
    </row>
    <row r="51" spans="1:31" x14ac:dyDescent="0.25">
      <c r="A51">
        <v>49</v>
      </c>
      <c r="B51">
        <v>8.1666666666666661</v>
      </c>
      <c r="C51">
        <v>1287</v>
      </c>
      <c r="E51">
        <v>58</v>
      </c>
      <c r="F51">
        <v>9.6666666666666661</v>
      </c>
      <c r="G51">
        <v>1272</v>
      </c>
      <c r="J51">
        <v>8.1666666666666661</v>
      </c>
      <c r="K51">
        <v>1272</v>
      </c>
      <c r="L51">
        <v>0.6287878787878789</v>
      </c>
      <c r="AA51">
        <f>AB51-Table3[[#This Row],[VBAT]]</f>
        <v>-19.453999999999951</v>
      </c>
      <c r="AB51" cm="1">
        <f t="array" ref="AB51">fnInterp(Table3[[#This Row],[SOC]],$S$40:$S$46,$R$40:$R$46)</f>
        <v>1253.0666666666666</v>
      </c>
      <c r="AD51">
        <f>(3.817562/(3))*(1000)</f>
        <v>1272.5206666666666</v>
      </c>
      <c r="AE51" s="15">
        <v>0.49</v>
      </c>
    </row>
    <row r="52" spans="1:31" x14ac:dyDescent="0.25">
      <c r="A52">
        <v>50</v>
      </c>
      <c r="B52">
        <v>8.3333333333333339</v>
      </c>
      <c r="C52">
        <v>1285</v>
      </c>
      <c r="E52">
        <v>59</v>
      </c>
      <c r="F52">
        <v>9.8333333333333339</v>
      </c>
      <c r="G52">
        <v>1271</v>
      </c>
      <c r="J52">
        <v>8.3333333333333339</v>
      </c>
      <c r="K52">
        <v>1271</v>
      </c>
      <c r="L52">
        <v>0.6212121212121211</v>
      </c>
      <c r="AA52">
        <f>AB52-Table3[[#This Row],[VBAT]]</f>
        <v>-19.211666666666588</v>
      </c>
      <c r="AB52" cm="1">
        <f t="array" ref="AB52">fnInterp(Table3[[#This Row],[SOC]],$S$40:$S$46,$R$40:$R$46)</f>
        <v>1254.3333333333333</v>
      </c>
      <c r="AD52">
        <f>(3.820635/(3))*(1000)</f>
        <v>1273.5449999999998</v>
      </c>
      <c r="AE52" s="15">
        <v>0.5</v>
      </c>
    </row>
    <row r="53" spans="1:31" x14ac:dyDescent="0.25">
      <c r="A53">
        <v>51</v>
      </c>
      <c r="B53">
        <v>8.5</v>
      </c>
      <c r="C53">
        <v>1282</v>
      </c>
      <c r="E53">
        <v>60</v>
      </c>
      <c r="F53">
        <v>10</v>
      </c>
      <c r="G53">
        <v>1269</v>
      </c>
      <c r="J53">
        <v>8.5</v>
      </c>
      <c r="K53">
        <v>1269</v>
      </c>
      <c r="L53">
        <v>0.61363636363636365</v>
      </c>
      <c r="AA53">
        <f>AB53-Table3[[#This Row],[VBAT]]</f>
        <v>-19.071999999999889</v>
      </c>
      <c r="AB53" cm="1">
        <f t="array" ref="AB53">fnInterp(Table3[[#This Row],[SOC]],$S$40:$S$46,$R$40:$R$46)</f>
        <v>1255.6000000000001</v>
      </c>
      <c r="AD53">
        <f>(3.824016/(3))*(1000)</f>
        <v>1274.672</v>
      </c>
      <c r="AE53" s="15">
        <v>0.51</v>
      </c>
    </row>
    <row r="54" spans="1:31" x14ac:dyDescent="0.25">
      <c r="A54">
        <v>52</v>
      </c>
      <c r="B54">
        <v>8.6666666666666661</v>
      </c>
      <c r="C54">
        <v>1281</v>
      </c>
      <c r="E54">
        <v>61</v>
      </c>
      <c r="F54">
        <v>10.166666666666666</v>
      </c>
      <c r="G54">
        <v>1269</v>
      </c>
      <c r="J54">
        <v>8.6666666666666661</v>
      </c>
      <c r="K54">
        <v>1269</v>
      </c>
      <c r="L54">
        <v>0.60606060606060608</v>
      </c>
      <c r="AA54">
        <f>AB54-Table3[[#This Row],[VBAT]]</f>
        <v>-19.034666666666681</v>
      </c>
      <c r="AB54" cm="1">
        <f t="array" ref="AB54">fnInterp(Table3[[#This Row],[SOC]],$S$40:$S$46,$R$40:$R$46)</f>
        <v>1256.8666666666666</v>
      </c>
      <c r="AD54">
        <f>(3.827704/(3))*(1000)</f>
        <v>1275.9013333333332</v>
      </c>
      <c r="AE54" s="15">
        <v>0.52</v>
      </c>
    </row>
    <row r="55" spans="1:31" x14ac:dyDescent="0.25">
      <c r="A55">
        <v>53</v>
      </c>
      <c r="B55">
        <v>8.8333333333333339</v>
      </c>
      <c r="C55">
        <v>1279</v>
      </c>
      <c r="E55">
        <v>62</v>
      </c>
      <c r="F55">
        <v>10.333333333333334</v>
      </c>
      <c r="G55">
        <v>1267</v>
      </c>
      <c r="J55">
        <v>8.8333333333333339</v>
      </c>
      <c r="K55">
        <v>1267</v>
      </c>
      <c r="L55">
        <v>0.5984848484848484</v>
      </c>
      <c r="AA55">
        <f>AB55-Table3[[#This Row],[VBAT]]</f>
        <v>-19.188000000000102</v>
      </c>
      <c r="AB55" cm="1">
        <f t="array" ref="AB55">fnInterp(Table3[[#This Row],[SOC]],$S$40:$S$46,$R$40:$R$46)</f>
        <v>1258.1333333333332</v>
      </c>
      <c r="AD55">
        <f>(3.831964/(3))*(1000)</f>
        <v>1277.3213333333333</v>
      </c>
      <c r="AE55" s="15">
        <v>0.53</v>
      </c>
    </row>
    <row r="56" spans="1:31" x14ac:dyDescent="0.25">
      <c r="A56">
        <v>54</v>
      </c>
      <c r="B56">
        <v>9</v>
      </c>
      <c r="C56">
        <v>1278</v>
      </c>
      <c r="E56">
        <v>63</v>
      </c>
      <c r="F56">
        <v>10.5</v>
      </c>
      <c r="G56">
        <v>1266</v>
      </c>
      <c r="J56">
        <v>9</v>
      </c>
      <c r="K56">
        <v>1266</v>
      </c>
      <c r="L56">
        <v>0.59090909090909083</v>
      </c>
      <c r="AA56">
        <f>AB56-Table3[[#This Row],[VBAT]]</f>
        <v>-18.985000000000127</v>
      </c>
      <c r="AB56" cm="1">
        <f t="array" ref="AB56">fnInterp(Table3[[#This Row],[SOC]],$S$40:$S$46,$R$40:$R$46)</f>
        <v>1259.3999999999999</v>
      </c>
      <c r="AD56">
        <f>(3.835155/(3))*(1000)</f>
        <v>1278.385</v>
      </c>
      <c r="AE56" s="15">
        <v>0.54</v>
      </c>
    </row>
    <row r="57" spans="1:31" x14ac:dyDescent="0.25">
      <c r="A57">
        <v>55</v>
      </c>
      <c r="B57">
        <v>9.1666666666666661</v>
      </c>
      <c r="C57">
        <v>1277</v>
      </c>
      <c r="E57">
        <v>64</v>
      </c>
      <c r="F57">
        <v>10.666666666666666</v>
      </c>
      <c r="G57">
        <v>1263</v>
      </c>
      <c r="J57">
        <v>9.1666666666666661</v>
      </c>
      <c r="K57">
        <v>1263</v>
      </c>
      <c r="L57">
        <v>0.58333333333333337</v>
      </c>
      <c r="AA57">
        <f>AB57-Table3[[#This Row],[VBAT]]</f>
        <v>-18.95900000000006</v>
      </c>
      <c r="AB57" cm="1">
        <f t="array" ref="AB57">fnInterp(Table3[[#This Row],[SOC]],$S$40:$S$46,$R$40:$R$46)</f>
        <v>1260.6666666666667</v>
      </c>
      <c r="AD57">
        <f>(3.838877/(3))*(1000)</f>
        <v>1279.6256666666668</v>
      </c>
      <c r="AE57" s="15">
        <v>0.55000000000000004</v>
      </c>
    </row>
    <row r="58" spans="1:31" x14ac:dyDescent="0.25">
      <c r="A58">
        <v>56</v>
      </c>
      <c r="B58">
        <v>9.3333333333333339</v>
      </c>
      <c r="C58">
        <v>1274</v>
      </c>
      <c r="E58">
        <v>65</v>
      </c>
      <c r="F58">
        <v>10.833333333333334</v>
      </c>
      <c r="G58">
        <v>1263</v>
      </c>
      <c r="J58">
        <v>9.3333333333333339</v>
      </c>
      <c r="K58">
        <v>1263</v>
      </c>
      <c r="L58">
        <v>0.57575757575757569</v>
      </c>
      <c r="AA58">
        <f>AB58-Table3[[#This Row],[VBAT]]</f>
        <v>-19.043333333333294</v>
      </c>
      <c r="AB58" cm="1">
        <f t="array" ref="AB58">fnInterp(Table3[[#This Row],[SOC]],$S$40:$S$46,$R$40:$R$46)</f>
        <v>1261.9333333333334</v>
      </c>
      <c r="AD58">
        <f>(3.84293/(3))*(1000)</f>
        <v>1280.9766666666667</v>
      </c>
      <c r="AE58" s="15">
        <v>0.56000000000000005</v>
      </c>
    </row>
    <row r="59" spans="1:31" x14ac:dyDescent="0.25">
      <c r="A59">
        <v>57</v>
      </c>
      <c r="B59">
        <v>9.5</v>
      </c>
      <c r="C59">
        <v>1274</v>
      </c>
      <c r="E59">
        <v>66</v>
      </c>
      <c r="F59">
        <v>11</v>
      </c>
      <c r="G59">
        <v>1262</v>
      </c>
      <c r="J59">
        <v>9.5</v>
      </c>
      <c r="K59">
        <v>1262</v>
      </c>
      <c r="L59">
        <v>0.56818181818181812</v>
      </c>
      <c r="AA59">
        <f>AB59-Table3[[#This Row],[VBAT]]</f>
        <v>-19.435333333333119</v>
      </c>
      <c r="AB59" cm="1">
        <f t="array" ref="AB59">fnInterp(Table3[[#This Row],[SOC]],$S$40:$S$46,$R$40:$R$46)</f>
        <v>1263.2000000000003</v>
      </c>
      <c r="AD59">
        <f>(3.847906/(3))*(1000)</f>
        <v>1282.6353333333334</v>
      </c>
      <c r="AE59" s="15">
        <v>0.56999999999999995</v>
      </c>
    </row>
    <row r="60" spans="1:31" x14ac:dyDescent="0.25">
      <c r="A60">
        <v>58</v>
      </c>
      <c r="B60">
        <v>9.6666666666666661</v>
      </c>
      <c r="C60">
        <v>1272</v>
      </c>
      <c r="E60">
        <v>67</v>
      </c>
      <c r="F60">
        <v>11.166666666666666</v>
      </c>
      <c r="G60">
        <v>1261</v>
      </c>
      <c r="J60">
        <v>9.6666666666666661</v>
      </c>
      <c r="K60">
        <v>1261</v>
      </c>
      <c r="L60">
        <v>0.56060606060606055</v>
      </c>
      <c r="AA60">
        <f>AB60-Table3[[#This Row],[VBAT]]</f>
        <v>-19.322999999999638</v>
      </c>
      <c r="AB60" cm="1">
        <f t="array" ref="AB60">fnInterp(Table3[[#This Row],[SOC]],$S$40:$S$46,$R$40:$R$46)</f>
        <v>1264.4666666666669</v>
      </c>
      <c r="AD60">
        <f>(3.851369/(3))*(1000)</f>
        <v>1283.7896666666666</v>
      </c>
      <c r="AE60" s="15">
        <v>0.57999999999999996</v>
      </c>
    </row>
    <row r="61" spans="1:31" x14ac:dyDescent="0.25">
      <c r="A61">
        <v>59</v>
      </c>
      <c r="B61">
        <v>9.8333333333333339</v>
      </c>
      <c r="C61">
        <v>1271</v>
      </c>
      <c r="E61">
        <v>68</v>
      </c>
      <c r="F61">
        <v>11.333333333333334</v>
      </c>
      <c r="G61">
        <v>1260</v>
      </c>
      <c r="J61">
        <v>9.8333333333333339</v>
      </c>
      <c r="K61">
        <v>1260</v>
      </c>
      <c r="L61">
        <v>0.55303030303030298</v>
      </c>
      <c r="AA61">
        <f>AB61-Table3[[#This Row],[VBAT]]</f>
        <v>-19.490666666666812</v>
      </c>
      <c r="AB61" cm="1">
        <f t="array" ref="AB61">fnInterp(Table3[[#This Row],[SOC]],$S$40:$S$46,$R$40:$R$46)</f>
        <v>1265.7333333333333</v>
      </c>
      <c r="AD61">
        <f>(3.855672/(3))*(1000)</f>
        <v>1285.2240000000002</v>
      </c>
      <c r="AE61" s="15">
        <v>0.59</v>
      </c>
    </row>
    <row r="62" spans="1:31" x14ac:dyDescent="0.25">
      <c r="A62">
        <v>60</v>
      </c>
      <c r="B62">
        <v>10</v>
      </c>
      <c r="C62">
        <v>1269</v>
      </c>
      <c r="E62">
        <v>69</v>
      </c>
      <c r="F62">
        <v>11.5</v>
      </c>
      <c r="G62">
        <v>1259</v>
      </c>
      <c r="J62">
        <v>10</v>
      </c>
      <c r="K62">
        <v>1259</v>
      </c>
      <c r="L62">
        <v>0.54545454545454541</v>
      </c>
      <c r="AA62">
        <f>AB62-Table3[[#This Row],[VBAT]]</f>
        <v>-19.863333333333458</v>
      </c>
      <c r="AB62" cm="1">
        <f t="array" ref="AB62">fnInterp(Table3[[#This Row],[SOC]],$S$40:$S$46,$R$40:$R$46)</f>
        <v>1267</v>
      </c>
      <c r="AD62">
        <f>(3.86059/(3))*(1000)</f>
        <v>1286.8633333333335</v>
      </c>
      <c r="AE62" s="15">
        <v>0.6</v>
      </c>
    </row>
    <row r="63" spans="1:31" x14ac:dyDescent="0.25">
      <c r="A63">
        <v>61</v>
      </c>
      <c r="B63">
        <v>10.166666666666666</v>
      </c>
      <c r="C63">
        <v>1269</v>
      </c>
      <c r="E63">
        <v>70</v>
      </c>
      <c r="F63">
        <v>11.666666666666666</v>
      </c>
      <c r="G63">
        <v>1258</v>
      </c>
      <c r="J63">
        <v>10.166666666666666</v>
      </c>
      <c r="K63">
        <v>1258</v>
      </c>
      <c r="L63">
        <v>0.53787878787878785</v>
      </c>
      <c r="AA63">
        <f>AB63-Table3[[#This Row],[VBAT]]</f>
        <v>-19.928333333333285</v>
      </c>
      <c r="AB63" cm="1">
        <f t="array" ref="AB63">fnInterp(Table3[[#This Row],[SOC]],$S$40:$S$46,$R$40:$R$46)</f>
        <v>1268.75</v>
      </c>
      <c r="AD63">
        <f>(3.866035/(3))*(1000)</f>
        <v>1288.6783333333333</v>
      </c>
      <c r="AE63" s="15">
        <v>0.61</v>
      </c>
    </row>
    <row r="64" spans="1:31" x14ac:dyDescent="0.25">
      <c r="A64">
        <v>62</v>
      </c>
      <c r="B64">
        <v>10.333333333333334</v>
      </c>
      <c r="C64">
        <v>1267</v>
      </c>
      <c r="E64">
        <v>71</v>
      </c>
      <c r="F64">
        <v>11.833333333333334</v>
      </c>
      <c r="G64">
        <v>1257</v>
      </c>
      <c r="J64">
        <v>10.333333333333334</v>
      </c>
      <c r="K64">
        <v>1257</v>
      </c>
      <c r="L64">
        <v>0.53030303030303028</v>
      </c>
      <c r="AA64">
        <f>AB64-Table3[[#This Row],[VBAT]]</f>
        <v>-19.846333333333405</v>
      </c>
      <c r="AB64" cm="1">
        <f t="array" ref="AB64">fnInterp(Table3[[#This Row],[SOC]],$S$40:$S$46,$R$40:$R$46)</f>
        <v>1270.5</v>
      </c>
      <c r="AD64">
        <f>(3.871039/(3))*(1000)</f>
        <v>1290.3463333333334</v>
      </c>
      <c r="AE64" s="15">
        <v>0.62</v>
      </c>
    </row>
    <row r="65" spans="1:31" x14ac:dyDescent="0.25">
      <c r="A65">
        <v>63</v>
      </c>
      <c r="B65">
        <v>10.5</v>
      </c>
      <c r="C65">
        <v>1266</v>
      </c>
      <c r="E65">
        <v>72</v>
      </c>
      <c r="F65">
        <v>12</v>
      </c>
      <c r="G65">
        <v>1256</v>
      </c>
      <c r="J65">
        <v>10.5</v>
      </c>
      <c r="K65">
        <v>1256</v>
      </c>
      <c r="L65">
        <v>0.52272727272727271</v>
      </c>
      <c r="AA65">
        <f>AB65-Table3[[#This Row],[VBAT]]</f>
        <v>-19.996000000000095</v>
      </c>
      <c r="AB65" cm="1">
        <f t="array" ref="AB65">fnInterp(Table3[[#This Row],[SOC]],$S$40:$S$46,$R$40:$R$46)</f>
        <v>1272.25</v>
      </c>
      <c r="AD65">
        <f>(3.876738/(3))*(1000)</f>
        <v>1292.2460000000001</v>
      </c>
      <c r="AE65" s="15">
        <v>0.63</v>
      </c>
    </row>
    <row r="66" spans="1:31" x14ac:dyDescent="0.25">
      <c r="A66">
        <v>64</v>
      </c>
      <c r="B66">
        <v>10.666666666666666</v>
      </c>
      <c r="C66">
        <v>1263</v>
      </c>
      <c r="E66">
        <v>73</v>
      </c>
      <c r="F66">
        <v>12.166666666666666</v>
      </c>
      <c r="G66">
        <v>1256</v>
      </c>
      <c r="J66">
        <v>10.666666666666666</v>
      </c>
      <c r="K66">
        <v>1256</v>
      </c>
      <c r="L66">
        <v>0.51515151515151514</v>
      </c>
      <c r="AA66">
        <f>AB66-Table3[[#This Row],[VBAT]]</f>
        <v>-20.408333333333303</v>
      </c>
      <c r="AB66" cm="1">
        <f t="array" ref="AB66">fnInterp(Table3[[#This Row],[SOC]],$S$40:$S$46,$R$40:$R$46)</f>
        <v>1274</v>
      </c>
      <c r="AD66">
        <f>(3.883225/(3))*(1000)</f>
        <v>1294.4083333333333</v>
      </c>
      <c r="AE66" s="15">
        <v>0.64</v>
      </c>
    </row>
    <row r="67" spans="1:31" x14ac:dyDescent="0.25">
      <c r="A67">
        <v>65</v>
      </c>
      <c r="B67">
        <v>10.833333333333334</v>
      </c>
      <c r="C67">
        <v>1263</v>
      </c>
      <c r="E67">
        <v>74</v>
      </c>
      <c r="F67">
        <v>12.333333333333334</v>
      </c>
      <c r="G67">
        <v>1253</v>
      </c>
      <c r="J67">
        <v>10.833333333333334</v>
      </c>
      <c r="K67">
        <v>1253</v>
      </c>
      <c r="L67">
        <v>0.50757575757575757</v>
      </c>
      <c r="AA67">
        <f>AB67-Table3[[#This Row],[VBAT]]</f>
        <v>-21.025666666666666</v>
      </c>
      <c r="AB67" cm="1">
        <f t="array" ref="AB67">fnInterp(Table3[[#This Row],[SOC]],$S$40:$S$46,$R$40:$R$46)</f>
        <v>1275.75</v>
      </c>
      <c r="AD67">
        <f>(3.890327/(3))*(1000)</f>
        <v>1296.7756666666667</v>
      </c>
      <c r="AE67" s="15">
        <v>0.65</v>
      </c>
    </row>
    <row r="68" spans="1:31" x14ac:dyDescent="0.25">
      <c r="A68">
        <v>66</v>
      </c>
      <c r="B68">
        <v>11</v>
      </c>
      <c r="C68">
        <v>1262</v>
      </c>
      <c r="E68">
        <v>75</v>
      </c>
      <c r="F68">
        <v>12.5</v>
      </c>
      <c r="G68">
        <v>1252</v>
      </c>
      <c r="J68">
        <v>11</v>
      </c>
      <c r="K68">
        <v>1252</v>
      </c>
      <c r="L68">
        <v>0.5</v>
      </c>
      <c r="AA68">
        <f>AB68-Table3[[#This Row],[VBAT]]</f>
        <v>-22.069666666666762</v>
      </c>
      <c r="AB68" cm="1">
        <f t="array" ref="AB68">fnInterp(Table3[[#This Row],[SOC]],$S$40:$S$46,$R$40:$R$46)</f>
        <v>1277.5</v>
      </c>
      <c r="AD68">
        <f>(3.898709/(3))*(1000)</f>
        <v>1299.5696666666668</v>
      </c>
      <c r="AE68" s="15">
        <v>0.66</v>
      </c>
    </row>
    <row r="69" spans="1:31" x14ac:dyDescent="0.25">
      <c r="A69">
        <v>67</v>
      </c>
      <c r="B69">
        <v>11.166666666666666</v>
      </c>
      <c r="C69">
        <v>1261</v>
      </c>
      <c r="E69">
        <v>76</v>
      </c>
      <c r="F69">
        <v>12.666666666666666</v>
      </c>
      <c r="G69">
        <v>1252</v>
      </c>
      <c r="J69">
        <v>11.166666666666666</v>
      </c>
      <c r="K69">
        <v>1252</v>
      </c>
      <c r="L69">
        <v>0.49242424242424243</v>
      </c>
      <c r="AA69">
        <f>AB69-Table3[[#This Row],[VBAT]]</f>
        <v>-22.980333333333419</v>
      </c>
      <c r="AB69" cm="1">
        <f t="array" ref="AB69">fnInterp(Table3[[#This Row],[SOC]],$S$40:$S$46,$R$40:$R$46)</f>
        <v>1279.25</v>
      </c>
      <c r="AD69">
        <f>(3.906691/(3))*(1000)</f>
        <v>1302.2303333333334</v>
      </c>
      <c r="AE69" s="15">
        <v>0.67</v>
      </c>
    </row>
    <row r="70" spans="1:31" x14ac:dyDescent="0.25">
      <c r="A70">
        <v>68</v>
      </c>
      <c r="B70">
        <v>11.333333333333334</v>
      </c>
      <c r="C70">
        <v>1260</v>
      </c>
      <c r="E70">
        <v>77</v>
      </c>
      <c r="F70">
        <v>12.833333333333334</v>
      </c>
      <c r="G70">
        <v>1251</v>
      </c>
      <c r="J70">
        <v>11.333333333333334</v>
      </c>
      <c r="K70">
        <v>1251</v>
      </c>
      <c r="L70">
        <v>0.48484848484848486</v>
      </c>
      <c r="AA70">
        <f>AB70-Table3[[#This Row],[VBAT]]</f>
        <v>-23.868999999999915</v>
      </c>
      <c r="AB70" cm="1">
        <f t="array" ref="AB70">fnInterp(Table3[[#This Row],[SOC]],$S$40:$S$46,$R$40:$R$46)</f>
        <v>1281.0000000000002</v>
      </c>
      <c r="AD70">
        <f>(3.914607/(3))*(1000)</f>
        <v>1304.8690000000001</v>
      </c>
      <c r="AE70" s="15">
        <v>0.68</v>
      </c>
    </row>
    <row r="71" spans="1:31" x14ac:dyDescent="0.25">
      <c r="A71">
        <v>69</v>
      </c>
      <c r="B71">
        <v>11.5</v>
      </c>
      <c r="C71">
        <v>1259</v>
      </c>
      <c r="E71">
        <v>78</v>
      </c>
      <c r="F71">
        <v>13</v>
      </c>
      <c r="G71">
        <v>1250</v>
      </c>
      <c r="J71">
        <v>11.5</v>
      </c>
      <c r="K71">
        <v>1250</v>
      </c>
      <c r="L71">
        <v>0.47727272727272729</v>
      </c>
      <c r="AA71">
        <f>AB71-Table3[[#This Row],[VBAT]]</f>
        <v>-24.602666666666664</v>
      </c>
      <c r="AB71" cm="1">
        <f t="array" ref="AB71">fnInterp(Table3[[#This Row],[SOC]],$S$40:$S$46,$R$40:$R$46)</f>
        <v>1282.75</v>
      </c>
      <c r="AD71">
        <f>(3.922058/(3))*(1000)</f>
        <v>1307.3526666666667</v>
      </c>
      <c r="AE71" s="15">
        <v>0.69</v>
      </c>
    </row>
    <row r="72" spans="1:31" x14ac:dyDescent="0.25">
      <c r="A72">
        <v>70</v>
      </c>
      <c r="B72">
        <v>11.666666666666666</v>
      </c>
      <c r="C72">
        <v>1258</v>
      </c>
      <c r="E72">
        <v>79</v>
      </c>
      <c r="F72">
        <v>13.166666666666666</v>
      </c>
      <c r="G72">
        <v>1250</v>
      </c>
      <c r="J72">
        <v>11.666666666666666</v>
      </c>
      <c r="K72">
        <v>1250</v>
      </c>
      <c r="L72">
        <v>0.46969696969696972</v>
      </c>
      <c r="AA72">
        <f>AB72-Table3[[#This Row],[VBAT]]</f>
        <v>-25.746333333333496</v>
      </c>
      <c r="AB72" cm="1">
        <f t="array" ref="AB72">fnInterp(Table3[[#This Row],[SOC]],$S$40:$S$46,$R$40:$R$46)</f>
        <v>1284.5</v>
      </c>
      <c r="AD72">
        <f>(3.930739/(3))*(1000)</f>
        <v>1310.2463333333335</v>
      </c>
      <c r="AE72" s="15">
        <v>0.7</v>
      </c>
    </row>
    <row r="73" spans="1:31" x14ac:dyDescent="0.25">
      <c r="A73">
        <v>71</v>
      </c>
      <c r="B73">
        <v>11.833333333333334</v>
      </c>
      <c r="C73">
        <v>1257</v>
      </c>
      <c r="E73">
        <v>80</v>
      </c>
      <c r="F73">
        <v>13.333333333333334</v>
      </c>
      <c r="G73">
        <v>1248</v>
      </c>
      <c r="J73">
        <v>11.833333333333334</v>
      </c>
      <c r="K73">
        <v>1248</v>
      </c>
      <c r="L73">
        <v>0.46212121212121204</v>
      </c>
      <c r="AA73">
        <f>AB73-Table3[[#This Row],[VBAT]]</f>
        <v>-26.019999999999982</v>
      </c>
      <c r="AB73" cm="1">
        <f t="array" ref="AB73">fnInterp(Table3[[#This Row],[SOC]],$S$40:$S$46,$R$40:$R$46)</f>
        <v>1286.25</v>
      </c>
      <c r="AD73">
        <f>(3.93681/(3))*(1000)</f>
        <v>1312.27</v>
      </c>
      <c r="AE73" s="15">
        <v>0.71</v>
      </c>
    </row>
    <row r="74" spans="1:31" x14ac:dyDescent="0.25">
      <c r="A74">
        <v>72</v>
      </c>
      <c r="B74">
        <v>12</v>
      </c>
      <c r="C74">
        <v>1256</v>
      </c>
      <c r="E74">
        <v>81</v>
      </c>
      <c r="F74">
        <v>13.5</v>
      </c>
      <c r="G74">
        <v>1247</v>
      </c>
      <c r="J74">
        <v>12</v>
      </c>
      <c r="K74">
        <v>1247</v>
      </c>
      <c r="L74">
        <v>0.45454545454545459</v>
      </c>
      <c r="AA74">
        <f>AB74-Table3[[#This Row],[VBAT]]</f>
        <v>-26.524000000000115</v>
      </c>
      <c r="AB74" cm="1">
        <f t="array" ref="AB74">fnInterp(Table3[[#This Row],[SOC]],$S$40:$S$46,$R$40:$R$46)</f>
        <v>1288</v>
      </c>
      <c r="AD74">
        <f>(3.943572/(3))*(1000)</f>
        <v>1314.5240000000001</v>
      </c>
      <c r="AE74" s="15">
        <v>0.72</v>
      </c>
    </row>
    <row r="75" spans="1:31" x14ac:dyDescent="0.25">
      <c r="A75">
        <v>73</v>
      </c>
      <c r="B75">
        <v>12.166666666666666</v>
      </c>
      <c r="C75">
        <v>1256</v>
      </c>
      <c r="E75">
        <v>82</v>
      </c>
      <c r="F75">
        <v>13.666666666666666</v>
      </c>
      <c r="G75">
        <v>1246</v>
      </c>
      <c r="J75">
        <v>12.166666666666666</v>
      </c>
      <c r="K75">
        <v>1246</v>
      </c>
      <c r="L75">
        <v>0.44696969696969702</v>
      </c>
      <c r="AA75">
        <f>AB75-Table3[[#This Row],[VBAT]]</f>
        <v>-27.027999999999793</v>
      </c>
      <c r="AB75" cm="1">
        <f t="array" ref="AB75">fnInterp(Table3[[#This Row],[SOC]],$S$40:$S$46,$R$40:$R$46)</f>
        <v>1289.7500000000002</v>
      </c>
      <c r="AD75">
        <f>(3.950334/(3))*(1000)</f>
        <v>1316.778</v>
      </c>
      <c r="AE75" s="15">
        <v>0.73</v>
      </c>
    </row>
    <row r="76" spans="1:31" x14ac:dyDescent="0.25">
      <c r="A76">
        <v>74</v>
      </c>
      <c r="B76">
        <v>12.333333333333334</v>
      </c>
      <c r="C76">
        <v>1253</v>
      </c>
      <c r="E76">
        <v>83</v>
      </c>
      <c r="F76">
        <v>13.833333333333334</v>
      </c>
      <c r="G76">
        <v>1245</v>
      </c>
      <c r="J76">
        <v>12.333333333333334</v>
      </c>
      <c r="K76">
        <v>1245</v>
      </c>
      <c r="L76">
        <v>0.43939393939393934</v>
      </c>
      <c r="AA76">
        <f>AB76-Table3[[#This Row],[VBAT]]</f>
        <v>-27.936333333333323</v>
      </c>
      <c r="AB76" cm="1">
        <f t="array" ref="AB76">fnInterp(Table3[[#This Row],[SOC]],$S$40:$S$46,$R$40:$R$46)</f>
        <v>1291.5</v>
      </c>
      <c r="AD76">
        <f>(3.958309/(3))*(1000)</f>
        <v>1319.4363333333333</v>
      </c>
      <c r="AE76" s="15">
        <v>0.74</v>
      </c>
    </row>
    <row r="77" spans="1:31" x14ac:dyDescent="0.25">
      <c r="A77">
        <v>75</v>
      </c>
      <c r="B77">
        <v>12.5</v>
      </c>
      <c r="C77">
        <v>1252</v>
      </c>
      <c r="E77">
        <v>84</v>
      </c>
      <c r="F77">
        <v>14</v>
      </c>
      <c r="G77">
        <v>1245</v>
      </c>
      <c r="J77">
        <v>12.5</v>
      </c>
      <c r="K77">
        <v>1245</v>
      </c>
      <c r="L77">
        <v>0.43181818181818177</v>
      </c>
      <c r="AA77">
        <f>AB77-Table3[[#This Row],[VBAT]]</f>
        <v>-28.207666666666682</v>
      </c>
      <c r="AB77" cm="1">
        <f t="array" ref="AB77">fnInterp(Table3[[#This Row],[SOC]],$S$40:$S$46,$R$40:$R$46)</f>
        <v>1293.25</v>
      </c>
      <c r="AD77">
        <f>(3.964373/(3))*(1000)</f>
        <v>1321.4576666666667</v>
      </c>
      <c r="AE77" s="15">
        <v>0.75</v>
      </c>
    </row>
    <row r="78" spans="1:31" x14ac:dyDescent="0.25">
      <c r="A78">
        <v>76</v>
      </c>
      <c r="B78">
        <v>12.666666666666666</v>
      </c>
      <c r="C78">
        <v>1252</v>
      </c>
      <c r="E78">
        <v>85</v>
      </c>
      <c r="F78">
        <v>14.166666666666666</v>
      </c>
      <c r="G78">
        <v>1244</v>
      </c>
      <c r="J78">
        <v>12.666666666666666</v>
      </c>
      <c r="K78">
        <v>1244</v>
      </c>
      <c r="L78">
        <v>0.42424242424242431</v>
      </c>
      <c r="AA78">
        <f>AB78-Table3[[#This Row],[VBAT]]</f>
        <v>-28.642000000000053</v>
      </c>
      <c r="AB78" cm="1">
        <f t="array" ref="AB78">fnInterp(Table3[[#This Row],[SOC]],$S$40:$S$46,$R$40:$R$46)</f>
        <v>1295</v>
      </c>
      <c r="AD78">
        <f>(3.970926/(3))*(1000)</f>
        <v>1323.6420000000001</v>
      </c>
      <c r="AE78" s="15">
        <v>0.76</v>
      </c>
    </row>
    <row r="79" spans="1:31" x14ac:dyDescent="0.25">
      <c r="A79">
        <v>77</v>
      </c>
      <c r="B79">
        <v>12.833333333333334</v>
      </c>
      <c r="C79">
        <v>1251</v>
      </c>
      <c r="E79">
        <v>86</v>
      </c>
      <c r="F79">
        <v>14.333333333333334</v>
      </c>
      <c r="G79">
        <v>1243</v>
      </c>
      <c r="J79">
        <v>12.833333333333334</v>
      </c>
      <c r="K79">
        <v>1243</v>
      </c>
      <c r="L79">
        <v>0.41666666666666663</v>
      </c>
      <c r="AA79">
        <f>AB79-Table3[[#This Row],[VBAT]]</f>
        <v>-29.098333333333358</v>
      </c>
      <c r="AB79" cm="1">
        <f t="array" ref="AB79">fnInterp(Table3[[#This Row],[SOC]],$S$40:$S$46,$R$40:$R$46)</f>
        <v>1296.75</v>
      </c>
      <c r="AD79">
        <f>(3.977545/(3))*(1000)</f>
        <v>1325.8483333333334</v>
      </c>
      <c r="AE79" s="15">
        <v>0.77</v>
      </c>
    </row>
    <row r="80" spans="1:31" x14ac:dyDescent="0.25">
      <c r="A80">
        <v>78</v>
      </c>
      <c r="B80">
        <v>13</v>
      </c>
      <c r="C80">
        <v>1250</v>
      </c>
      <c r="E80">
        <v>87</v>
      </c>
      <c r="F80">
        <v>14.5</v>
      </c>
      <c r="G80">
        <v>1243</v>
      </c>
      <c r="J80">
        <v>13</v>
      </c>
      <c r="K80">
        <v>1243</v>
      </c>
      <c r="L80">
        <v>0.40909090909090906</v>
      </c>
      <c r="AA80">
        <f>AB80-Table3[[#This Row],[VBAT]]</f>
        <v>-29.619333333333543</v>
      </c>
      <c r="AB80" cm="1">
        <f t="array" ref="AB80">fnInterp(Table3[[#This Row],[SOC]],$S$40:$S$46,$R$40:$R$46)</f>
        <v>1298.4999999999998</v>
      </c>
      <c r="AD80">
        <f>(3.984358/(3))*(1000)</f>
        <v>1328.1193333333333</v>
      </c>
      <c r="AE80" s="15">
        <v>0.78</v>
      </c>
    </row>
    <row r="81" spans="1:31" x14ac:dyDescent="0.25">
      <c r="A81">
        <v>79</v>
      </c>
      <c r="B81">
        <v>13.166666666666666</v>
      </c>
      <c r="C81">
        <v>1250</v>
      </c>
      <c r="E81">
        <v>88</v>
      </c>
      <c r="F81">
        <v>14.666666666666666</v>
      </c>
      <c r="G81">
        <v>1242</v>
      </c>
      <c r="J81">
        <v>13.166666666666666</v>
      </c>
      <c r="K81">
        <v>1242</v>
      </c>
      <c r="L81">
        <v>0.40151515151515149</v>
      </c>
      <c r="AA81">
        <f>AB81-Table3[[#This Row],[VBAT]]</f>
        <v>-30.460666666666611</v>
      </c>
      <c r="AB81" cm="1">
        <f t="array" ref="AB81">fnInterp(Table3[[#This Row],[SOC]],$S$40:$S$46,$R$40:$R$46)</f>
        <v>1300.25</v>
      </c>
      <c r="AD81">
        <f>(3.992132/(3))*(1000)</f>
        <v>1330.7106666666666</v>
      </c>
      <c r="AE81" s="15">
        <v>0.79</v>
      </c>
    </row>
    <row r="82" spans="1:31" x14ac:dyDescent="0.25">
      <c r="A82">
        <v>80</v>
      </c>
      <c r="B82">
        <v>13.333333333333334</v>
      </c>
      <c r="C82">
        <v>1248</v>
      </c>
      <c r="E82">
        <v>89</v>
      </c>
      <c r="F82">
        <v>14.833333333333334</v>
      </c>
      <c r="G82">
        <v>1240</v>
      </c>
      <c r="J82">
        <v>13.333333333333334</v>
      </c>
      <c r="K82">
        <v>1240</v>
      </c>
      <c r="L82">
        <v>0.39393939393939392</v>
      </c>
      <c r="AA82">
        <f>AB82-Table3[[#This Row],[VBAT]]</f>
        <v>-30.864666666666835</v>
      </c>
      <c r="AB82" cm="1">
        <f t="array" ref="AB82">fnInterp(Table3[[#This Row],[SOC]],$S$40:$S$46,$R$40:$R$46)</f>
        <v>1302</v>
      </c>
      <c r="AD82">
        <f>(3.998594/(3))*(1000)</f>
        <v>1332.8646666666668</v>
      </c>
      <c r="AE82" s="15">
        <v>0.8</v>
      </c>
    </row>
    <row r="83" spans="1:31" x14ac:dyDescent="0.25">
      <c r="A83">
        <v>81</v>
      </c>
      <c r="B83">
        <v>13.5</v>
      </c>
      <c r="C83">
        <v>1247</v>
      </c>
      <c r="E83">
        <v>90</v>
      </c>
      <c r="F83">
        <v>15</v>
      </c>
      <c r="G83">
        <v>1240</v>
      </c>
      <c r="J83">
        <v>13.5</v>
      </c>
      <c r="K83">
        <v>1240</v>
      </c>
      <c r="L83">
        <v>0.38636363636363635</v>
      </c>
      <c r="AA83">
        <f>AB83-Table3[[#This Row],[VBAT]]</f>
        <v>-31.557333333333418</v>
      </c>
      <c r="AB83" cm="1">
        <f t="array" ref="AB83">fnInterp(Table3[[#This Row],[SOC]],$S$40:$S$46,$R$40:$R$46)</f>
        <v>1303.75</v>
      </c>
      <c r="AD83">
        <f>(4.005922/(3))*(1000)</f>
        <v>1335.3073333333334</v>
      </c>
      <c r="AE83" s="15">
        <v>0.81</v>
      </c>
    </row>
    <row r="84" spans="1:31" x14ac:dyDescent="0.25">
      <c r="A84">
        <v>82</v>
      </c>
      <c r="B84">
        <v>13.666666666666666</v>
      </c>
      <c r="C84">
        <v>1246</v>
      </c>
      <c r="E84">
        <v>91</v>
      </c>
      <c r="F84">
        <v>15.166666666666666</v>
      </c>
      <c r="G84">
        <v>1239</v>
      </c>
      <c r="J84">
        <v>13.666666666666666</v>
      </c>
      <c r="K84">
        <v>1239</v>
      </c>
      <c r="L84">
        <v>0.37878787878787878</v>
      </c>
      <c r="AA84">
        <f>AB84-Table3[[#This Row],[VBAT]]</f>
        <v>-32.279666666666799</v>
      </c>
      <c r="AB84" cm="1">
        <f t="array" ref="AB84">fnInterp(Table3[[#This Row],[SOC]],$S$40:$S$46,$R$40:$R$46)</f>
        <v>1305.5</v>
      </c>
      <c r="AD84">
        <f>(4.013339/(3))*(1000)</f>
        <v>1337.7796666666668</v>
      </c>
      <c r="AE84" s="15">
        <v>0.82</v>
      </c>
    </row>
    <row r="85" spans="1:31" x14ac:dyDescent="0.25">
      <c r="A85">
        <v>83</v>
      </c>
      <c r="B85">
        <v>13.833333333333334</v>
      </c>
      <c r="C85">
        <v>1245</v>
      </c>
      <c r="E85">
        <v>92</v>
      </c>
      <c r="F85">
        <v>15.333333333333334</v>
      </c>
      <c r="G85">
        <v>1238</v>
      </c>
      <c r="J85">
        <v>13.833333333333334</v>
      </c>
      <c r="K85">
        <v>1238</v>
      </c>
      <c r="L85">
        <v>0.37121212121212122</v>
      </c>
      <c r="AA85">
        <f>AB85-Table3[[#This Row],[VBAT]]</f>
        <v>-33.450666666666621</v>
      </c>
      <c r="AB85" cm="1">
        <f t="array" ref="AB85">fnInterp(Table3[[#This Row],[SOC]],$S$40:$S$46,$R$40:$R$46)</f>
        <v>1307.2500000000002</v>
      </c>
      <c r="AD85">
        <f>(4.022102/(3))*(1000)</f>
        <v>1340.7006666666668</v>
      </c>
      <c r="AE85" s="15">
        <v>0.83</v>
      </c>
    </row>
    <row r="86" spans="1:31" x14ac:dyDescent="0.25">
      <c r="A86">
        <v>84</v>
      </c>
      <c r="B86">
        <v>14</v>
      </c>
      <c r="C86">
        <v>1245</v>
      </c>
      <c r="E86">
        <v>93</v>
      </c>
      <c r="F86">
        <v>15.5</v>
      </c>
      <c r="G86">
        <v>1237</v>
      </c>
      <c r="J86">
        <v>14</v>
      </c>
      <c r="K86">
        <v>1237</v>
      </c>
      <c r="L86">
        <v>0.36363636363636365</v>
      </c>
      <c r="AA86">
        <f>AB86-Table3[[#This Row],[VBAT]]</f>
        <v>-33.941000000000031</v>
      </c>
      <c r="AB86" cm="1">
        <f t="array" ref="AB86">fnInterp(Table3[[#This Row],[SOC]],$S$40:$S$46,$R$40:$R$46)</f>
        <v>1309</v>
      </c>
      <c r="AD86">
        <f>(4.028823/(3))*(1000)</f>
        <v>1342.941</v>
      </c>
      <c r="AE86" s="15">
        <v>0.84</v>
      </c>
    </row>
    <row r="87" spans="1:31" x14ac:dyDescent="0.25">
      <c r="A87">
        <v>85</v>
      </c>
      <c r="B87">
        <v>14.166666666666666</v>
      </c>
      <c r="C87">
        <v>1244</v>
      </c>
      <c r="E87">
        <v>94</v>
      </c>
      <c r="F87">
        <v>15.666666666666666</v>
      </c>
      <c r="G87">
        <v>1236</v>
      </c>
      <c r="J87">
        <v>14.166666666666666</v>
      </c>
      <c r="K87">
        <v>1236</v>
      </c>
      <c r="L87">
        <v>0.35606060606060608</v>
      </c>
      <c r="AA87">
        <f>AB87-Table3[[#This Row],[VBAT]]</f>
        <v>-34.712999999999965</v>
      </c>
      <c r="AB87" cm="1">
        <f t="array" ref="AB87">fnInterp(Table3[[#This Row],[SOC]],$S$40:$S$46,$R$40:$R$46)</f>
        <v>1310.75</v>
      </c>
      <c r="AD87">
        <f>(4.036389/(3))*(1000)</f>
        <v>1345.463</v>
      </c>
      <c r="AE87" s="15">
        <v>0.85</v>
      </c>
    </row>
    <row r="88" spans="1:31" x14ac:dyDescent="0.25">
      <c r="A88">
        <v>86</v>
      </c>
      <c r="B88">
        <v>14.333333333333334</v>
      </c>
      <c r="C88">
        <v>1243</v>
      </c>
      <c r="E88">
        <v>95</v>
      </c>
      <c r="F88">
        <v>15.833333333333334</v>
      </c>
      <c r="G88">
        <v>1235</v>
      </c>
      <c r="J88">
        <v>14.333333333333334</v>
      </c>
      <c r="K88">
        <v>1235</v>
      </c>
      <c r="L88">
        <v>0.34848484848484851</v>
      </c>
      <c r="AA88">
        <f>AB88-Table3[[#This Row],[VBAT]]</f>
        <v>-35.609666666666726</v>
      </c>
      <c r="AB88" cm="1">
        <f t="array" ref="AB88">fnInterp(Table3[[#This Row],[SOC]],$S$40:$S$46,$R$40:$R$46)</f>
        <v>1312.5</v>
      </c>
      <c r="AD88">
        <f>(4.044329/(3))*(1000)</f>
        <v>1348.1096666666667</v>
      </c>
      <c r="AE88" s="15">
        <v>0.86</v>
      </c>
    </row>
    <row r="89" spans="1:31" x14ac:dyDescent="0.25">
      <c r="A89">
        <v>87</v>
      </c>
      <c r="B89">
        <v>14.5</v>
      </c>
      <c r="C89">
        <v>1243</v>
      </c>
      <c r="E89">
        <v>96</v>
      </c>
      <c r="F89">
        <v>16</v>
      </c>
      <c r="G89">
        <v>1233</v>
      </c>
      <c r="J89">
        <v>14.5</v>
      </c>
      <c r="K89">
        <v>1233</v>
      </c>
      <c r="L89">
        <v>0.34090909090909094</v>
      </c>
      <c r="AA89">
        <f>AB89-Table3[[#This Row],[VBAT]]</f>
        <v>-36.887333333333117</v>
      </c>
      <c r="AB89" cm="1">
        <f t="array" ref="AB89">fnInterp(Table3[[#This Row],[SOC]],$S$40:$S$46,$R$40:$R$46)</f>
        <v>1314.25</v>
      </c>
      <c r="AD89">
        <f>(4.053412/(3))*(1000)</f>
        <v>1351.1373333333331</v>
      </c>
      <c r="AE89" s="15">
        <v>0.87</v>
      </c>
    </row>
    <row r="90" spans="1:31" x14ac:dyDescent="0.25">
      <c r="A90">
        <v>88</v>
      </c>
      <c r="B90">
        <v>14.666666666666666</v>
      </c>
      <c r="C90">
        <v>1242</v>
      </c>
      <c r="E90">
        <v>97</v>
      </c>
      <c r="F90">
        <v>16.166666666666668</v>
      </c>
      <c r="G90">
        <v>1234</v>
      </c>
      <c r="J90">
        <v>14.666666666666668</v>
      </c>
      <c r="K90">
        <v>1234</v>
      </c>
      <c r="L90">
        <v>0.33333333333333326</v>
      </c>
      <c r="AA90">
        <f>AB90-Table3[[#This Row],[VBAT]]</f>
        <v>-37.395000000000209</v>
      </c>
      <c r="AB90" cm="1">
        <f t="array" ref="AB90">fnInterp(Table3[[#This Row],[SOC]],$S$40:$S$46,$R$40:$R$46)</f>
        <v>1315.9999999999998</v>
      </c>
      <c r="AD90">
        <f>(4.060185/(3))*(1000)</f>
        <v>1353.395</v>
      </c>
      <c r="AE90" s="15">
        <v>0.88</v>
      </c>
    </row>
    <row r="91" spans="1:31" x14ac:dyDescent="0.25">
      <c r="A91">
        <v>89</v>
      </c>
      <c r="B91">
        <v>14.833333333333334</v>
      </c>
      <c r="C91">
        <v>1240</v>
      </c>
      <c r="E91">
        <v>98</v>
      </c>
      <c r="F91">
        <v>16.333333333333332</v>
      </c>
      <c r="G91">
        <v>1231</v>
      </c>
      <c r="J91">
        <v>14.833333333333332</v>
      </c>
      <c r="K91">
        <v>1231</v>
      </c>
      <c r="L91">
        <v>0.3257575757575758</v>
      </c>
      <c r="AA91">
        <f>AB91-Table3[[#This Row],[VBAT]]</f>
        <v>-38.367666666666764</v>
      </c>
      <c r="AB91" cm="1">
        <f t="array" ref="AB91">fnInterp(Table3[[#This Row],[SOC]],$S$40:$S$46,$R$40:$R$46)</f>
        <v>1317.75</v>
      </c>
      <c r="AD91">
        <f>(4.068353/(3))*(1000)</f>
        <v>1356.1176666666668</v>
      </c>
      <c r="AE91" s="15">
        <v>0.89</v>
      </c>
    </row>
    <row r="92" spans="1:31" x14ac:dyDescent="0.25">
      <c r="A92">
        <v>90</v>
      </c>
      <c r="B92">
        <v>15</v>
      </c>
      <c r="C92">
        <v>1240</v>
      </c>
      <c r="E92">
        <v>99</v>
      </c>
      <c r="F92">
        <v>16.5</v>
      </c>
      <c r="G92">
        <v>1231</v>
      </c>
      <c r="J92">
        <v>15</v>
      </c>
      <c r="K92">
        <v>1231</v>
      </c>
      <c r="L92">
        <v>0.31818181818181823</v>
      </c>
      <c r="AA92">
        <f>AB92-Table3[[#This Row],[VBAT]]</f>
        <v>-39.223000000000184</v>
      </c>
      <c r="AB92" cm="1">
        <f t="array" ref="AB92">fnInterp(Table3[[#This Row],[SOC]],$S$40:$S$46,$R$40:$R$46)</f>
        <v>1319.5</v>
      </c>
      <c r="AD92">
        <f>(4.076169/(3))*(1000)</f>
        <v>1358.7230000000002</v>
      </c>
      <c r="AE92" s="15">
        <v>0.9</v>
      </c>
    </row>
    <row r="93" spans="1:31" x14ac:dyDescent="0.25">
      <c r="A93">
        <v>91</v>
      </c>
      <c r="B93">
        <v>15.166666666666666</v>
      </c>
      <c r="C93">
        <v>1239</v>
      </c>
      <c r="E93">
        <v>100</v>
      </c>
      <c r="F93">
        <v>16.666666666666668</v>
      </c>
      <c r="G93">
        <v>1230</v>
      </c>
      <c r="J93">
        <v>15.166666666666668</v>
      </c>
      <c r="K93">
        <v>1230</v>
      </c>
      <c r="L93">
        <v>0.31060606060606055</v>
      </c>
      <c r="AA93">
        <f>AB93-Table3[[#This Row],[VBAT]]</f>
        <v>-40.297333333333199</v>
      </c>
      <c r="AB93" cm="1">
        <f t="array" ref="AB93">fnInterp(Table3[[#This Row],[SOC]],$S$40:$S$46,$R$40:$R$46)</f>
        <v>1321.25</v>
      </c>
      <c r="AD93">
        <f>(4.084642/(3))*(1000)</f>
        <v>1361.5473333333332</v>
      </c>
      <c r="AE93" s="15">
        <v>0.91</v>
      </c>
    </row>
    <row r="94" spans="1:31" x14ac:dyDescent="0.25">
      <c r="A94">
        <v>92</v>
      </c>
      <c r="B94">
        <v>15.333333333333334</v>
      </c>
      <c r="C94">
        <v>1238</v>
      </c>
      <c r="E94">
        <v>101</v>
      </c>
      <c r="F94">
        <v>16.833333333333332</v>
      </c>
      <c r="G94">
        <v>1230</v>
      </c>
      <c r="J94">
        <v>15.333333333333332</v>
      </c>
      <c r="K94">
        <v>1230</v>
      </c>
      <c r="L94">
        <v>0.30303030303030309</v>
      </c>
      <c r="AA94">
        <f>AB94-Table3[[#This Row],[VBAT]]</f>
        <v>-41.51833333333343</v>
      </c>
      <c r="AB94" cm="1">
        <f t="array" ref="AB94">fnInterp(Table3[[#This Row],[SOC]],$S$40:$S$46,$R$40:$R$46)</f>
        <v>1323</v>
      </c>
      <c r="AD94">
        <f>(4.093555/(3))*(1000)</f>
        <v>1364.5183333333334</v>
      </c>
      <c r="AE94" s="15">
        <v>0.92</v>
      </c>
    </row>
    <row r="95" spans="1:31" x14ac:dyDescent="0.25">
      <c r="A95">
        <v>93</v>
      </c>
      <c r="B95">
        <v>15.5</v>
      </c>
      <c r="C95">
        <v>1237</v>
      </c>
      <c r="E95">
        <v>102</v>
      </c>
      <c r="F95">
        <v>17</v>
      </c>
      <c r="G95">
        <v>1228</v>
      </c>
      <c r="J95">
        <v>15.5</v>
      </c>
      <c r="K95">
        <v>1228</v>
      </c>
      <c r="L95">
        <v>0.29545454545454541</v>
      </c>
      <c r="AA95">
        <f>AB95-Table3[[#This Row],[VBAT]]</f>
        <v>-42.526333333333241</v>
      </c>
      <c r="AB95" cm="1">
        <f t="array" ref="AB95">fnInterp(Table3[[#This Row],[SOC]],$S$40:$S$46,$R$40:$R$46)</f>
        <v>1324.7500000000002</v>
      </c>
      <c r="AD95">
        <f>(4.101829/(3))*(1000)</f>
        <v>1367.2763333333335</v>
      </c>
      <c r="AE95" s="15">
        <v>0.93</v>
      </c>
    </row>
    <row r="96" spans="1:31" x14ac:dyDescent="0.25">
      <c r="A96">
        <v>94</v>
      </c>
      <c r="B96">
        <v>15.666666666666666</v>
      </c>
      <c r="C96">
        <v>1236</v>
      </c>
      <c r="E96">
        <v>103</v>
      </c>
      <c r="F96">
        <v>17.166666666666668</v>
      </c>
      <c r="G96">
        <v>1227</v>
      </c>
      <c r="J96">
        <v>15.666666666666668</v>
      </c>
      <c r="K96">
        <v>1227</v>
      </c>
      <c r="L96">
        <v>0.28787878787878785</v>
      </c>
      <c r="AA96">
        <f>AB96-Table3[[#This Row],[VBAT]]</f>
        <v>-43.65300000000002</v>
      </c>
      <c r="AB96" cm="1">
        <f t="array" ref="AB96">fnInterp(Table3[[#This Row],[SOC]],$S$40:$S$46,$R$40:$R$46)</f>
        <v>1326.5</v>
      </c>
      <c r="AD96">
        <f>(4.110459/(3))*(1000)</f>
        <v>1370.153</v>
      </c>
      <c r="AE96" s="15">
        <v>0.94</v>
      </c>
    </row>
    <row r="97" spans="1:31" x14ac:dyDescent="0.25">
      <c r="A97">
        <v>95</v>
      </c>
      <c r="B97">
        <v>15.833333333333334</v>
      </c>
      <c r="C97">
        <v>1235</v>
      </c>
      <c r="E97">
        <v>104</v>
      </c>
      <c r="F97">
        <v>17.333333333333332</v>
      </c>
      <c r="G97">
        <v>1227</v>
      </c>
      <c r="J97">
        <v>15.833333333333332</v>
      </c>
      <c r="K97">
        <v>1227</v>
      </c>
      <c r="L97">
        <v>0.28030303030303039</v>
      </c>
      <c r="AA97">
        <f>AB97-Table3[[#This Row],[VBAT]]</f>
        <v>-44.771333333333132</v>
      </c>
      <c r="AB97" cm="1">
        <f t="array" ref="AB97">fnInterp(Table3[[#This Row],[SOC]],$S$40:$S$46,$R$40:$R$46)</f>
        <v>1328.25</v>
      </c>
      <c r="AD97">
        <f>(4.119064/(3))*(1000)</f>
        <v>1373.0213333333331</v>
      </c>
      <c r="AE97" s="15">
        <v>0.95</v>
      </c>
    </row>
    <row r="98" spans="1:31" x14ac:dyDescent="0.25">
      <c r="A98">
        <v>96</v>
      </c>
      <c r="B98">
        <v>16</v>
      </c>
      <c r="C98">
        <v>1233</v>
      </c>
      <c r="E98">
        <v>105</v>
      </c>
      <c r="F98">
        <v>17.5</v>
      </c>
      <c r="G98">
        <v>1226</v>
      </c>
      <c r="J98">
        <v>16</v>
      </c>
      <c r="K98">
        <v>1226</v>
      </c>
      <c r="L98">
        <v>0.27272727272727271</v>
      </c>
      <c r="AA98">
        <f>AB98-Table3[[#This Row],[VBAT]]</f>
        <v>-46.321666666666715</v>
      </c>
      <c r="AB98" cm="1">
        <f t="array" ref="AB98">fnInterp(Table3[[#This Row],[SOC]],$S$40:$S$46,$R$40:$R$46)</f>
        <v>1330</v>
      </c>
      <c r="AD98">
        <f>(4.128965/(3))*(1000)</f>
        <v>1376.3216666666667</v>
      </c>
      <c r="AE98" s="15">
        <v>0.96</v>
      </c>
    </row>
    <row r="99" spans="1:31" x14ac:dyDescent="0.25">
      <c r="A99">
        <v>97</v>
      </c>
      <c r="B99">
        <v>16.166666666666668</v>
      </c>
      <c r="C99">
        <v>1234</v>
      </c>
      <c r="E99">
        <v>106</v>
      </c>
      <c r="F99">
        <v>17.666666666666668</v>
      </c>
      <c r="G99">
        <v>1225</v>
      </c>
      <c r="J99">
        <v>16.166666666666668</v>
      </c>
      <c r="K99">
        <v>1225</v>
      </c>
      <c r="L99">
        <v>0.26515151515151514</v>
      </c>
      <c r="AA99">
        <f>AB99-Table3[[#This Row],[VBAT]]</f>
        <v>-47.418333333333294</v>
      </c>
      <c r="AB99" cm="1">
        <f t="array" ref="AB99">fnInterp(Table3[[#This Row],[SOC]],$S$40:$S$46,$R$40:$R$46)</f>
        <v>1331.75</v>
      </c>
      <c r="AD99">
        <f>(4.137505/(3))*(1000)</f>
        <v>1379.1683333333333</v>
      </c>
      <c r="AE99" s="15">
        <v>0.97</v>
      </c>
    </row>
    <row r="100" spans="1:31" x14ac:dyDescent="0.25">
      <c r="A100">
        <v>98</v>
      </c>
      <c r="B100">
        <v>16.333333333333332</v>
      </c>
      <c r="C100">
        <v>1231</v>
      </c>
      <c r="E100">
        <v>107</v>
      </c>
      <c r="F100">
        <v>17.833333333333332</v>
      </c>
      <c r="G100">
        <v>1224</v>
      </c>
      <c r="J100">
        <v>16.333333333333332</v>
      </c>
      <c r="K100">
        <v>1224</v>
      </c>
      <c r="L100">
        <v>0.25757575757575768</v>
      </c>
      <c r="AA100">
        <f>AB100-Table3[[#This Row],[VBAT]]</f>
        <v>-48.908000000000129</v>
      </c>
      <c r="AB100" cm="1">
        <f t="array" ref="AB100">fnInterp(Table3[[#This Row],[SOC]],$S$40:$S$46,$R$40:$R$46)</f>
        <v>1333.4999999999998</v>
      </c>
      <c r="AD100">
        <f>(4.147224/(3))*(1000)</f>
        <v>1382.4079999999999</v>
      </c>
      <c r="AE100" s="15">
        <v>0.98</v>
      </c>
    </row>
    <row r="101" spans="1:31" x14ac:dyDescent="0.25">
      <c r="A101">
        <v>99</v>
      </c>
      <c r="B101">
        <v>16.5</v>
      </c>
      <c r="C101">
        <v>1231</v>
      </c>
      <c r="E101">
        <v>108</v>
      </c>
      <c r="F101">
        <v>18</v>
      </c>
      <c r="G101">
        <v>1223</v>
      </c>
      <c r="J101">
        <v>16.5</v>
      </c>
      <c r="K101">
        <v>1223</v>
      </c>
      <c r="L101">
        <v>0.25</v>
      </c>
      <c r="AA101">
        <f>AB101-Table3[[#This Row],[VBAT]]</f>
        <v>-50.707999999999856</v>
      </c>
      <c r="AB101" cm="1">
        <f t="array" ref="AB101">fnInterp(Table3[[#This Row],[SOC]],$S$40:$S$46,$R$40:$R$46)</f>
        <v>1335.25</v>
      </c>
      <c r="AD101">
        <f>(4.157874/(3))*(1000)</f>
        <v>1385.9579999999999</v>
      </c>
      <c r="AE101" s="15">
        <v>0.99</v>
      </c>
    </row>
    <row r="102" spans="1:31" x14ac:dyDescent="0.25">
      <c r="A102">
        <v>100</v>
      </c>
      <c r="B102">
        <v>16.666666666666668</v>
      </c>
      <c r="C102">
        <v>1230</v>
      </c>
      <c r="E102">
        <v>109</v>
      </c>
      <c r="F102">
        <v>18.166666666666668</v>
      </c>
      <c r="G102">
        <v>1223</v>
      </c>
      <c r="J102">
        <v>16.666666666666668</v>
      </c>
      <c r="K102">
        <v>1223</v>
      </c>
      <c r="L102">
        <v>0.24242424242424232</v>
      </c>
      <c r="AA102">
        <f>AB102-Table3[[#This Row],[VBAT]]</f>
        <v>-63.000000000000227</v>
      </c>
      <c r="AB102" cm="1">
        <f t="array" ref="AB102">fnInterp(Table3[[#This Row],[SOC]],$S$40:$S$46,$R$40:$R$46)</f>
        <v>1337</v>
      </c>
      <c r="AD102">
        <f>(4.2/(3))*(1000)</f>
        <v>1400.0000000000002</v>
      </c>
      <c r="AE102" s="15">
        <v>1</v>
      </c>
    </row>
    <row r="103" spans="1:31" x14ac:dyDescent="0.25">
      <c r="A103">
        <v>101</v>
      </c>
      <c r="B103">
        <v>16.833333333333332</v>
      </c>
      <c r="C103">
        <v>1230</v>
      </c>
      <c r="E103">
        <v>110</v>
      </c>
      <c r="F103">
        <v>18.333333333333332</v>
      </c>
      <c r="G103">
        <v>1222</v>
      </c>
      <c r="J103">
        <v>16.833333333333332</v>
      </c>
      <c r="K103">
        <v>1222</v>
      </c>
      <c r="L103">
        <v>0.23484848484848486</v>
      </c>
    </row>
    <row r="104" spans="1:31" x14ac:dyDescent="0.25">
      <c r="A104">
        <v>102</v>
      </c>
      <c r="B104">
        <v>17</v>
      </c>
      <c r="C104">
        <v>1228</v>
      </c>
      <c r="E104">
        <v>111</v>
      </c>
      <c r="F104">
        <v>18.5</v>
      </c>
      <c r="G104">
        <v>1221</v>
      </c>
      <c r="J104">
        <v>17</v>
      </c>
      <c r="K104">
        <v>1221</v>
      </c>
      <c r="L104">
        <v>0.22727272727272729</v>
      </c>
    </row>
    <row r="105" spans="1:31" x14ac:dyDescent="0.25">
      <c r="A105">
        <v>103</v>
      </c>
      <c r="B105">
        <v>17.166666666666668</v>
      </c>
      <c r="C105">
        <v>1227</v>
      </c>
      <c r="E105">
        <v>112</v>
      </c>
      <c r="F105">
        <v>18.666666666666668</v>
      </c>
      <c r="G105">
        <v>1220</v>
      </c>
      <c r="J105">
        <v>17.166666666666668</v>
      </c>
      <c r="K105">
        <v>1220</v>
      </c>
      <c r="L105">
        <v>0.21969696969696961</v>
      </c>
    </row>
    <row r="106" spans="1:31" x14ac:dyDescent="0.25">
      <c r="A106">
        <v>104</v>
      </c>
      <c r="B106">
        <v>17.333333333333332</v>
      </c>
      <c r="C106">
        <v>1227</v>
      </c>
      <c r="E106">
        <v>113</v>
      </c>
      <c r="F106">
        <v>18.833333333333332</v>
      </c>
      <c r="G106">
        <v>1219</v>
      </c>
      <c r="J106">
        <v>17.333333333333332</v>
      </c>
      <c r="K106">
        <v>1219</v>
      </c>
      <c r="L106">
        <v>0.21212121212121215</v>
      </c>
    </row>
    <row r="107" spans="1:31" x14ac:dyDescent="0.25">
      <c r="A107">
        <v>105</v>
      </c>
      <c r="B107">
        <v>17.5</v>
      </c>
      <c r="C107">
        <v>1226</v>
      </c>
      <c r="E107">
        <v>114</v>
      </c>
      <c r="F107">
        <v>19</v>
      </c>
      <c r="G107">
        <v>1217</v>
      </c>
      <c r="J107">
        <v>17.5</v>
      </c>
      <c r="K107">
        <v>1217</v>
      </c>
      <c r="L107">
        <v>0.20454545454545459</v>
      </c>
    </row>
    <row r="108" spans="1:31" x14ac:dyDescent="0.25">
      <c r="A108">
        <v>106</v>
      </c>
      <c r="B108">
        <v>17.666666666666668</v>
      </c>
      <c r="C108">
        <v>1225</v>
      </c>
      <c r="E108">
        <v>115</v>
      </c>
      <c r="F108">
        <v>19.166666666666668</v>
      </c>
      <c r="G108">
        <v>1216</v>
      </c>
      <c r="J108">
        <v>17.666666666666668</v>
      </c>
      <c r="K108">
        <v>1216</v>
      </c>
      <c r="L108">
        <v>0.19696969696969691</v>
      </c>
    </row>
    <row r="109" spans="1:31" x14ac:dyDescent="0.25">
      <c r="A109">
        <v>107</v>
      </c>
      <c r="B109">
        <v>17.833333333333332</v>
      </c>
      <c r="C109">
        <v>1224</v>
      </c>
      <c r="E109">
        <v>116</v>
      </c>
      <c r="F109">
        <v>19.333333333333332</v>
      </c>
      <c r="G109">
        <v>1215</v>
      </c>
      <c r="J109">
        <v>17.833333333333332</v>
      </c>
      <c r="K109">
        <v>1215</v>
      </c>
      <c r="L109">
        <v>0.18939393939393945</v>
      </c>
    </row>
    <row r="110" spans="1:31" x14ac:dyDescent="0.25">
      <c r="A110">
        <v>108</v>
      </c>
      <c r="B110">
        <v>18</v>
      </c>
      <c r="C110">
        <v>1223</v>
      </c>
      <c r="E110">
        <v>117</v>
      </c>
      <c r="F110">
        <v>19.5</v>
      </c>
      <c r="G110">
        <v>1214</v>
      </c>
      <c r="J110">
        <v>18</v>
      </c>
      <c r="K110">
        <v>1214</v>
      </c>
      <c r="L110">
        <v>0.18181818181818177</v>
      </c>
    </row>
    <row r="111" spans="1:31" x14ac:dyDescent="0.25">
      <c r="A111">
        <v>109</v>
      </c>
      <c r="B111">
        <v>18.166666666666668</v>
      </c>
      <c r="C111">
        <v>1223</v>
      </c>
      <c r="E111">
        <v>118</v>
      </c>
      <c r="F111">
        <v>19.666666666666668</v>
      </c>
      <c r="G111">
        <v>1211</v>
      </c>
      <c r="J111">
        <v>18.166666666666668</v>
      </c>
      <c r="K111">
        <v>1211</v>
      </c>
      <c r="L111">
        <v>0.1742424242424242</v>
      </c>
    </row>
    <row r="112" spans="1:31" x14ac:dyDescent="0.25">
      <c r="A112">
        <v>110</v>
      </c>
      <c r="B112">
        <v>18.333333333333332</v>
      </c>
      <c r="C112">
        <v>1222</v>
      </c>
      <c r="E112">
        <v>119</v>
      </c>
      <c r="F112">
        <v>19.833333333333332</v>
      </c>
      <c r="G112">
        <v>1211</v>
      </c>
      <c r="J112">
        <v>18.333333333333332</v>
      </c>
      <c r="K112">
        <v>1211</v>
      </c>
      <c r="L112">
        <v>0.16666666666666674</v>
      </c>
    </row>
    <row r="113" spans="1:12" x14ac:dyDescent="0.25">
      <c r="A113">
        <v>111</v>
      </c>
      <c r="B113">
        <v>18.5</v>
      </c>
      <c r="C113">
        <v>1221</v>
      </c>
      <c r="E113">
        <v>120</v>
      </c>
      <c r="F113">
        <v>20</v>
      </c>
      <c r="G113">
        <v>1210</v>
      </c>
      <c r="J113">
        <v>18.5</v>
      </c>
      <c r="K113">
        <v>1210</v>
      </c>
      <c r="L113">
        <v>0.15909090909090906</v>
      </c>
    </row>
    <row r="114" spans="1:12" x14ac:dyDescent="0.25">
      <c r="A114">
        <v>112</v>
      </c>
      <c r="B114">
        <v>18.666666666666668</v>
      </c>
      <c r="C114">
        <v>1220</v>
      </c>
      <c r="E114">
        <v>121</v>
      </c>
      <c r="F114">
        <v>20.166666666666668</v>
      </c>
      <c r="G114">
        <v>1209</v>
      </c>
      <c r="J114">
        <v>18.666666666666668</v>
      </c>
      <c r="K114">
        <v>1209</v>
      </c>
      <c r="L114">
        <v>0.15151515151515149</v>
      </c>
    </row>
    <row r="115" spans="1:12" x14ac:dyDescent="0.25">
      <c r="A115">
        <v>113</v>
      </c>
      <c r="B115">
        <v>18.833333333333332</v>
      </c>
      <c r="C115">
        <v>1219</v>
      </c>
      <c r="E115">
        <v>122</v>
      </c>
      <c r="F115">
        <v>20.333333333333332</v>
      </c>
      <c r="G115">
        <v>1208</v>
      </c>
      <c r="J115">
        <v>18.833333333333332</v>
      </c>
      <c r="K115">
        <v>1208</v>
      </c>
      <c r="L115">
        <v>0.14393939393939403</v>
      </c>
    </row>
    <row r="116" spans="1:12" x14ac:dyDescent="0.25">
      <c r="A116">
        <v>114</v>
      </c>
      <c r="B116">
        <v>19</v>
      </c>
      <c r="C116">
        <v>1217</v>
      </c>
      <c r="E116">
        <v>123</v>
      </c>
      <c r="F116">
        <v>20.5</v>
      </c>
      <c r="G116">
        <v>1207</v>
      </c>
      <c r="J116">
        <v>19</v>
      </c>
      <c r="K116">
        <v>1207</v>
      </c>
      <c r="L116">
        <v>0.13636363636363635</v>
      </c>
    </row>
    <row r="117" spans="1:12" x14ac:dyDescent="0.25">
      <c r="A117">
        <v>115</v>
      </c>
      <c r="B117">
        <v>19.166666666666668</v>
      </c>
      <c r="C117">
        <v>1216</v>
      </c>
      <c r="E117">
        <v>124</v>
      </c>
      <c r="F117">
        <v>20.666666666666668</v>
      </c>
      <c r="G117">
        <v>1206</v>
      </c>
      <c r="J117">
        <v>19.166666666666668</v>
      </c>
      <c r="K117">
        <v>1206</v>
      </c>
      <c r="L117">
        <v>0.12878787878787878</v>
      </c>
    </row>
    <row r="118" spans="1:12" x14ac:dyDescent="0.25">
      <c r="A118">
        <v>116</v>
      </c>
      <c r="B118">
        <v>19.333333333333332</v>
      </c>
      <c r="C118">
        <v>1215</v>
      </c>
      <c r="E118">
        <v>125</v>
      </c>
      <c r="F118">
        <v>20.833333333333332</v>
      </c>
      <c r="G118">
        <v>1206</v>
      </c>
      <c r="J118">
        <v>19.333333333333332</v>
      </c>
      <c r="K118">
        <v>1206</v>
      </c>
      <c r="L118">
        <v>0.12121212121212122</v>
      </c>
    </row>
    <row r="119" spans="1:12" x14ac:dyDescent="0.25">
      <c r="A119">
        <v>117</v>
      </c>
      <c r="B119">
        <v>19.5</v>
      </c>
      <c r="C119">
        <v>1214</v>
      </c>
      <c r="E119">
        <v>126</v>
      </c>
      <c r="F119">
        <v>21</v>
      </c>
      <c r="G119">
        <v>1206</v>
      </c>
      <c r="J119">
        <v>19.5</v>
      </c>
      <c r="K119">
        <v>1206</v>
      </c>
      <c r="L119">
        <v>0.11363636363636365</v>
      </c>
    </row>
    <row r="120" spans="1:12" x14ac:dyDescent="0.25">
      <c r="A120">
        <v>118</v>
      </c>
      <c r="B120">
        <v>19.666666666666668</v>
      </c>
      <c r="C120">
        <v>1211</v>
      </c>
      <c r="E120">
        <v>127</v>
      </c>
      <c r="F120">
        <v>21.166666666666668</v>
      </c>
      <c r="G120">
        <v>1205</v>
      </c>
      <c r="J120">
        <v>19.666666666666668</v>
      </c>
      <c r="K120">
        <v>1205</v>
      </c>
      <c r="L120">
        <v>0.10606060606060597</v>
      </c>
    </row>
    <row r="121" spans="1:12" x14ac:dyDescent="0.25">
      <c r="A121">
        <v>119</v>
      </c>
      <c r="B121">
        <v>19.833333333333332</v>
      </c>
      <c r="C121">
        <v>1211</v>
      </c>
      <c r="E121">
        <v>128</v>
      </c>
      <c r="F121">
        <v>21.333333333333332</v>
      </c>
      <c r="G121">
        <v>1205</v>
      </c>
      <c r="J121">
        <v>19.833333333333332</v>
      </c>
      <c r="K121">
        <v>1205</v>
      </c>
      <c r="L121">
        <v>9.8484848484848508E-2</v>
      </c>
    </row>
    <row r="122" spans="1:12" x14ac:dyDescent="0.25">
      <c r="A122">
        <v>120</v>
      </c>
      <c r="B122">
        <v>20</v>
      </c>
      <c r="C122">
        <v>1210</v>
      </c>
      <c r="E122">
        <v>129</v>
      </c>
      <c r="F122">
        <v>21.5</v>
      </c>
      <c r="G122">
        <v>1204</v>
      </c>
      <c r="J122">
        <v>20</v>
      </c>
      <c r="K122">
        <v>1204</v>
      </c>
      <c r="L122">
        <v>9.0909090909090939E-2</v>
      </c>
    </row>
    <row r="123" spans="1:12" x14ac:dyDescent="0.25">
      <c r="A123">
        <v>121</v>
      </c>
      <c r="B123">
        <v>20.166666666666668</v>
      </c>
      <c r="C123">
        <v>1209</v>
      </c>
      <c r="E123">
        <v>130</v>
      </c>
      <c r="F123">
        <v>21.666666666666668</v>
      </c>
      <c r="G123">
        <v>1204</v>
      </c>
      <c r="J123">
        <v>20.166666666666668</v>
      </c>
      <c r="K123">
        <v>1204</v>
      </c>
      <c r="L123">
        <v>8.3333333333333259E-2</v>
      </c>
    </row>
    <row r="124" spans="1:12" x14ac:dyDescent="0.25">
      <c r="A124">
        <v>122</v>
      </c>
      <c r="B124">
        <v>20.333333333333332</v>
      </c>
      <c r="C124">
        <v>1208</v>
      </c>
      <c r="E124">
        <v>131</v>
      </c>
      <c r="F124">
        <v>21.833333333333332</v>
      </c>
      <c r="G124">
        <v>1201</v>
      </c>
      <c r="J124">
        <v>20.333333333333332</v>
      </c>
      <c r="K124">
        <v>1201</v>
      </c>
      <c r="L124">
        <v>7.5757575757575801E-2</v>
      </c>
    </row>
    <row r="125" spans="1:12" x14ac:dyDescent="0.25">
      <c r="A125">
        <v>123</v>
      </c>
      <c r="B125">
        <v>20.5</v>
      </c>
      <c r="C125">
        <v>1207</v>
      </c>
      <c r="E125">
        <v>132</v>
      </c>
      <c r="F125">
        <v>22</v>
      </c>
      <c r="G125">
        <v>1199</v>
      </c>
      <c r="J125">
        <v>20.5</v>
      </c>
      <c r="K125">
        <v>1199</v>
      </c>
      <c r="L125">
        <v>6.8181818181818232E-2</v>
      </c>
    </row>
    <row r="126" spans="1:12" x14ac:dyDescent="0.25">
      <c r="A126">
        <v>124</v>
      </c>
      <c r="B126">
        <v>20.666666666666668</v>
      </c>
      <c r="C126">
        <v>1206</v>
      </c>
      <c r="E126">
        <v>133</v>
      </c>
      <c r="F126">
        <v>22.166666666666668</v>
      </c>
      <c r="G126">
        <v>1195</v>
      </c>
      <c r="J126">
        <v>20.666666666666668</v>
      </c>
      <c r="K126">
        <v>1195</v>
      </c>
      <c r="L126">
        <v>6.0606060606060552E-2</v>
      </c>
    </row>
    <row r="127" spans="1:12" x14ac:dyDescent="0.25">
      <c r="A127">
        <v>125</v>
      </c>
      <c r="B127">
        <v>20.833333333333332</v>
      </c>
      <c r="C127">
        <v>1206</v>
      </c>
      <c r="E127">
        <v>134</v>
      </c>
      <c r="F127">
        <v>22.333333333333332</v>
      </c>
      <c r="G127">
        <v>1188</v>
      </c>
      <c r="J127">
        <v>20.833333333333332</v>
      </c>
      <c r="K127">
        <v>1188</v>
      </c>
      <c r="L127">
        <v>5.3030303030303094E-2</v>
      </c>
    </row>
    <row r="128" spans="1:12" x14ac:dyDescent="0.25">
      <c r="A128">
        <v>126</v>
      </c>
      <c r="B128">
        <v>21</v>
      </c>
      <c r="C128">
        <v>1206</v>
      </c>
      <c r="E128">
        <v>135</v>
      </c>
      <c r="F128">
        <v>22.5</v>
      </c>
      <c r="G128">
        <v>1182</v>
      </c>
      <c r="J128">
        <v>21</v>
      </c>
      <c r="K128">
        <v>1182</v>
      </c>
      <c r="L128">
        <v>4.5454545454545414E-2</v>
      </c>
    </row>
    <row r="129" spans="1:12" x14ac:dyDescent="0.25">
      <c r="A129">
        <v>127</v>
      </c>
      <c r="B129">
        <v>21.166666666666668</v>
      </c>
      <c r="C129">
        <v>1205</v>
      </c>
      <c r="E129">
        <v>136</v>
      </c>
      <c r="F129">
        <v>22.666666666666668</v>
      </c>
      <c r="G129">
        <v>1174</v>
      </c>
      <c r="J129">
        <v>21.166666666666668</v>
      </c>
      <c r="K129">
        <v>1174</v>
      </c>
      <c r="L129">
        <v>3.7878787878787845E-2</v>
      </c>
    </row>
    <row r="130" spans="1:12" x14ac:dyDescent="0.25">
      <c r="A130">
        <v>128</v>
      </c>
      <c r="B130">
        <v>21.333333333333332</v>
      </c>
      <c r="C130">
        <v>1205</v>
      </c>
      <c r="E130">
        <v>137</v>
      </c>
      <c r="F130">
        <v>22.833333333333332</v>
      </c>
      <c r="G130">
        <v>1164</v>
      </c>
      <c r="J130">
        <v>21.333333333333332</v>
      </c>
      <c r="K130">
        <v>1164</v>
      </c>
      <c r="L130">
        <v>3.0303030303030387E-2</v>
      </c>
    </row>
    <row r="131" spans="1:12" x14ac:dyDescent="0.25">
      <c r="A131">
        <v>129</v>
      </c>
      <c r="B131">
        <v>21.5</v>
      </c>
      <c r="C131">
        <v>1204</v>
      </c>
      <c r="E131">
        <v>138</v>
      </c>
      <c r="F131">
        <v>23</v>
      </c>
      <c r="G131">
        <v>1152</v>
      </c>
      <c r="J131">
        <v>21.5</v>
      </c>
      <c r="K131">
        <v>1152</v>
      </c>
      <c r="L131">
        <v>2.2727272727272707E-2</v>
      </c>
    </row>
    <row r="132" spans="1:12" x14ac:dyDescent="0.25">
      <c r="A132">
        <v>130</v>
      </c>
      <c r="B132">
        <v>21.666666666666668</v>
      </c>
      <c r="C132">
        <v>1204</v>
      </c>
      <c r="E132">
        <v>139</v>
      </c>
      <c r="F132">
        <v>23.166666666666668</v>
      </c>
      <c r="G132">
        <v>1138</v>
      </c>
      <c r="J132">
        <v>21.666666666666668</v>
      </c>
      <c r="K132">
        <v>1138</v>
      </c>
      <c r="L132">
        <v>1.5151515151515138E-2</v>
      </c>
    </row>
    <row r="133" spans="1:12" x14ac:dyDescent="0.25">
      <c r="A133">
        <v>131</v>
      </c>
      <c r="B133">
        <v>21.833333333333332</v>
      </c>
      <c r="C133">
        <v>1201</v>
      </c>
      <c r="E133">
        <v>140</v>
      </c>
      <c r="F133">
        <v>23.333333333333332</v>
      </c>
      <c r="G133">
        <v>1119</v>
      </c>
      <c r="J133">
        <v>21.833333333333332</v>
      </c>
      <c r="K133">
        <v>1119</v>
      </c>
      <c r="L133">
        <v>7.5757575757576801E-3</v>
      </c>
    </row>
    <row r="134" spans="1:12" x14ac:dyDescent="0.25">
      <c r="A134">
        <v>132</v>
      </c>
      <c r="B134">
        <v>22</v>
      </c>
      <c r="C134">
        <v>1199</v>
      </c>
      <c r="E134">
        <v>141</v>
      </c>
      <c r="F134">
        <v>23.5</v>
      </c>
      <c r="G134">
        <v>1108</v>
      </c>
      <c r="J134">
        <v>22</v>
      </c>
      <c r="K134">
        <v>1108</v>
      </c>
      <c r="L134">
        <v>0</v>
      </c>
    </row>
    <row r="135" spans="1:12" x14ac:dyDescent="0.25">
      <c r="A135">
        <v>133</v>
      </c>
      <c r="B135">
        <v>22.166666666666668</v>
      </c>
      <c r="C135">
        <v>1195</v>
      </c>
    </row>
    <row r="136" spans="1:12" x14ac:dyDescent="0.25">
      <c r="A136">
        <v>134</v>
      </c>
      <c r="B136">
        <v>22.333333333333332</v>
      </c>
      <c r="C136">
        <v>1188</v>
      </c>
    </row>
    <row r="137" spans="1:12" x14ac:dyDescent="0.25">
      <c r="A137">
        <v>135</v>
      </c>
      <c r="B137">
        <v>22.5</v>
      </c>
      <c r="C137">
        <v>1182</v>
      </c>
    </row>
    <row r="138" spans="1:12" x14ac:dyDescent="0.25">
      <c r="A138">
        <v>136</v>
      </c>
      <c r="B138">
        <v>22.666666666666668</v>
      </c>
      <c r="C138">
        <v>1174</v>
      </c>
    </row>
    <row r="139" spans="1:12" x14ac:dyDescent="0.25">
      <c r="A139">
        <v>137</v>
      </c>
      <c r="B139">
        <v>22.833333333333332</v>
      </c>
      <c r="C139">
        <v>1164</v>
      </c>
    </row>
    <row r="140" spans="1:12" x14ac:dyDescent="0.25">
      <c r="A140">
        <v>138</v>
      </c>
      <c r="B140">
        <v>23</v>
      </c>
      <c r="C140">
        <v>1152</v>
      </c>
    </row>
    <row r="141" spans="1:12" x14ac:dyDescent="0.25">
      <c r="A141">
        <v>139</v>
      </c>
      <c r="B141">
        <v>23.166666666666668</v>
      </c>
      <c r="C141">
        <v>1138</v>
      </c>
    </row>
    <row r="142" spans="1:12" x14ac:dyDescent="0.25">
      <c r="A142">
        <v>140</v>
      </c>
      <c r="B142">
        <v>23.333333333333332</v>
      </c>
      <c r="C142">
        <v>1119</v>
      </c>
    </row>
    <row r="143" spans="1:12" x14ac:dyDescent="0.25">
      <c r="A143">
        <v>141</v>
      </c>
      <c r="B143">
        <v>23.5</v>
      </c>
      <c r="C143">
        <v>1108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B969-608B-470F-AD3A-83C389863F71}">
  <dimension ref="A1:T128"/>
  <sheetViews>
    <sheetView tabSelected="1" topLeftCell="I13" workbookViewId="0">
      <selection activeCell="O17" sqref="O17"/>
    </sheetView>
  </sheetViews>
  <sheetFormatPr defaultRowHeight="13.2" x14ac:dyDescent="0.25"/>
  <sheetData>
    <row r="1" spans="1:3" x14ac:dyDescent="0.25">
      <c r="A1" t="s">
        <v>37</v>
      </c>
      <c r="B1" t="s">
        <v>42</v>
      </c>
      <c r="C1" t="s">
        <v>46</v>
      </c>
    </row>
    <row r="2" spans="1:3" x14ac:dyDescent="0.25">
      <c r="A2">
        <v>1138</v>
      </c>
      <c r="B2" s="16">
        <v>0</v>
      </c>
      <c r="C2">
        <f>A2-1.5*10</f>
        <v>1123</v>
      </c>
    </row>
    <row r="3" spans="1:3" x14ac:dyDescent="0.25">
      <c r="A3">
        <v>1142.6000000000001</v>
      </c>
      <c r="B3" s="16">
        <v>0.01</v>
      </c>
      <c r="C3">
        <f t="shared" ref="C3:C66" si="0">A3-1.5*10</f>
        <v>1127.6000000000001</v>
      </c>
    </row>
    <row r="4" spans="1:3" x14ac:dyDescent="0.25">
      <c r="A4">
        <v>1145.7</v>
      </c>
      <c r="B4" s="16">
        <v>0.02</v>
      </c>
      <c r="C4">
        <f t="shared" si="0"/>
        <v>1130.7</v>
      </c>
    </row>
    <row r="5" spans="1:3" x14ac:dyDescent="0.25">
      <c r="A5">
        <v>1148</v>
      </c>
      <c r="B5" s="16">
        <v>0.03</v>
      </c>
      <c r="C5">
        <f t="shared" si="0"/>
        <v>1133</v>
      </c>
    </row>
    <row r="6" spans="1:3" x14ac:dyDescent="0.25">
      <c r="A6">
        <v>1150</v>
      </c>
      <c r="B6" s="16">
        <v>0.04</v>
      </c>
      <c r="C6">
        <f t="shared" si="0"/>
        <v>1135</v>
      </c>
    </row>
    <row r="7" spans="1:3" x14ac:dyDescent="0.25">
      <c r="A7">
        <v>1151.5999999999999</v>
      </c>
      <c r="B7" s="16">
        <v>0.05</v>
      </c>
      <c r="C7">
        <f t="shared" si="0"/>
        <v>1136.5999999999999</v>
      </c>
    </row>
    <row r="8" spans="1:3" x14ac:dyDescent="0.25">
      <c r="A8">
        <v>1153.2</v>
      </c>
      <c r="B8" s="16">
        <v>0.06</v>
      </c>
      <c r="C8">
        <f t="shared" si="0"/>
        <v>1138.2</v>
      </c>
    </row>
    <row r="9" spans="1:3" x14ac:dyDescent="0.25">
      <c r="A9">
        <v>1154.9000000000001</v>
      </c>
      <c r="B9" s="16">
        <v>7.0000000000000007E-2</v>
      </c>
      <c r="C9">
        <f t="shared" si="0"/>
        <v>1139.9000000000001</v>
      </c>
    </row>
    <row r="10" spans="1:3" x14ac:dyDescent="0.25">
      <c r="A10">
        <v>1156.6000000000001</v>
      </c>
      <c r="B10" s="16">
        <v>0.08</v>
      </c>
      <c r="C10">
        <f t="shared" si="0"/>
        <v>1141.6000000000001</v>
      </c>
    </row>
    <row r="11" spans="1:3" x14ac:dyDescent="0.25">
      <c r="A11">
        <v>1159.3</v>
      </c>
      <c r="B11" s="16">
        <v>0.09</v>
      </c>
      <c r="C11">
        <f t="shared" si="0"/>
        <v>1144.3</v>
      </c>
    </row>
    <row r="12" spans="1:3" x14ac:dyDescent="0.25">
      <c r="A12">
        <v>1162.4000000000001</v>
      </c>
      <c r="B12" s="16">
        <v>0.1</v>
      </c>
      <c r="C12">
        <f t="shared" si="0"/>
        <v>1147.4000000000001</v>
      </c>
    </row>
    <row r="13" spans="1:3" x14ac:dyDescent="0.25">
      <c r="A13">
        <v>1165.8999999999999</v>
      </c>
      <c r="B13" s="16">
        <v>0.11</v>
      </c>
      <c r="C13">
        <f t="shared" si="0"/>
        <v>1150.8999999999999</v>
      </c>
    </row>
    <row r="14" spans="1:3" x14ac:dyDescent="0.25">
      <c r="A14">
        <v>1169.1000000000001</v>
      </c>
      <c r="B14" s="16">
        <v>0.12</v>
      </c>
      <c r="C14">
        <f t="shared" si="0"/>
        <v>1154.1000000000001</v>
      </c>
    </row>
    <row r="15" spans="1:3" x14ac:dyDescent="0.25">
      <c r="A15">
        <v>1171.8</v>
      </c>
      <c r="B15" s="16">
        <v>0.13</v>
      </c>
      <c r="C15">
        <f t="shared" si="0"/>
        <v>1156.8</v>
      </c>
    </row>
    <row r="16" spans="1:3" x14ac:dyDescent="0.25">
      <c r="A16">
        <v>1174.6000000000001</v>
      </c>
      <c r="B16" s="16">
        <v>0.14000000000000001</v>
      </c>
      <c r="C16">
        <f t="shared" si="0"/>
        <v>1159.6000000000001</v>
      </c>
    </row>
    <row r="17" spans="1:20" x14ac:dyDescent="0.25">
      <c r="A17">
        <v>1177.3</v>
      </c>
      <c r="B17" s="16">
        <v>0.15</v>
      </c>
      <c r="C17">
        <f t="shared" si="0"/>
        <v>1162.3</v>
      </c>
    </row>
    <row r="18" spans="1:20" x14ac:dyDescent="0.25">
      <c r="A18">
        <v>1179.3</v>
      </c>
      <c r="B18" s="16">
        <v>0.16</v>
      </c>
      <c r="C18">
        <f t="shared" si="0"/>
        <v>1164.3</v>
      </c>
    </row>
    <row r="19" spans="1:20" x14ac:dyDescent="0.25">
      <c r="A19">
        <v>1181.4000000000001</v>
      </c>
      <c r="B19" s="16">
        <v>0.17</v>
      </c>
      <c r="C19">
        <f t="shared" si="0"/>
        <v>1166.4000000000001</v>
      </c>
    </row>
    <row r="20" spans="1:20" x14ac:dyDescent="0.25">
      <c r="A20">
        <v>1183.5</v>
      </c>
      <c r="B20" s="16">
        <v>0.18</v>
      </c>
      <c r="C20">
        <f t="shared" si="0"/>
        <v>1168.5</v>
      </c>
    </row>
    <row r="21" spans="1:20" x14ac:dyDescent="0.25">
      <c r="A21">
        <v>1185.3</v>
      </c>
      <c r="B21" s="16">
        <v>0.19</v>
      </c>
      <c r="C21">
        <f t="shared" si="0"/>
        <v>1170.3</v>
      </c>
      <c r="F21" t="s">
        <v>45</v>
      </c>
    </row>
    <row r="22" spans="1:20" x14ac:dyDescent="0.25">
      <c r="A22">
        <v>1187.2</v>
      </c>
      <c r="B22" s="16">
        <v>0.2</v>
      </c>
      <c r="C22">
        <f t="shared" si="0"/>
        <v>1172.2</v>
      </c>
      <c r="F22" t="s">
        <v>43</v>
      </c>
      <c r="G22" t="s">
        <v>42</v>
      </c>
    </row>
    <row r="23" spans="1:20" x14ac:dyDescent="0.25">
      <c r="A23">
        <v>1189.3</v>
      </c>
      <c r="B23" s="16">
        <v>0.21</v>
      </c>
      <c r="C23">
        <f t="shared" si="0"/>
        <v>1174.3</v>
      </c>
      <c r="F23">
        <v>1123</v>
      </c>
      <c r="G23">
        <v>0</v>
      </c>
    </row>
    <row r="24" spans="1:20" x14ac:dyDescent="0.25">
      <c r="A24">
        <v>1191</v>
      </c>
      <c r="B24" s="16">
        <v>0.22</v>
      </c>
      <c r="C24">
        <f t="shared" si="0"/>
        <v>1176</v>
      </c>
      <c r="F24">
        <v>1176</v>
      </c>
      <c r="G24">
        <v>0.04</v>
      </c>
      <c r="N24" t="s">
        <v>49</v>
      </c>
    </row>
    <row r="25" spans="1:20" x14ac:dyDescent="0.25">
      <c r="A25">
        <v>1192.5</v>
      </c>
      <c r="B25" s="16">
        <v>0.23</v>
      </c>
      <c r="C25">
        <f t="shared" si="0"/>
        <v>1177.5</v>
      </c>
      <c r="F25">
        <v>1205</v>
      </c>
      <c r="G25">
        <v>0.1</v>
      </c>
    </row>
    <row r="26" spans="1:20" x14ac:dyDescent="0.25">
      <c r="A26">
        <v>1194</v>
      </c>
      <c r="B26" s="16">
        <v>0.24</v>
      </c>
      <c r="C26">
        <f t="shared" si="0"/>
        <v>1179</v>
      </c>
      <c r="F26">
        <v>1229</v>
      </c>
      <c r="G26">
        <v>0.3</v>
      </c>
      <c r="N26" t="s">
        <v>50</v>
      </c>
    </row>
    <row r="27" spans="1:20" x14ac:dyDescent="0.25">
      <c r="A27">
        <v>1195.5</v>
      </c>
      <c r="B27" s="16">
        <v>0.25</v>
      </c>
      <c r="C27">
        <f t="shared" si="0"/>
        <v>1180.5</v>
      </c>
      <c r="F27">
        <v>1267</v>
      </c>
      <c r="G27">
        <v>0.6</v>
      </c>
    </row>
    <row r="28" spans="1:20" x14ac:dyDescent="0.25">
      <c r="A28">
        <v>1196.9000000000001</v>
      </c>
      <c r="B28" s="16">
        <v>0.26</v>
      </c>
      <c r="C28">
        <f t="shared" si="0"/>
        <v>1181.9000000000001</v>
      </c>
      <c r="F28">
        <v>1337</v>
      </c>
      <c r="G28">
        <v>1</v>
      </c>
      <c r="N28" t="s">
        <v>37</v>
      </c>
      <c r="O28" t="s">
        <v>51</v>
      </c>
      <c r="P28" t="s">
        <v>52</v>
      </c>
      <c r="Q28" t="s">
        <v>53</v>
      </c>
      <c r="R28" t="s">
        <v>54</v>
      </c>
      <c r="S28" t="s">
        <v>55</v>
      </c>
      <c r="T28" t="s">
        <v>56</v>
      </c>
    </row>
    <row r="29" spans="1:20" x14ac:dyDescent="0.25">
      <c r="A29">
        <v>1198.0999999999999</v>
      </c>
      <c r="B29" s="16">
        <v>0.27</v>
      </c>
      <c r="C29">
        <f t="shared" si="0"/>
        <v>1183.0999999999999</v>
      </c>
      <c r="F29">
        <v>1420</v>
      </c>
      <c r="G29">
        <v>1</v>
      </c>
      <c r="N29" cm="1">
        <f t="array" ref="N29:N128">_xlfn.SEQUENCE(100,1,1123,(1420-1123)/99)</f>
        <v>1123</v>
      </c>
      <c r="O29" cm="1">
        <f t="array" ref="O29">fnInterp(N29,$F$33:$F$39,$G$33:$G$39)</f>
        <v>0</v>
      </c>
      <c r="P29" cm="1">
        <f t="array" ref="P29">fnInterp(N29,$F$23:$F$29,$G$23:$G$29)</f>
        <v>0</v>
      </c>
      <c r="Q29" cm="1">
        <f t="array" ref="Q29">fnInterp(N29,$J$33:$J$39,$K$33:$K$39)</f>
        <v>0</v>
      </c>
      <c r="R29">
        <f>O29-Q29</f>
        <v>0</v>
      </c>
      <c r="S29">
        <f>P29-Q29</f>
        <v>0</v>
      </c>
      <c r="T29">
        <f>P29-O29</f>
        <v>0</v>
      </c>
    </row>
    <row r="30" spans="1:20" x14ac:dyDescent="0.25">
      <c r="A30">
        <v>1199.3</v>
      </c>
      <c r="B30" s="16">
        <v>0.28000000000000003</v>
      </c>
      <c r="C30">
        <f t="shared" si="0"/>
        <v>1184.3</v>
      </c>
      <c r="N30">
        <v>1126</v>
      </c>
      <c r="O30" cm="1">
        <f t="array" ref="O30">fnInterp(N30,$F$33:$F$39,$G$33:$G$39)</f>
        <v>0.01</v>
      </c>
      <c r="P30" cm="1">
        <f t="array" ref="P30">fnInterp(N30,$F$23:$F$29,$G$23:$G$29)</f>
        <v>2.2641509433962265E-3</v>
      </c>
      <c r="Q30" cm="1">
        <f t="array" ref="Q30">fnInterp(N30,$J$33:$J$39,$K$33:$K$39)</f>
        <v>3.6923076923076922E-3</v>
      </c>
      <c r="R30">
        <f>O30-Q30</f>
        <v>6.3076923076923076E-3</v>
      </c>
      <c r="S30">
        <f t="shared" ref="S30:S93" si="1">P30-Q30</f>
        <v>-1.4281567489114657E-3</v>
      </c>
      <c r="T30">
        <f t="shared" ref="T30:T93" si="2">P30-O30</f>
        <v>-7.7358490566037733E-3</v>
      </c>
    </row>
    <row r="31" spans="1:20" x14ac:dyDescent="0.25">
      <c r="A31">
        <v>1200.3999999999999</v>
      </c>
      <c r="B31" s="16">
        <v>0.28999999999999998</v>
      </c>
      <c r="C31">
        <f t="shared" si="0"/>
        <v>1185.3999999999999</v>
      </c>
      <c r="F31" t="s">
        <v>47</v>
      </c>
      <c r="J31" t="s">
        <v>48</v>
      </c>
      <c r="N31">
        <v>1129</v>
      </c>
      <c r="O31" cm="1">
        <f t="array" ref="O31">fnInterp(N31,$F$33:$F$39,$G$33:$G$39)</f>
        <v>0.02</v>
      </c>
      <c r="P31" cm="1">
        <f t="array" ref="P31">fnInterp(N31,$F$23:$F$29,$G$23:$G$29)</f>
        <v>4.528301886792453E-3</v>
      </c>
      <c r="Q31" cm="1">
        <f t="array" ref="Q31">fnInterp(N31,$J$33:$J$39,$K$33:$K$39)</f>
        <v>7.3846153846153844E-3</v>
      </c>
      <c r="R31">
        <f t="shared" ref="R30:R93" si="3">O31-Q31</f>
        <v>1.2615384615384615E-2</v>
      </c>
      <c r="S31">
        <f t="shared" si="1"/>
        <v>-2.8563134978229314E-3</v>
      </c>
      <c r="T31">
        <f t="shared" si="2"/>
        <v>-1.5471698113207547E-2</v>
      </c>
    </row>
    <row r="32" spans="1:20" x14ac:dyDescent="0.25">
      <c r="A32">
        <v>1201.5</v>
      </c>
      <c r="B32" s="16">
        <v>0.3</v>
      </c>
      <c r="C32">
        <f t="shared" si="0"/>
        <v>1186.5</v>
      </c>
      <c r="F32" t="s">
        <v>43</v>
      </c>
      <c r="G32" t="s">
        <v>42</v>
      </c>
      <c r="J32" t="s">
        <v>43</v>
      </c>
      <c r="K32" t="s">
        <v>42</v>
      </c>
      <c r="N32">
        <v>1132</v>
      </c>
      <c r="O32" cm="1">
        <f t="array" ref="O32">fnInterp(N32,$F$33:$F$39,$G$33:$G$39)</f>
        <v>0.03</v>
      </c>
      <c r="P32" cm="1">
        <f t="array" ref="P32">fnInterp(N32,$F$23:$F$29,$G$23:$G$29)</f>
        <v>6.7924528301886791E-3</v>
      </c>
      <c r="Q32" cm="1">
        <f t="array" ref="Q32">fnInterp(N32,$J$33:$J$39,$K$33:$K$39)</f>
        <v>1.1076923076923076E-2</v>
      </c>
      <c r="R32">
        <f t="shared" si="3"/>
        <v>1.8923076923076924E-2</v>
      </c>
      <c r="S32">
        <f t="shared" si="1"/>
        <v>-4.2844702467343971E-3</v>
      </c>
      <c r="T32">
        <f t="shared" si="2"/>
        <v>-2.320754716981132E-2</v>
      </c>
    </row>
    <row r="33" spans="1:20" x14ac:dyDescent="0.25">
      <c r="A33">
        <v>1202.5999999999999</v>
      </c>
      <c r="B33" s="16">
        <v>0.31</v>
      </c>
      <c r="C33">
        <f t="shared" si="0"/>
        <v>1187.5999999999999</v>
      </c>
      <c r="F33">
        <v>1123</v>
      </c>
      <c r="G33">
        <v>0</v>
      </c>
      <c r="J33" s="17">
        <f>AVERAGE(F33,F23)</f>
        <v>1123</v>
      </c>
      <c r="K33">
        <v>0</v>
      </c>
      <c r="N33">
        <v>1135</v>
      </c>
      <c r="O33" cm="1">
        <f t="array" ref="O33">fnInterp(N33,$F$33:$F$39,$G$33:$G$39)</f>
        <v>0.04</v>
      </c>
      <c r="P33" cm="1">
        <f t="array" ref="P33">fnInterp(N33,$F$23:$F$29,$G$23:$G$29)</f>
        <v>9.0566037735849061E-3</v>
      </c>
      <c r="Q33" cm="1">
        <f t="array" ref="Q33">fnInterp(N33,$J$33:$J$39,$K$33:$K$39)</f>
        <v>1.4769230769230769E-2</v>
      </c>
      <c r="R33">
        <f t="shared" si="3"/>
        <v>2.523076923076923E-2</v>
      </c>
      <c r="S33">
        <f t="shared" si="1"/>
        <v>-5.7126269956458628E-3</v>
      </c>
      <c r="T33">
        <f t="shared" si="2"/>
        <v>-3.0943396226415093E-2</v>
      </c>
    </row>
    <row r="34" spans="1:20" x14ac:dyDescent="0.25">
      <c r="A34">
        <v>1203.8</v>
      </c>
      <c r="B34" s="16">
        <v>0.32</v>
      </c>
      <c r="C34">
        <f t="shared" si="0"/>
        <v>1188.8</v>
      </c>
      <c r="F34" cm="1">
        <f t="array" ref="F34">fnInterp(G34,$B$2:$B$102,$C$2:$C$102)</f>
        <v>1135</v>
      </c>
      <c r="G34">
        <v>0.04</v>
      </c>
      <c r="J34" s="17">
        <f t="shared" ref="J34:J39" si="4">AVERAGE(F34,F24)</f>
        <v>1155.5</v>
      </c>
      <c r="K34">
        <v>0.04</v>
      </c>
      <c r="N34">
        <v>1138</v>
      </c>
      <c r="O34" cm="1">
        <f t="array" ref="O34">fnInterp(N34,$F$33:$F$39,$G$33:$G$39)</f>
        <v>5.4516129032257964E-2</v>
      </c>
      <c r="P34" cm="1">
        <f t="array" ref="P34">fnInterp(N34,$F$23:$F$29,$G$23:$G$29)</f>
        <v>1.1320754716981131E-2</v>
      </c>
      <c r="Q34" cm="1">
        <f t="array" ref="Q34">fnInterp(N34,$J$33:$J$39,$K$33:$K$39)</f>
        <v>1.846153846153846E-2</v>
      </c>
      <c r="R34">
        <f t="shared" si="3"/>
        <v>3.6054590570719504E-2</v>
      </c>
      <c r="S34">
        <f t="shared" si="1"/>
        <v>-7.1407837445573285E-3</v>
      </c>
      <c r="T34">
        <f t="shared" si="2"/>
        <v>-4.3195374315276834E-2</v>
      </c>
    </row>
    <row r="35" spans="1:20" x14ac:dyDescent="0.25">
      <c r="A35">
        <v>1205</v>
      </c>
      <c r="B35" s="16">
        <v>0.33</v>
      </c>
      <c r="C35">
        <f t="shared" si="0"/>
        <v>1190</v>
      </c>
      <c r="F35" cm="1">
        <f t="array" ref="F35">fnInterp(G35,$B$2:$B$102,$C$2:$C$102)</f>
        <v>1147.4000000000001</v>
      </c>
      <c r="G35">
        <v>0.1</v>
      </c>
      <c r="J35" s="17">
        <f t="shared" si="4"/>
        <v>1176.2</v>
      </c>
      <c r="K35">
        <v>0.1</v>
      </c>
      <c r="N35">
        <v>1141</v>
      </c>
      <c r="O35" cm="1">
        <f t="array" ref="O35">fnInterp(N35,$F$33:$F$39,$G$33:$G$39)</f>
        <v>6.903225806451592E-2</v>
      </c>
      <c r="P35" cm="1">
        <f t="array" ref="P35">fnInterp(N35,$F$23:$F$29,$G$23:$G$29)</f>
        <v>1.3584905660377358E-2</v>
      </c>
      <c r="Q35" cm="1">
        <f t="array" ref="Q35">fnInterp(N35,$J$33:$J$39,$K$33:$K$39)</f>
        <v>2.2153846153846152E-2</v>
      </c>
      <c r="R35">
        <f t="shared" si="3"/>
        <v>4.6878411910669771E-2</v>
      </c>
      <c r="S35">
        <f t="shared" si="1"/>
        <v>-8.5689404934687942E-3</v>
      </c>
      <c r="T35">
        <f t="shared" si="2"/>
        <v>-5.5447352404138561E-2</v>
      </c>
    </row>
    <row r="36" spans="1:20" x14ac:dyDescent="0.25">
      <c r="A36">
        <v>1206.2</v>
      </c>
      <c r="B36" s="16">
        <v>0.34</v>
      </c>
      <c r="C36">
        <f t="shared" si="0"/>
        <v>1191.2</v>
      </c>
      <c r="F36" cm="1">
        <f t="array" ref="F36">fnInterp(G36,$B$2:$B$102,$C$2:$C$102)</f>
        <v>1186.5</v>
      </c>
      <c r="G36">
        <v>0.3</v>
      </c>
      <c r="J36" s="17">
        <f t="shared" si="4"/>
        <v>1207.75</v>
      </c>
      <c r="K36">
        <v>0.3</v>
      </c>
      <c r="N36">
        <v>1144</v>
      </c>
      <c r="O36" cm="1">
        <f t="array" ref="O36">fnInterp(N36,$F$33:$F$39,$G$33:$G$39)</f>
        <v>8.3548387096773868E-2</v>
      </c>
      <c r="P36" cm="1">
        <f t="array" ref="P36">fnInterp(N36,$F$23:$F$29,$G$23:$G$29)</f>
        <v>1.5849056603773583E-2</v>
      </c>
      <c r="Q36" cm="1">
        <f t="array" ref="Q36">fnInterp(N36,$J$33:$J$39,$K$33:$K$39)</f>
        <v>2.5846153846153845E-2</v>
      </c>
      <c r="R36">
        <f t="shared" si="3"/>
        <v>5.7702233250620023E-2</v>
      </c>
      <c r="S36">
        <f t="shared" si="1"/>
        <v>-9.9970972423802616E-3</v>
      </c>
      <c r="T36">
        <f t="shared" si="2"/>
        <v>-6.7699330493000281E-2</v>
      </c>
    </row>
    <row r="37" spans="1:20" x14ac:dyDescent="0.25">
      <c r="A37">
        <v>1207.3</v>
      </c>
      <c r="B37" s="16">
        <v>0.35</v>
      </c>
      <c r="C37">
        <f t="shared" si="0"/>
        <v>1192.3</v>
      </c>
      <c r="F37" cm="1">
        <f t="array" ref="F37">fnInterp(G37,$B$2:$B$102,$C$2:$C$102)</f>
        <v>1244.7</v>
      </c>
      <c r="G37">
        <v>0.6</v>
      </c>
      <c r="J37" s="17">
        <f t="shared" si="4"/>
        <v>1255.8499999999999</v>
      </c>
      <c r="K37">
        <v>0.6</v>
      </c>
      <c r="N37">
        <v>1147</v>
      </c>
      <c r="O37" cm="1">
        <f t="array" ref="O37">fnInterp(N37,$F$33:$F$39,$G$33:$G$39)</f>
        <v>9.8064516129031845E-2</v>
      </c>
      <c r="P37" cm="1">
        <f t="array" ref="P37">fnInterp(N37,$F$23:$F$29,$G$23:$G$29)</f>
        <v>1.8113207547169812E-2</v>
      </c>
      <c r="Q37" cm="1">
        <f t="array" ref="Q37">fnInterp(N37,$J$33:$J$39,$K$33:$K$39)</f>
        <v>2.9538461538461538E-2</v>
      </c>
      <c r="R37">
        <f t="shared" si="3"/>
        <v>6.8526054590570304E-2</v>
      </c>
      <c r="S37">
        <f t="shared" si="1"/>
        <v>-1.1425253991291726E-2</v>
      </c>
      <c r="T37">
        <f t="shared" si="2"/>
        <v>-7.9951308581862029E-2</v>
      </c>
    </row>
    <row r="38" spans="1:20" x14ac:dyDescent="0.25">
      <c r="A38">
        <v>1208.3</v>
      </c>
      <c r="B38" s="16">
        <v>0.36</v>
      </c>
      <c r="C38">
        <f t="shared" si="0"/>
        <v>1193.3</v>
      </c>
      <c r="F38">
        <v>1337</v>
      </c>
      <c r="G38">
        <v>1</v>
      </c>
      <c r="J38" s="17">
        <f t="shared" si="4"/>
        <v>1337</v>
      </c>
      <c r="K38">
        <v>1</v>
      </c>
      <c r="N38">
        <v>1150</v>
      </c>
      <c r="O38" cm="1">
        <f t="array" ref="O38">fnInterp(N38,$F$33:$F$39,$G$33:$G$39)</f>
        <v>0.11329923273657247</v>
      </c>
      <c r="P38" cm="1">
        <f t="array" ref="P38">fnInterp(N38,$F$23:$F$29,$G$23:$G$29)</f>
        <v>2.0377358490566037E-2</v>
      </c>
      <c r="Q38" cm="1">
        <f t="array" ref="Q38">fnInterp(N38,$J$33:$J$39,$K$33:$K$39)</f>
        <v>3.323076923076923E-2</v>
      </c>
      <c r="R38">
        <f t="shared" si="3"/>
        <v>8.0068463505803239E-2</v>
      </c>
      <c r="S38">
        <f t="shared" si="1"/>
        <v>-1.2853410740203193E-2</v>
      </c>
      <c r="T38">
        <f t="shared" si="2"/>
        <v>-9.2921874246006425E-2</v>
      </c>
    </row>
    <row r="39" spans="1:20" x14ac:dyDescent="0.25">
      <c r="A39">
        <v>1209.3</v>
      </c>
      <c r="B39" s="16">
        <v>0.37</v>
      </c>
      <c r="C39">
        <f t="shared" si="0"/>
        <v>1194.3</v>
      </c>
      <c r="F39">
        <v>1420</v>
      </c>
      <c r="G39">
        <v>1</v>
      </c>
      <c r="J39" s="17">
        <f t="shared" si="4"/>
        <v>1420</v>
      </c>
      <c r="K39">
        <v>1</v>
      </c>
      <c r="N39">
        <v>1153</v>
      </c>
      <c r="O39" cm="1">
        <f t="array" ref="O39">fnInterp(N39,$F$33:$F$39,$G$33:$G$39)</f>
        <v>0.12864450127877197</v>
      </c>
      <c r="P39" cm="1">
        <f t="array" ref="P39">fnInterp(N39,$F$23:$F$29,$G$23:$G$29)</f>
        <v>2.2641509433962263E-2</v>
      </c>
      <c r="Q39" cm="1">
        <f t="array" ref="Q39">fnInterp(N39,$J$33:$J$39,$K$33:$K$39)</f>
        <v>3.692307692307692E-2</v>
      </c>
      <c r="R39">
        <f t="shared" si="3"/>
        <v>9.1721424355695053E-2</v>
      </c>
      <c r="S39">
        <f t="shared" si="1"/>
        <v>-1.4281567489114657E-2</v>
      </c>
      <c r="T39">
        <f t="shared" si="2"/>
        <v>-0.10600299184480971</v>
      </c>
    </row>
    <row r="40" spans="1:20" x14ac:dyDescent="0.25">
      <c r="A40">
        <v>1210.5</v>
      </c>
      <c r="B40" s="16">
        <v>0.38</v>
      </c>
      <c r="C40">
        <f t="shared" si="0"/>
        <v>1195.5</v>
      </c>
      <c r="N40">
        <v>1156</v>
      </c>
      <c r="O40" cm="1">
        <f t="array" ref="O40">fnInterp(N40,$F$33:$F$39,$G$33:$G$39)</f>
        <v>0.1439897698209715</v>
      </c>
      <c r="P40" cm="1">
        <f t="array" ref="P40">fnInterp(N40,$F$23:$F$29,$G$23:$G$29)</f>
        <v>2.4905660377358491E-2</v>
      </c>
      <c r="Q40" cm="1">
        <f t="array" ref="Q40">fnInterp(N40,$J$33:$J$39,$K$33:$K$39)</f>
        <v>4.1449275362318842E-2</v>
      </c>
      <c r="R40">
        <f t="shared" si="3"/>
        <v>0.10254049445865265</v>
      </c>
      <c r="S40">
        <f t="shared" si="1"/>
        <v>-1.6543614984960351E-2</v>
      </c>
      <c r="T40">
        <f t="shared" si="2"/>
        <v>-0.11908410944361301</v>
      </c>
    </row>
    <row r="41" spans="1:20" x14ac:dyDescent="0.25">
      <c r="A41">
        <v>1211.8</v>
      </c>
      <c r="B41" s="16">
        <v>0.39</v>
      </c>
      <c r="C41">
        <f t="shared" si="0"/>
        <v>1196.8</v>
      </c>
      <c r="N41">
        <v>1159</v>
      </c>
      <c r="O41" cm="1">
        <f t="array" ref="O41">fnInterp(N41,$F$33:$F$39,$G$33:$G$39)</f>
        <v>0.15933503836317101</v>
      </c>
      <c r="P41" cm="1">
        <f t="array" ref="P41">fnInterp(N41,$F$23:$F$29,$G$23:$G$29)</f>
        <v>2.7169811320754716E-2</v>
      </c>
      <c r="Q41" cm="1">
        <f t="array" ref="Q41">fnInterp(N41,$J$33:$J$39,$K$33:$K$39)</f>
        <v>5.0144927536231863E-2</v>
      </c>
      <c r="R41">
        <f t="shared" si="3"/>
        <v>0.10919011082693914</v>
      </c>
      <c r="S41">
        <f t="shared" si="1"/>
        <v>-2.2975116215477147E-2</v>
      </c>
      <c r="T41">
        <f t="shared" si="2"/>
        <v>-0.13216522704241629</v>
      </c>
    </row>
    <row r="42" spans="1:20" x14ac:dyDescent="0.25">
      <c r="A42">
        <v>1213.1000000000001</v>
      </c>
      <c r="B42" s="16">
        <v>0.4</v>
      </c>
      <c r="C42">
        <f t="shared" si="0"/>
        <v>1198.1000000000001</v>
      </c>
      <c r="N42">
        <v>1162</v>
      </c>
      <c r="O42" cm="1">
        <f t="array" ref="O42">fnInterp(N42,$F$33:$F$39,$G$33:$G$39)</f>
        <v>0.17468030690537054</v>
      </c>
      <c r="P42" cm="1">
        <f t="array" ref="P42">fnInterp(N42,$F$23:$F$29,$G$23:$G$29)</f>
        <v>2.9433962264150945E-2</v>
      </c>
      <c r="Q42" cm="1">
        <f t="array" ref="Q42">fnInterp(N42,$J$33:$J$39,$K$33:$K$39)</f>
        <v>5.8840579710144884E-2</v>
      </c>
      <c r="R42">
        <f t="shared" si="3"/>
        <v>0.11583972719522564</v>
      </c>
      <c r="S42">
        <f t="shared" si="1"/>
        <v>-2.9406617445993939E-2</v>
      </c>
      <c r="T42">
        <f t="shared" si="2"/>
        <v>-0.1452463446412196</v>
      </c>
    </row>
    <row r="43" spans="1:20" x14ac:dyDescent="0.25">
      <c r="A43">
        <v>1214.3999999999999</v>
      </c>
      <c r="B43" s="16">
        <v>0.41</v>
      </c>
      <c r="C43">
        <f t="shared" si="0"/>
        <v>1199.3999999999999</v>
      </c>
      <c r="N43">
        <v>1165</v>
      </c>
      <c r="O43" cm="1">
        <f t="array" ref="O43">fnInterp(N43,$F$33:$F$39,$G$33:$G$39)</f>
        <v>0.19002557544757009</v>
      </c>
      <c r="P43" cm="1">
        <f t="array" ref="P43">fnInterp(N43,$F$23:$F$29,$G$23:$G$29)</f>
        <v>3.1698113207547167E-2</v>
      </c>
      <c r="Q43" cm="1">
        <f t="array" ref="Q43">fnInterp(N43,$J$33:$J$39,$K$33:$K$39)</f>
        <v>6.7536231884057912E-2</v>
      </c>
      <c r="R43">
        <f t="shared" si="3"/>
        <v>0.12248934356351218</v>
      </c>
      <c r="S43">
        <f t="shared" si="1"/>
        <v>-3.5838118676510745E-2</v>
      </c>
      <c r="T43">
        <f t="shared" si="2"/>
        <v>-0.15832746224002292</v>
      </c>
    </row>
    <row r="44" spans="1:20" x14ac:dyDescent="0.25">
      <c r="A44">
        <v>1215.7</v>
      </c>
      <c r="B44" s="16">
        <v>0.42</v>
      </c>
      <c r="C44">
        <f t="shared" si="0"/>
        <v>1200.7</v>
      </c>
      <c r="N44">
        <v>1168</v>
      </c>
      <c r="O44" cm="1">
        <f t="array" ref="O44">fnInterp(N44,$F$33:$F$39,$G$33:$G$39)</f>
        <v>0.2053708439897696</v>
      </c>
      <c r="P44" cm="1">
        <f t="array" ref="P44">fnInterp(N44,$F$23:$F$29,$G$23:$G$29)</f>
        <v>3.3962264150943396E-2</v>
      </c>
      <c r="Q44" cm="1">
        <f t="array" ref="Q44">fnInterp(N44,$J$33:$J$39,$K$33:$K$39)</f>
        <v>7.6231884057970933E-2</v>
      </c>
      <c r="R44">
        <f t="shared" si="3"/>
        <v>0.12913895993179866</v>
      </c>
      <c r="S44">
        <f t="shared" si="1"/>
        <v>-4.2269619907027538E-2</v>
      </c>
      <c r="T44">
        <f t="shared" si="2"/>
        <v>-0.17140857983882621</v>
      </c>
    </row>
    <row r="45" spans="1:20" x14ac:dyDescent="0.25">
      <c r="A45">
        <v>1217.1000000000001</v>
      </c>
      <c r="B45" s="16">
        <v>0.43</v>
      </c>
      <c r="C45">
        <f t="shared" si="0"/>
        <v>1202.1000000000001</v>
      </c>
      <c r="N45">
        <v>1171</v>
      </c>
      <c r="O45" cm="1">
        <f t="array" ref="O45">fnInterp(N45,$F$33:$F$39,$G$33:$G$39)</f>
        <v>0.22071611253196913</v>
      </c>
      <c r="P45" cm="1">
        <f t="array" ref="P45">fnInterp(N45,$F$23:$F$29,$G$23:$G$29)</f>
        <v>3.6226415094339624E-2</v>
      </c>
      <c r="Q45" cm="1">
        <f t="array" ref="Q45">fnInterp(N45,$J$33:$J$39,$K$33:$K$39)</f>
        <v>8.4927536231883954E-2</v>
      </c>
      <c r="R45">
        <f t="shared" si="3"/>
        <v>0.13578857630008517</v>
      </c>
      <c r="S45">
        <f t="shared" si="1"/>
        <v>-4.870112113754433E-2</v>
      </c>
      <c r="T45">
        <f t="shared" si="2"/>
        <v>-0.1844896974376295</v>
      </c>
    </row>
    <row r="46" spans="1:20" x14ac:dyDescent="0.25">
      <c r="A46">
        <v>1218.3</v>
      </c>
      <c r="B46" s="16">
        <v>0.44</v>
      </c>
      <c r="C46">
        <f t="shared" si="0"/>
        <v>1203.3</v>
      </c>
      <c r="N46">
        <v>1174</v>
      </c>
      <c r="O46" cm="1">
        <f t="array" ref="O46">fnInterp(N46,$F$33:$F$39,$G$33:$G$39)</f>
        <v>0.23606138107416863</v>
      </c>
      <c r="P46" cm="1">
        <f t="array" ref="P46">fnInterp(N46,$F$23:$F$29,$G$23:$G$29)</f>
        <v>3.8490566037735853E-2</v>
      </c>
      <c r="Q46" cm="1">
        <f t="array" ref="Q46">fnInterp(N46,$J$33:$J$39,$K$33:$K$39)</f>
        <v>9.3623188405796989E-2</v>
      </c>
      <c r="R46">
        <f t="shared" si="3"/>
        <v>0.14243819266837165</v>
      </c>
      <c r="S46">
        <f t="shared" si="1"/>
        <v>-5.5132622368061136E-2</v>
      </c>
      <c r="T46">
        <f t="shared" si="2"/>
        <v>-0.19757081503643278</v>
      </c>
    </row>
    <row r="47" spans="1:20" x14ac:dyDescent="0.25">
      <c r="A47">
        <v>1219.5999999999999</v>
      </c>
      <c r="B47" s="16">
        <v>0.45</v>
      </c>
      <c r="C47">
        <f t="shared" si="0"/>
        <v>1204.5999999999999</v>
      </c>
      <c r="N47">
        <v>1177</v>
      </c>
      <c r="O47" cm="1">
        <f t="array" ref="O47">fnInterp(N47,$F$33:$F$39,$G$33:$G$39)</f>
        <v>0.25140664961636816</v>
      </c>
      <c r="P47" cm="1">
        <f t="array" ref="P47">fnInterp(N47,$F$23:$F$29,$G$23:$G$29)</f>
        <v>4.2068965517241388E-2</v>
      </c>
      <c r="Q47" cm="1">
        <f t="array" ref="Q47">fnInterp(N47,$J$33:$J$39,$K$33:$K$39)</f>
        <v>0.10507131537242445</v>
      </c>
      <c r="R47">
        <f t="shared" si="3"/>
        <v>0.14633533424394371</v>
      </c>
      <c r="S47">
        <f t="shared" si="1"/>
        <v>-6.3002349855183062E-2</v>
      </c>
      <c r="T47">
        <f t="shared" si="2"/>
        <v>-0.20933768409912679</v>
      </c>
    </row>
    <row r="48" spans="1:20" x14ac:dyDescent="0.25">
      <c r="A48">
        <v>1221.5</v>
      </c>
      <c r="B48" s="16">
        <v>0.46</v>
      </c>
      <c r="C48">
        <f t="shared" si="0"/>
        <v>1206.5</v>
      </c>
      <c r="N48">
        <v>1180</v>
      </c>
      <c r="O48" cm="1">
        <f t="array" ref="O48">fnInterp(N48,$F$33:$F$39,$G$33:$G$39)</f>
        <v>0.26675191815856769</v>
      </c>
      <c r="P48" cm="1">
        <f t="array" ref="P48">fnInterp(N48,$F$23:$F$29,$G$23:$G$29)</f>
        <v>4.8275862068965517E-2</v>
      </c>
      <c r="Q48" cm="1">
        <f t="array" ref="Q48">fnInterp(N48,$J$33:$J$39,$K$33:$K$39)</f>
        <v>0.12408874801901719</v>
      </c>
      <c r="R48">
        <f t="shared" si="3"/>
        <v>0.14266317013955049</v>
      </c>
      <c r="S48">
        <f t="shared" si="1"/>
        <v>-7.5812885950051673E-2</v>
      </c>
      <c r="T48">
        <f t="shared" si="2"/>
        <v>-0.21847605608960219</v>
      </c>
    </row>
    <row r="49" spans="1:20" x14ac:dyDescent="0.25">
      <c r="A49">
        <v>1223.5999999999999</v>
      </c>
      <c r="B49" s="16">
        <v>0.47</v>
      </c>
      <c r="C49">
        <f t="shared" si="0"/>
        <v>1208.5999999999999</v>
      </c>
      <c r="N49">
        <v>1183</v>
      </c>
      <c r="O49" cm="1">
        <f t="array" ref="O49">fnInterp(N49,$F$33:$F$39,$G$33:$G$39)</f>
        <v>0.28209718670076722</v>
      </c>
      <c r="P49" cm="1">
        <f t="array" ref="P49">fnInterp(N49,$F$23:$F$29,$G$23:$G$29)</f>
        <v>5.4482758620689659E-2</v>
      </c>
      <c r="Q49" cm="1">
        <f t="array" ref="Q49">fnInterp(N49,$J$33:$J$39,$K$33:$K$39)</f>
        <v>0.14310618066560993</v>
      </c>
      <c r="R49">
        <f t="shared" si="3"/>
        <v>0.13899100603515729</v>
      </c>
      <c r="S49">
        <f t="shared" si="1"/>
        <v>-8.8623422044920269E-2</v>
      </c>
      <c r="T49">
        <f t="shared" si="2"/>
        <v>-0.22761442808007756</v>
      </c>
    </row>
    <row r="50" spans="1:20" x14ac:dyDescent="0.25">
      <c r="A50">
        <v>1225.2</v>
      </c>
      <c r="B50" s="16">
        <v>0.48</v>
      </c>
      <c r="C50">
        <f t="shared" si="0"/>
        <v>1210.2</v>
      </c>
      <c r="N50">
        <v>1186</v>
      </c>
      <c r="O50" cm="1">
        <f t="array" ref="O50">fnInterp(N50,$F$33:$F$39,$G$33:$G$39)</f>
        <v>0.29744245524296675</v>
      </c>
      <c r="P50" cm="1">
        <f t="array" ref="P50">fnInterp(N50,$F$23:$F$29,$G$23:$G$29)</f>
        <v>6.0689655172413794E-2</v>
      </c>
      <c r="Q50" cm="1">
        <f t="array" ref="Q50">fnInterp(N50,$J$33:$J$39,$K$33:$K$39)</f>
        <v>0.16212361331220265</v>
      </c>
      <c r="R50">
        <f t="shared" si="3"/>
        <v>0.1353188419307641</v>
      </c>
      <c r="S50">
        <f t="shared" si="1"/>
        <v>-0.10143395813978887</v>
      </c>
      <c r="T50">
        <f t="shared" si="2"/>
        <v>-0.23675280007055297</v>
      </c>
    </row>
    <row r="51" spans="1:20" x14ac:dyDescent="0.25">
      <c r="A51">
        <v>1226.9000000000001</v>
      </c>
      <c r="B51" s="16">
        <v>0.49</v>
      </c>
      <c r="C51">
        <f t="shared" si="0"/>
        <v>1211.9000000000001</v>
      </c>
      <c r="N51">
        <v>1189</v>
      </c>
      <c r="O51" cm="1">
        <f t="array" ref="O51">fnInterp(N51,$F$33:$F$39,$G$33:$G$39)</f>
        <v>0.31288659793814427</v>
      </c>
      <c r="P51" cm="1">
        <f t="array" ref="P51">fnInterp(N51,$F$23:$F$29,$G$23:$G$29)</f>
        <v>6.6896551724137929E-2</v>
      </c>
      <c r="Q51" cm="1">
        <f t="array" ref="Q51">fnInterp(N51,$J$33:$J$39,$K$33:$K$39)</f>
        <v>0.18114104595879538</v>
      </c>
      <c r="R51">
        <f t="shared" si="3"/>
        <v>0.1317455519793489</v>
      </c>
      <c r="S51">
        <f t="shared" si="1"/>
        <v>-0.11424449423465745</v>
      </c>
      <c r="T51">
        <f t="shared" si="2"/>
        <v>-0.24599004621400633</v>
      </c>
    </row>
    <row r="52" spans="1:20" x14ac:dyDescent="0.25">
      <c r="A52">
        <v>1229.3</v>
      </c>
      <c r="B52" s="16">
        <v>0.5</v>
      </c>
      <c r="C52">
        <f t="shared" si="0"/>
        <v>1214.3</v>
      </c>
      <c r="N52">
        <v>1192</v>
      </c>
      <c r="O52" cm="1">
        <f t="array" ref="O52">fnInterp(N52,$F$33:$F$39,$G$33:$G$39)</f>
        <v>0.32835051546391752</v>
      </c>
      <c r="P52" cm="1">
        <f t="array" ref="P52">fnInterp(N52,$F$23:$F$29,$G$23:$G$29)</f>
        <v>7.3103448275862071E-2</v>
      </c>
      <c r="Q52" cm="1">
        <f t="array" ref="Q52">fnInterp(N52,$J$33:$J$39,$K$33:$K$39)</f>
        <v>0.20015847860538813</v>
      </c>
      <c r="R52">
        <f t="shared" si="3"/>
        <v>0.1281920368585294</v>
      </c>
      <c r="S52">
        <f t="shared" si="1"/>
        <v>-0.12705503032952606</v>
      </c>
      <c r="T52">
        <f t="shared" si="2"/>
        <v>-0.25524706718805545</v>
      </c>
    </row>
    <row r="53" spans="1:20" x14ac:dyDescent="0.25">
      <c r="A53">
        <v>1231.5</v>
      </c>
      <c r="B53" s="16">
        <v>0.51</v>
      </c>
      <c r="C53">
        <f t="shared" si="0"/>
        <v>1216.5</v>
      </c>
      <c r="N53">
        <v>1195</v>
      </c>
      <c r="O53" cm="1">
        <f t="array" ref="O53">fnInterp(N53,$F$33:$F$39,$G$33:$G$39)</f>
        <v>0.34381443298969067</v>
      </c>
      <c r="P53" cm="1">
        <f t="array" ref="P53">fnInterp(N53,$F$23:$F$29,$G$23:$G$29)</f>
        <v>7.9310344827586213E-2</v>
      </c>
      <c r="Q53" cm="1">
        <f t="array" ref="Q53">fnInterp(N53,$J$33:$J$39,$K$33:$K$39)</f>
        <v>0.21917591125198088</v>
      </c>
      <c r="R53">
        <f t="shared" si="3"/>
        <v>0.12463852173770978</v>
      </c>
      <c r="S53">
        <f t="shared" si="1"/>
        <v>-0.13986556642439468</v>
      </c>
      <c r="T53">
        <f t="shared" si="2"/>
        <v>-0.26450408816210447</v>
      </c>
    </row>
    <row r="54" spans="1:20" x14ac:dyDescent="0.25">
      <c r="A54">
        <v>1233.7</v>
      </c>
      <c r="B54" s="16">
        <v>0.52</v>
      </c>
      <c r="C54">
        <f t="shared" si="0"/>
        <v>1218.7</v>
      </c>
      <c r="N54">
        <v>1198</v>
      </c>
      <c r="O54" cm="1">
        <f t="array" ref="O54">fnInterp(N54,$F$33:$F$39,$G$33:$G$39)</f>
        <v>0.35927835051546386</v>
      </c>
      <c r="P54" cm="1">
        <f t="array" ref="P54">fnInterp(N54,$F$23:$F$29,$G$23:$G$29)</f>
        <v>8.5517241379310355E-2</v>
      </c>
      <c r="Q54" cm="1">
        <f t="array" ref="Q54">fnInterp(N54,$J$33:$J$39,$K$33:$K$39)</f>
        <v>0.23819334389857361</v>
      </c>
      <c r="R54">
        <f t="shared" si="3"/>
        <v>0.12108500661689026</v>
      </c>
      <c r="S54">
        <f t="shared" si="1"/>
        <v>-0.15267610251926325</v>
      </c>
      <c r="T54">
        <f t="shared" si="2"/>
        <v>-0.27376110913615348</v>
      </c>
    </row>
    <row r="55" spans="1:20" x14ac:dyDescent="0.25">
      <c r="A55">
        <v>1236.6999999999998</v>
      </c>
      <c r="B55" s="16">
        <v>0.53</v>
      </c>
      <c r="C55">
        <f t="shared" si="0"/>
        <v>1221.6999999999998</v>
      </c>
      <c r="N55">
        <v>1201</v>
      </c>
      <c r="O55" cm="1">
        <f t="array" ref="O55">fnInterp(N55,$F$33:$F$39,$G$33:$G$39)</f>
        <v>0.37474226804123706</v>
      </c>
      <c r="P55" cm="1">
        <f t="array" ref="P55">fnInterp(N55,$F$23:$F$29,$G$23:$G$29)</f>
        <v>9.1724137931034483E-2</v>
      </c>
      <c r="Q55" cm="1">
        <f t="array" ref="Q55">fnInterp(N55,$J$33:$J$39,$K$33:$K$39)</f>
        <v>0.25721077654516633</v>
      </c>
      <c r="R55">
        <f t="shared" si="3"/>
        <v>0.11753149149607073</v>
      </c>
      <c r="S55">
        <f t="shared" si="1"/>
        <v>-0.16548663861413185</v>
      </c>
      <c r="T55">
        <f t="shared" si="2"/>
        <v>-0.2830181301102026</v>
      </c>
    </row>
    <row r="56" spans="1:20" x14ac:dyDescent="0.25">
      <c r="A56">
        <v>1239.4000000000001</v>
      </c>
      <c r="B56" s="16">
        <v>0.54</v>
      </c>
      <c r="C56">
        <f t="shared" si="0"/>
        <v>1224.4000000000001</v>
      </c>
      <c r="N56">
        <v>1204</v>
      </c>
      <c r="O56" cm="1">
        <f t="array" ref="O56">fnInterp(N56,$F$33:$F$39,$G$33:$G$39)</f>
        <v>0.39020618556701026</v>
      </c>
      <c r="P56" cm="1">
        <f t="array" ref="P56">fnInterp(N56,$F$23:$F$29,$G$23:$G$29)</f>
        <v>9.7931034482758625E-2</v>
      </c>
      <c r="Q56" cm="1">
        <f t="array" ref="Q56">fnInterp(N56,$J$33:$J$39,$K$33:$K$39)</f>
        <v>0.27622820919175906</v>
      </c>
      <c r="R56">
        <f t="shared" si="3"/>
        <v>0.1139779763752512</v>
      </c>
      <c r="S56">
        <f t="shared" si="1"/>
        <v>-0.17829717470900042</v>
      </c>
      <c r="T56">
        <f t="shared" si="2"/>
        <v>-0.29227515108425162</v>
      </c>
    </row>
    <row r="57" spans="1:20" x14ac:dyDescent="0.25">
      <c r="A57">
        <v>1243.4000000000001</v>
      </c>
      <c r="B57" s="16">
        <v>0.55000000000000004</v>
      </c>
      <c r="C57">
        <f t="shared" si="0"/>
        <v>1228.4000000000001</v>
      </c>
      <c r="N57">
        <v>1207</v>
      </c>
      <c r="O57" cm="1">
        <f t="array" ref="O57">fnInterp(N57,$F$33:$F$39,$G$33:$G$39)</f>
        <v>0.4056701030927834</v>
      </c>
      <c r="P57" cm="1">
        <f t="array" ref="P57">fnInterp(N57,$F$23:$F$29,$G$23:$G$29)</f>
        <v>0.11666666666666668</v>
      </c>
      <c r="Q57" cm="1">
        <f t="array" ref="Q57">fnInterp(N57,$J$33:$J$39,$K$33:$K$39)</f>
        <v>0.29524564183835178</v>
      </c>
      <c r="R57">
        <f t="shared" si="3"/>
        <v>0.11042446125443162</v>
      </c>
      <c r="S57">
        <f t="shared" si="1"/>
        <v>-0.17857897517168508</v>
      </c>
      <c r="T57">
        <f t="shared" si="2"/>
        <v>-0.2890034364261167</v>
      </c>
    </row>
    <row r="58" spans="1:20" x14ac:dyDescent="0.25">
      <c r="A58">
        <v>1246.0999999999999</v>
      </c>
      <c r="B58" s="16">
        <v>0.56000000000000005</v>
      </c>
      <c r="C58">
        <f t="shared" si="0"/>
        <v>1231.0999999999999</v>
      </c>
      <c r="N58">
        <v>1210</v>
      </c>
      <c r="O58" cm="1">
        <f t="array" ref="O58">fnInterp(N58,$F$33:$F$39,$G$33:$G$39)</f>
        <v>0.42113402061855659</v>
      </c>
      <c r="P58" cm="1">
        <f t="array" ref="P58">fnInterp(N58,$F$23:$F$29,$G$23:$G$29)</f>
        <v>0.14166666666666669</v>
      </c>
      <c r="Q58" cm="1">
        <f t="array" ref="Q58">fnInterp(N58,$J$33:$J$39,$K$33:$K$39)</f>
        <v>0.31403326403326404</v>
      </c>
      <c r="R58">
        <f t="shared" si="3"/>
        <v>0.10710075658529256</v>
      </c>
      <c r="S58">
        <f t="shared" si="1"/>
        <v>-0.17236659736659735</v>
      </c>
      <c r="T58">
        <f t="shared" si="2"/>
        <v>-0.27946735395188993</v>
      </c>
    </row>
    <row r="59" spans="1:20" x14ac:dyDescent="0.25">
      <c r="A59">
        <v>1250.3999999999999</v>
      </c>
      <c r="B59" s="16">
        <v>0.56999999999999995</v>
      </c>
      <c r="C59">
        <f t="shared" si="0"/>
        <v>1235.3999999999999</v>
      </c>
      <c r="N59">
        <v>1213</v>
      </c>
      <c r="O59" cm="1">
        <f t="array" ref="O59">fnInterp(N59,$F$33:$F$39,$G$33:$G$39)</f>
        <v>0.43659793814432973</v>
      </c>
      <c r="P59" cm="1">
        <f t="array" ref="P59">fnInterp(N59,$F$23:$F$29,$G$23:$G$29)</f>
        <v>0.16666666666666666</v>
      </c>
      <c r="Q59" cm="1">
        <f t="array" ref="Q59">fnInterp(N59,$J$33:$J$39,$K$33:$K$39)</f>
        <v>0.33274428274428275</v>
      </c>
      <c r="R59">
        <f t="shared" si="3"/>
        <v>0.10385365540004698</v>
      </c>
      <c r="S59">
        <f t="shared" si="1"/>
        <v>-0.16607761607761609</v>
      </c>
      <c r="T59">
        <f t="shared" si="2"/>
        <v>-0.26993127147766305</v>
      </c>
    </row>
    <row r="60" spans="1:20" x14ac:dyDescent="0.25">
      <c r="A60">
        <v>1253</v>
      </c>
      <c r="B60" s="16">
        <v>0.57999999999999996</v>
      </c>
      <c r="C60">
        <f t="shared" si="0"/>
        <v>1238</v>
      </c>
      <c r="N60">
        <v>1216</v>
      </c>
      <c r="O60" cm="1">
        <f t="array" ref="O60">fnInterp(N60,$F$33:$F$39,$G$33:$G$39)</f>
        <v>0.45206185567010299</v>
      </c>
      <c r="P60" cm="1">
        <f t="array" ref="P60">fnInterp(N60,$F$23:$F$29,$G$23:$G$29)</f>
        <v>0.19166666666666665</v>
      </c>
      <c r="Q60" cm="1">
        <f t="array" ref="Q60">fnInterp(N60,$J$33:$J$39,$K$33:$K$39)</f>
        <v>0.35145530145530157</v>
      </c>
      <c r="R60">
        <f t="shared" si="3"/>
        <v>0.10060655421480141</v>
      </c>
      <c r="S60">
        <f t="shared" si="1"/>
        <v>-0.15978863478863492</v>
      </c>
      <c r="T60">
        <f t="shared" si="2"/>
        <v>-0.26039518900343633</v>
      </c>
    </row>
    <row r="61" spans="1:20" x14ac:dyDescent="0.25">
      <c r="A61">
        <v>1257.2</v>
      </c>
      <c r="B61" s="16">
        <v>0.59</v>
      </c>
      <c r="C61">
        <f t="shared" si="0"/>
        <v>1242.2</v>
      </c>
      <c r="N61">
        <v>1219</v>
      </c>
      <c r="O61" cm="1">
        <f t="array" ref="O61">fnInterp(N61,$F$33:$F$39,$G$33:$G$39)</f>
        <v>0.46752577319587618</v>
      </c>
      <c r="P61" cm="1">
        <f t="array" ref="P61">fnInterp(N61,$F$23:$F$29,$G$23:$G$29)</f>
        <v>0.21666666666666667</v>
      </c>
      <c r="Q61" cm="1">
        <f t="array" ref="Q61">fnInterp(N61,$J$33:$J$39,$K$33:$K$39)</f>
        <v>0.37016632016632028</v>
      </c>
      <c r="R61">
        <f t="shared" si="3"/>
        <v>9.7359453029555898E-2</v>
      </c>
      <c r="S61">
        <f t="shared" si="1"/>
        <v>-0.15349965349965361</v>
      </c>
      <c r="T61">
        <f t="shared" si="2"/>
        <v>-0.25085910652920951</v>
      </c>
    </row>
    <row r="62" spans="1:20" x14ac:dyDescent="0.25">
      <c r="A62">
        <v>1259.7</v>
      </c>
      <c r="B62" s="16">
        <v>0.6</v>
      </c>
      <c r="C62">
        <f t="shared" si="0"/>
        <v>1244.7</v>
      </c>
      <c r="N62">
        <v>1222</v>
      </c>
      <c r="O62" cm="1">
        <f t="array" ref="O62">fnInterp(N62,$F$33:$F$39,$G$33:$G$39)</f>
        <v>0.48298969072164932</v>
      </c>
      <c r="P62" cm="1">
        <f t="array" ref="P62">fnInterp(N62,$F$23:$F$29,$G$23:$G$29)</f>
        <v>0.24166666666666667</v>
      </c>
      <c r="Q62" cm="1">
        <f t="array" ref="Q62">fnInterp(N62,$J$33:$J$39,$K$33:$K$39)</f>
        <v>0.388877338877339</v>
      </c>
      <c r="R62">
        <f t="shared" si="3"/>
        <v>9.4112351844310327E-2</v>
      </c>
      <c r="S62">
        <f t="shared" si="1"/>
        <v>-0.14721067221067233</v>
      </c>
      <c r="T62">
        <f t="shared" si="2"/>
        <v>-0.24132302405498265</v>
      </c>
    </row>
    <row r="63" spans="1:20" x14ac:dyDescent="0.25">
      <c r="A63">
        <v>1262.3999999999999</v>
      </c>
      <c r="B63" s="16">
        <v>0.61</v>
      </c>
      <c r="C63">
        <f t="shared" si="0"/>
        <v>1247.3999999999999</v>
      </c>
      <c r="N63">
        <v>1225</v>
      </c>
      <c r="O63" cm="1">
        <f t="array" ref="O63">fnInterp(N63,$F$33:$F$39,$G$33:$G$39)</f>
        <v>0.49845360824742252</v>
      </c>
      <c r="P63" cm="1">
        <f t="array" ref="P63">fnInterp(N63,$F$23:$F$29,$G$23:$G$29)</f>
        <v>0.26666666666666666</v>
      </c>
      <c r="Q63" cm="1">
        <f t="array" ref="Q63">fnInterp(N63,$J$33:$J$39,$K$33:$K$39)</f>
        <v>0.40758835758835776</v>
      </c>
      <c r="R63">
        <f t="shared" si="3"/>
        <v>9.0865250659064756E-2</v>
      </c>
      <c r="S63">
        <f t="shared" si="1"/>
        <v>-0.1409216909216911</v>
      </c>
      <c r="T63">
        <f t="shared" si="2"/>
        <v>-0.23178694158075586</v>
      </c>
    </row>
    <row r="64" spans="1:20" x14ac:dyDescent="0.25">
      <c r="A64">
        <v>1265.7</v>
      </c>
      <c r="B64" s="16">
        <v>0.62</v>
      </c>
      <c r="C64">
        <f t="shared" si="0"/>
        <v>1250.7</v>
      </c>
      <c r="N64">
        <v>1228</v>
      </c>
      <c r="O64" cm="1">
        <f t="array" ref="O64">fnInterp(N64,$F$33:$F$39,$G$33:$G$39)</f>
        <v>0.5139175257731956</v>
      </c>
      <c r="P64" cm="1">
        <f t="array" ref="P64">fnInterp(N64,$F$23:$F$29,$G$23:$G$29)</f>
        <v>0.29166666666666663</v>
      </c>
      <c r="Q64" cm="1">
        <f t="array" ref="Q64">fnInterp(N64,$J$33:$J$39,$K$33:$K$39)</f>
        <v>0.42629937629937659</v>
      </c>
      <c r="R64">
        <f t="shared" si="3"/>
        <v>8.7618149473819018E-2</v>
      </c>
      <c r="S64">
        <f t="shared" si="1"/>
        <v>-0.13463270963270996</v>
      </c>
      <c r="T64">
        <f t="shared" si="2"/>
        <v>-0.22225085910652898</v>
      </c>
    </row>
    <row r="65" spans="1:20" x14ac:dyDescent="0.25">
      <c r="A65">
        <v>1268.5999999999999</v>
      </c>
      <c r="B65" s="16">
        <v>0.63</v>
      </c>
      <c r="C65">
        <f t="shared" si="0"/>
        <v>1253.5999999999999</v>
      </c>
      <c r="N65">
        <v>1231</v>
      </c>
      <c r="O65" cm="1">
        <f t="array" ref="O65">fnInterp(N65,$F$33:$F$39,$G$33:$G$39)</f>
        <v>0.52938144329896886</v>
      </c>
      <c r="P65" cm="1">
        <f t="array" ref="P65">fnInterp(N65,$F$23:$F$29,$G$23:$G$29)</f>
        <v>0.31578947368421045</v>
      </c>
      <c r="Q65" cm="1">
        <f t="array" ref="Q65">fnInterp(N65,$J$33:$J$39,$K$33:$K$39)</f>
        <v>0.4450103950103953</v>
      </c>
      <c r="R65">
        <f t="shared" si="3"/>
        <v>8.4371048288573558E-2</v>
      </c>
      <c r="S65">
        <f t="shared" si="1"/>
        <v>-0.12922092132618485</v>
      </c>
      <c r="T65">
        <f t="shared" si="2"/>
        <v>-0.2135919696147584</v>
      </c>
    </row>
    <row r="66" spans="1:20" x14ac:dyDescent="0.25">
      <c r="A66">
        <v>1271.8</v>
      </c>
      <c r="B66" s="16">
        <v>0.64</v>
      </c>
      <c r="C66">
        <f t="shared" si="0"/>
        <v>1256.8</v>
      </c>
      <c r="N66">
        <v>1234</v>
      </c>
      <c r="O66" cm="1">
        <f t="array" ref="O66">fnInterp(N66,$F$33:$F$39,$G$33:$G$39)</f>
        <v>0.54484536082474211</v>
      </c>
      <c r="P66" cm="1">
        <f t="array" ref="P66">fnInterp(N66,$F$23:$F$29,$G$23:$G$29)</f>
        <v>0.33947368421052632</v>
      </c>
      <c r="Q66" cm="1">
        <f t="array" ref="Q66">fnInterp(N66,$J$33:$J$39,$K$33:$K$39)</f>
        <v>0.46372141372141401</v>
      </c>
      <c r="R66">
        <f t="shared" si="3"/>
        <v>8.1123947103328098E-2</v>
      </c>
      <c r="S66">
        <f t="shared" si="1"/>
        <v>-0.12424772951088769</v>
      </c>
      <c r="T66">
        <f t="shared" si="2"/>
        <v>-0.20537167661421579</v>
      </c>
    </row>
    <row r="67" spans="1:20" x14ac:dyDescent="0.25">
      <c r="A67">
        <v>1275</v>
      </c>
      <c r="B67" s="16">
        <v>0.65</v>
      </c>
      <c r="C67">
        <f t="shared" ref="C67:C102" si="5">A67-1.5*10</f>
        <v>1260</v>
      </c>
      <c r="N67">
        <v>1237</v>
      </c>
      <c r="O67" cm="1">
        <f t="array" ref="O67">fnInterp(N67,$F$33:$F$39,$G$33:$G$39)</f>
        <v>0.56030927835051525</v>
      </c>
      <c r="P67" cm="1">
        <f t="array" ref="P67">fnInterp(N67,$F$23:$F$29,$G$23:$G$29)</f>
        <v>0.36315789473684212</v>
      </c>
      <c r="Q67" cm="1">
        <f t="array" ref="Q67">fnInterp(N67,$J$33:$J$39,$K$33:$K$39)</f>
        <v>0.48243243243243278</v>
      </c>
      <c r="R67">
        <f t="shared" si="3"/>
        <v>7.7876845918082471E-2</v>
      </c>
      <c r="S67">
        <f t="shared" si="1"/>
        <v>-0.11927453769559065</v>
      </c>
      <c r="T67">
        <f t="shared" si="2"/>
        <v>-0.19715138361367313</v>
      </c>
    </row>
    <row r="68" spans="1:20" x14ac:dyDescent="0.25">
      <c r="A68">
        <v>1277.9000000000001</v>
      </c>
      <c r="B68" s="16">
        <v>0.66</v>
      </c>
      <c r="C68">
        <f t="shared" si="5"/>
        <v>1262.9000000000001</v>
      </c>
      <c r="N68">
        <v>1240</v>
      </c>
      <c r="O68" cm="1">
        <f t="array" ref="O68">fnInterp(N68,$F$33:$F$39,$G$33:$G$39)</f>
        <v>0.57577319587628839</v>
      </c>
      <c r="P68" cm="1">
        <f t="array" ref="P68">fnInterp(N68,$F$23:$F$29,$G$23:$G$29)</f>
        <v>0.38684210526315788</v>
      </c>
      <c r="Q68" cm="1">
        <f t="array" ref="Q68">fnInterp(N68,$J$33:$J$39,$K$33:$K$39)</f>
        <v>0.50114345114345149</v>
      </c>
      <c r="R68">
        <f t="shared" si="3"/>
        <v>7.46297447328369E-2</v>
      </c>
      <c r="S68">
        <f t="shared" si="1"/>
        <v>-0.11430134588029361</v>
      </c>
      <c r="T68">
        <f t="shared" si="2"/>
        <v>-0.18893109061313051</v>
      </c>
    </row>
    <row r="69" spans="1:20" x14ac:dyDescent="0.25">
      <c r="A69">
        <v>1281.0999999999999</v>
      </c>
      <c r="B69" s="16">
        <v>0.67</v>
      </c>
      <c r="C69">
        <f t="shared" si="5"/>
        <v>1266.0999999999999</v>
      </c>
      <c r="N69">
        <v>1243</v>
      </c>
      <c r="O69" cm="1">
        <f t="array" ref="O69">fnInterp(N69,$F$33:$F$39,$G$33:$G$39)</f>
        <v>0.59123711340206153</v>
      </c>
      <c r="P69" cm="1">
        <f t="array" ref="P69">fnInterp(N69,$F$23:$F$29,$G$23:$G$29)</f>
        <v>0.41052631578947368</v>
      </c>
      <c r="Q69" cm="1">
        <f t="array" ref="Q69">fnInterp(N69,$J$33:$J$39,$K$33:$K$39)</f>
        <v>0.51985446985447026</v>
      </c>
      <c r="R69">
        <f t="shared" si="3"/>
        <v>7.1382643547591274E-2</v>
      </c>
      <c r="S69">
        <f t="shared" si="1"/>
        <v>-0.10932815406499657</v>
      </c>
      <c r="T69">
        <f t="shared" si="2"/>
        <v>-0.18071079761258785</v>
      </c>
    </row>
    <row r="70" spans="1:20" x14ac:dyDescent="0.25">
      <c r="A70">
        <v>1284.3</v>
      </c>
      <c r="B70" s="16">
        <v>0.68</v>
      </c>
      <c r="C70">
        <f t="shared" si="5"/>
        <v>1269.3</v>
      </c>
      <c r="N70">
        <v>1246</v>
      </c>
      <c r="O70" cm="1">
        <f t="array" ref="O70">fnInterp(N70,$F$33:$F$39,$G$33:$G$39)</f>
        <v>0.60563380281690127</v>
      </c>
      <c r="P70" cm="1">
        <f t="array" ref="P70">fnInterp(N70,$F$23:$F$29,$G$23:$G$29)</f>
        <v>0.43421052631578949</v>
      </c>
      <c r="Q70" cm="1">
        <f t="array" ref="Q70">fnInterp(N70,$J$33:$J$39,$K$33:$K$39)</f>
        <v>0.53856548856548903</v>
      </c>
      <c r="R70">
        <f t="shared" si="3"/>
        <v>6.7068314251412242E-2</v>
      </c>
      <c r="S70">
        <f t="shared" si="1"/>
        <v>-0.10435496224969953</v>
      </c>
      <c r="T70">
        <f t="shared" si="2"/>
        <v>-0.17142327650111178</v>
      </c>
    </row>
    <row r="71" spans="1:20" x14ac:dyDescent="0.25">
      <c r="A71">
        <v>1287.7</v>
      </c>
      <c r="B71" s="16">
        <v>0.69</v>
      </c>
      <c r="C71">
        <f t="shared" si="5"/>
        <v>1272.7</v>
      </c>
      <c r="N71">
        <v>1249</v>
      </c>
      <c r="O71" cm="1">
        <f t="array" ref="O71">fnInterp(N71,$F$33:$F$39,$G$33:$G$39)</f>
        <v>0.61863488624051988</v>
      </c>
      <c r="P71" cm="1">
        <f t="array" ref="P71">fnInterp(N71,$F$23:$F$29,$G$23:$G$29)</f>
        <v>0.45789473684210524</v>
      </c>
      <c r="Q71" cm="1">
        <f t="array" ref="Q71">fnInterp(N71,$J$33:$J$39,$K$33:$K$39)</f>
        <v>0.55727650727650768</v>
      </c>
      <c r="R71">
        <f t="shared" si="3"/>
        <v>6.1358378964012195E-2</v>
      </c>
      <c r="S71">
        <f t="shared" si="1"/>
        <v>-9.9381770434402439E-2</v>
      </c>
      <c r="T71">
        <f t="shared" si="2"/>
        <v>-0.16074014939841463</v>
      </c>
    </row>
    <row r="72" spans="1:20" x14ac:dyDescent="0.25">
      <c r="A72">
        <v>1290.3</v>
      </c>
      <c r="B72" s="16">
        <v>0.7</v>
      </c>
      <c r="C72">
        <f t="shared" si="5"/>
        <v>1275.3</v>
      </c>
      <c r="N72">
        <v>1252</v>
      </c>
      <c r="O72" cm="1">
        <f t="array" ref="O72">fnInterp(N72,$F$33:$F$39,$G$33:$G$39)</f>
        <v>0.63163596966413849</v>
      </c>
      <c r="P72" cm="1">
        <f t="array" ref="P72">fnInterp(N72,$F$23:$F$29,$G$23:$G$29)</f>
        <v>0.481578947368421</v>
      </c>
      <c r="Q72" cm="1">
        <f t="array" ref="Q72">fnInterp(N72,$J$33:$J$39,$K$33:$K$39)</f>
        <v>0.57598752598752656</v>
      </c>
      <c r="R72">
        <f t="shared" si="3"/>
        <v>5.5648443676611925E-2</v>
      </c>
      <c r="S72">
        <f t="shared" si="1"/>
        <v>-9.4408578619105565E-2</v>
      </c>
      <c r="T72">
        <f t="shared" si="2"/>
        <v>-0.15005702229571749</v>
      </c>
    </row>
    <row r="73" spans="1:20" x14ac:dyDescent="0.25">
      <c r="A73">
        <v>1293.9000000000001</v>
      </c>
      <c r="B73" s="16">
        <v>0.71</v>
      </c>
      <c r="C73">
        <f t="shared" si="5"/>
        <v>1278.9000000000001</v>
      </c>
      <c r="N73">
        <v>1255</v>
      </c>
      <c r="O73" cm="1">
        <f t="array" ref="O73">fnInterp(N73,$F$33:$F$39,$G$33:$G$39)</f>
        <v>0.64463705308775709</v>
      </c>
      <c r="P73" cm="1">
        <f t="array" ref="P73">fnInterp(N73,$F$23:$F$29,$G$23:$G$29)</f>
        <v>0.50526315789473686</v>
      </c>
      <c r="Q73" cm="1">
        <f t="array" ref="Q73">fnInterp(N73,$J$33:$J$39,$K$33:$K$39)</f>
        <v>0.59469854469854522</v>
      </c>
      <c r="R73">
        <f t="shared" si="3"/>
        <v>4.9938508389211878E-2</v>
      </c>
      <c r="S73">
        <f t="shared" si="1"/>
        <v>-8.9435386803808359E-2</v>
      </c>
      <c r="T73">
        <f t="shared" si="2"/>
        <v>-0.13937389519302024</v>
      </c>
    </row>
    <row r="74" spans="1:20" x14ac:dyDescent="0.25">
      <c r="A74">
        <v>1296.4000000000001</v>
      </c>
      <c r="B74" s="16">
        <v>0.72</v>
      </c>
      <c r="C74">
        <f t="shared" si="5"/>
        <v>1281.4000000000001</v>
      </c>
      <c r="N74">
        <v>1258</v>
      </c>
      <c r="O74" cm="1">
        <f t="array" ref="O74">fnInterp(N74,$F$33:$F$39,$G$33:$G$39)</f>
        <v>0.65763813651137581</v>
      </c>
      <c r="P74" cm="1">
        <f t="array" ref="P74">fnInterp(N74,$F$23:$F$29,$G$23:$G$29)</f>
        <v>0.52894736842105261</v>
      </c>
      <c r="Q74" cm="1">
        <f t="array" ref="Q74">fnInterp(N74,$J$33:$J$39,$K$33:$K$39)</f>
        <v>0.61059765865680882</v>
      </c>
      <c r="R74">
        <f t="shared" si="3"/>
        <v>4.7040477854566998E-2</v>
      </c>
      <c r="S74">
        <f t="shared" si="1"/>
        <v>-8.1650290235756207E-2</v>
      </c>
      <c r="T74">
        <f t="shared" si="2"/>
        <v>-0.1286907680903232</v>
      </c>
    </row>
    <row r="75" spans="1:20" x14ac:dyDescent="0.25">
      <c r="A75">
        <v>1300.1000000000001</v>
      </c>
      <c r="B75" s="16">
        <v>0.73</v>
      </c>
      <c r="C75">
        <f t="shared" si="5"/>
        <v>1285.1000000000001</v>
      </c>
      <c r="N75">
        <v>1261</v>
      </c>
      <c r="O75" cm="1">
        <f t="array" ref="O75">fnInterp(N75,$F$33:$F$39,$G$33:$G$39)</f>
        <v>0.67063921993499442</v>
      </c>
      <c r="P75" cm="1">
        <f t="array" ref="P75">fnInterp(N75,$F$23:$F$29,$G$23:$G$29)</f>
        <v>0.55263157894736847</v>
      </c>
      <c r="Q75" cm="1">
        <f t="array" ref="Q75">fnInterp(N75,$J$33:$J$39,$K$33:$K$39)</f>
        <v>0.62538508934072745</v>
      </c>
      <c r="R75">
        <f t="shared" si="3"/>
        <v>4.5254130594266972E-2</v>
      </c>
      <c r="S75">
        <f t="shared" si="1"/>
        <v>-7.2753510393358978E-2</v>
      </c>
      <c r="T75">
        <f t="shared" si="2"/>
        <v>-0.11800764098762595</v>
      </c>
    </row>
    <row r="76" spans="1:20" x14ac:dyDescent="0.25">
      <c r="A76">
        <v>1302.5999999999999</v>
      </c>
      <c r="B76" s="16">
        <v>0.74</v>
      </c>
      <c r="C76">
        <f t="shared" si="5"/>
        <v>1287.5999999999999</v>
      </c>
      <c r="N76">
        <v>1264</v>
      </c>
      <c r="O76" cm="1">
        <f t="array" ref="O76">fnInterp(N76,$F$33:$F$39,$G$33:$G$39)</f>
        <v>0.68364030335861303</v>
      </c>
      <c r="P76" cm="1">
        <f t="array" ref="P76">fnInterp(N76,$F$23:$F$29,$G$23:$G$29)</f>
        <v>0.57631578947368423</v>
      </c>
      <c r="Q76" cm="1">
        <f t="array" ref="Q76">fnInterp(N76,$J$33:$J$39,$K$33:$K$39)</f>
        <v>0.64017252002464609</v>
      </c>
      <c r="R76">
        <f t="shared" si="3"/>
        <v>4.3467783333966947E-2</v>
      </c>
      <c r="S76">
        <f t="shared" si="1"/>
        <v>-6.385673055096186E-2</v>
      </c>
      <c r="T76">
        <f t="shared" si="2"/>
        <v>-0.10732451388492881</v>
      </c>
    </row>
    <row r="77" spans="1:20" x14ac:dyDescent="0.25">
      <c r="A77">
        <v>1305.5</v>
      </c>
      <c r="B77" s="16">
        <v>0.75</v>
      </c>
      <c r="C77">
        <f t="shared" si="5"/>
        <v>1290.5</v>
      </c>
      <c r="N77">
        <v>1267</v>
      </c>
      <c r="O77" cm="1">
        <f t="array" ref="O77">fnInterp(N77,$F$33:$F$39,$G$33:$G$39)</f>
        <v>0.69664138678223175</v>
      </c>
      <c r="P77" cm="1">
        <f t="array" ref="P77">fnInterp(N77,$F$23:$F$29,$G$23:$G$29)</f>
        <v>0.6</v>
      </c>
      <c r="Q77" cm="1">
        <f t="array" ref="Q77">fnInterp(N77,$J$33:$J$39,$K$33:$K$39)</f>
        <v>0.65495995070856472</v>
      </c>
      <c r="R77">
        <f t="shared" si="3"/>
        <v>4.1681436073667033E-2</v>
      </c>
      <c r="S77">
        <f t="shared" si="1"/>
        <v>-5.4959950708564742E-2</v>
      </c>
      <c r="T77">
        <f t="shared" si="2"/>
        <v>-9.6641386782231775E-2</v>
      </c>
    </row>
    <row r="78" spans="1:20" x14ac:dyDescent="0.25">
      <c r="A78">
        <v>1308.7</v>
      </c>
      <c r="B78" s="16">
        <v>0.76</v>
      </c>
      <c r="C78">
        <f t="shared" si="5"/>
        <v>1293.7</v>
      </c>
      <c r="N78">
        <v>1270</v>
      </c>
      <c r="O78" cm="1">
        <f t="array" ref="O78">fnInterp(N78,$F$33:$F$39,$G$33:$G$39)</f>
        <v>0.70964247020585025</v>
      </c>
      <c r="P78" cm="1">
        <f t="array" ref="P78">fnInterp(N78,$F$23:$F$29,$G$23:$G$29)</f>
        <v>0.6171428571428571</v>
      </c>
      <c r="Q78" cm="1">
        <f t="array" ref="Q78">fnInterp(N78,$J$33:$J$39,$K$33:$K$39)</f>
        <v>0.66974738139248335</v>
      </c>
      <c r="R78">
        <f t="shared" si="3"/>
        <v>3.9895088813366897E-2</v>
      </c>
      <c r="S78">
        <f t="shared" si="1"/>
        <v>-5.260452424962625E-2</v>
      </c>
      <c r="T78">
        <f t="shared" si="2"/>
        <v>-9.2499613062993147E-2</v>
      </c>
    </row>
    <row r="79" spans="1:20" x14ac:dyDescent="0.25">
      <c r="A79">
        <v>1311.6000000000001</v>
      </c>
      <c r="B79" s="16">
        <v>0.77</v>
      </c>
      <c r="C79">
        <f t="shared" si="5"/>
        <v>1296.6000000000001</v>
      </c>
      <c r="N79">
        <v>1273</v>
      </c>
      <c r="O79" cm="1">
        <f t="array" ref="O79">fnInterp(N79,$F$33:$F$39,$G$33:$G$39)</f>
        <v>0.72264355362946908</v>
      </c>
      <c r="P79" cm="1">
        <f t="array" ref="P79">fnInterp(N79,$F$23:$F$29,$G$23:$G$29)</f>
        <v>0.63428571428571423</v>
      </c>
      <c r="Q79" cm="1">
        <f t="array" ref="Q79">fnInterp(N79,$J$33:$J$39,$K$33:$K$39)</f>
        <v>0.6845348120764021</v>
      </c>
      <c r="R79">
        <f t="shared" si="3"/>
        <v>3.8108741553066983E-2</v>
      </c>
      <c r="S79">
        <f t="shared" si="1"/>
        <v>-5.0249097790687869E-2</v>
      </c>
      <c r="T79">
        <f t="shared" si="2"/>
        <v>-8.8357839343754851E-2</v>
      </c>
    </row>
    <row r="80" spans="1:20" x14ac:dyDescent="0.25">
      <c r="A80">
        <v>1314.7</v>
      </c>
      <c r="B80" s="16">
        <v>0.78</v>
      </c>
      <c r="C80">
        <f t="shared" si="5"/>
        <v>1299.7</v>
      </c>
      <c r="N80">
        <v>1276</v>
      </c>
      <c r="O80" cm="1">
        <f t="array" ref="O80">fnInterp(N80,$F$33:$F$39,$G$33:$G$39)</f>
        <v>0.73564463705308758</v>
      </c>
      <c r="P80" cm="1">
        <f t="array" ref="P80">fnInterp(N80,$F$23:$F$29,$G$23:$G$29)</f>
        <v>0.65142857142857147</v>
      </c>
      <c r="Q80" cm="1">
        <f t="array" ref="Q80">fnInterp(N80,$J$33:$J$39,$K$33:$K$39)</f>
        <v>0.69932224276032073</v>
      </c>
      <c r="R80">
        <f t="shared" si="3"/>
        <v>3.6322394292766846E-2</v>
      </c>
      <c r="S80">
        <f t="shared" si="1"/>
        <v>-4.7893671331749266E-2</v>
      </c>
      <c r="T80">
        <f t="shared" si="2"/>
        <v>-8.4216065624516112E-2</v>
      </c>
    </row>
    <row r="81" spans="1:20" x14ac:dyDescent="0.25">
      <c r="A81">
        <v>1318</v>
      </c>
      <c r="B81" s="16">
        <v>0.79</v>
      </c>
      <c r="C81">
        <f t="shared" si="5"/>
        <v>1303</v>
      </c>
      <c r="N81">
        <v>1279</v>
      </c>
      <c r="O81" cm="1">
        <f t="array" ref="O81">fnInterp(N81,$F$33:$F$39,$G$33:$G$39)</f>
        <v>0.74864572047670619</v>
      </c>
      <c r="P81" cm="1">
        <f t="array" ref="P81">fnInterp(N81,$F$23:$F$29,$G$23:$G$29)</f>
        <v>0.66857142857142848</v>
      </c>
      <c r="Q81" cm="1">
        <f t="array" ref="Q81">fnInterp(N81,$J$33:$J$39,$K$33:$K$39)</f>
        <v>0.71410967344423937</v>
      </c>
      <c r="R81">
        <f t="shared" si="3"/>
        <v>3.4536047032466821E-2</v>
      </c>
      <c r="S81">
        <f t="shared" si="1"/>
        <v>-4.5538244872810885E-2</v>
      </c>
      <c r="T81">
        <f t="shared" si="2"/>
        <v>-8.0074291905277706E-2</v>
      </c>
    </row>
    <row r="82" spans="1:20" x14ac:dyDescent="0.25">
      <c r="A82">
        <v>1321</v>
      </c>
      <c r="B82" s="16">
        <v>0.8</v>
      </c>
      <c r="C82">
        <f t="shared" si="5"/>
        <v>1306</v>
      </c>
      <c r="N82">
        <v>1282</v>
      </c>
      <c r="O82" cm="1">
        <f t="array" ref="O82">fnInterp(N82,$F$33:$F$39,$G$33:$G$39)</f>
        <v>0.76164680390032491</v>
      </c>
      <c r="P82" cm="1">
        <f t="array" ref="P82">fnInterp(N82,$F$23:$F$29,$G$23:$G$29)</f>
        <v>0.68571428571428572</v>
      </c>
      <c r="Q82" cm="1">
        <f t="array" ref="Q82">fnInterp(N82,$J$33:$J$39,$K$33:$K$39)</f>
        <v>0.728897104128158</v>
      </c>
      <c r="R82">
        <f t="shared" si="3"/>
        <v>3.2749699772166907E-2</v>
      </c>
      <c r="S82">
        <f t="shared" si="1"/>
        <v>-4.3182818413872281E-2</v>
      </c>
      <c r="T82">
        <f t="shared" si="2"/>
        <v>-7.5932518186039188E-2</v>
      </c>
    </row>
    <row r="83" spans="1:20" x14ac:dyDescent="0.25">
      <c r="A83">
        <v>1324.4</v>
      </c>
      <c r="B83" s="16">
        <v>0.81</v>
      </c>
      <c r="C83">
        <f t="shared" si="5"/>
        <v>1309.4000000000001</v>
      </c>
      <c r="N83">
        <v>1285</v>
      </c>
      <c r="O83" cm="1">
        <f t="array" ref="O83">fnInterp(N83,$F$33:$F$39,$G$33:$G$39)</f>
        <v>0.77464788732394363</v>
      </c>
      <c r="P83" cm="1">
        <f t="array" ref="P83">fnInterp(N83,$F$23:$F$29,$G$23:$G$29)</f>
        <v>0.70285714285714285</v>
      </c>
      <c r="Q83" cm="1">
        <f t="array" ref="Q83">fnInterp(N83,$J$33:$J$39,$K$33:$K$39)</f>
        <v>0.74368453481207675</v>
      </c>
      <c r="R83">
        <f t="shared" si="3"/>
        <v>3.0963352511866882E-2</v>
      </c>
      <c r="S83">
        <f t="shared" si="1"/>
        <v>-4.08273919549339E-2</v>
      </c>
      <c r="T83">
        <f t="shared" si="2"/>
        <v>-7.1790744466800782E-2</v>
      </c>
    </row>
    <row r="84" spans="1:20" x14ac:dyDescent="0.25">
      <c r="A84">
        <v>1327.7</v>
      </c>
      <c r="B84" s="16">
        <v>0.82</v>
      </c>
      <c r="C84">
        <f t="shared" si="5"/>
        <v>1312.7</v>
      </c>
      <c r="N84">
        <v>1288</v>
      </c>
      <c r="O84" cm="1">
        <f t="array" ref="O84">fnInterp(N84,$F$33:$F$39,$G$33:$G$39)</f>
        <v>0.78764897074756224</v>
      </c>
      <c r="P84" cm="1">
        <f t="array" ref="P84">fnInterp(N84,$F$23:$F$29,$G$23:$G$29)</f>
        <v>0.72</v>
      </c>
      <c r="Q84" cm="1">
        <f t="array" ref="Q84">fnInterp(N84,$J$33:$J$39,$K$33:$K$39)</f>
        <v>0.75847196549599527</v>
      </c>
      <c r="R84">
        <f t="shared" si="3"/>
        <v>2.9177005251566968E-2</v>
      </c>
      <c r="S84">
        <f t="shared" si="1"/>
        <v>-3.8471965495995297E-2</v>
      </c>
      <c r="T84">
        <f t="shared" si="2"/>
        <v>-6.7648970747562265E-2</v>
      </c>
    </row>
    <row r="85" spans="1:20" x14ac:dyDescent="0.25">
      <c r="A85">
        <v>1331.3</v>
      </c>
      <c r="B85" s="16">
        <v>0.83</v>
      </c>
      <c r="C85">
        <f t="shared" si="5"/>
        <v>1316.3</v>
      </c>
      <c r="N85">
        <v>1291</v>
      </c>
      <c r="O85" cm="1">
        <f t="array" ref="O85">fnInterp(N85,$F$33:$F$39,$G$33:$G$39)</f>
        <v>0.80065005417118074</v>
      </c>
      <c r="P85" cm="1">
        <f t="array" ref="P85">fnInterp(N85,$F$23:$F$29,$G$23:$G$29)</f>
        <v>0.7371428571428571</v>
      </c>
      <c r="Q85" cm="1">
        <f t="array" ref="Q85">fnInterp(N85,$J$33:$J$39,$K$33:$K$39)</f>
        <v>0.7732593961799139</v>
      </c>
      <c r="R85">
        <f t="shared" si="3"/>
        <v>2.7390657991266831E-2</v>
      </c>
      <c r="S85">
        <f t="shared" si="1"/>
        <v>-3.6116539037056805E-2</v>
      </c>
      <c r="T85">
        <f t="shared" si="2"/>
        <v>-6.3507197028323636E-2</v>
      </c>
    </row>
    <row r="86" spans="1:20" x14ac:dyDescent="0.25">
      <c r="A86">
        <v>1334.4</v>
      </c>
      <c r="B86" s="16">
        <v>0.84</v>
      </c>
      <c r="C86">
        <f t="shared" si="5"/>
        <v>1319.4</v>
      </c>
      <c r="N86">
        <v>1294</v>
      </c>
      <c r="O86" cm="1">
        <f t="array" ref="O86">fnInterp(N86,$F$33:$F$39,$G$33:$G$39)</f>
        <v>0.81365113759479946</v>
      </c>
      <c r="P86" cm="1">
        <f t="array" ref="P86">fnInterp(N86,$F$23:$F$29,$G$23:$G$29)</f>
        <v>0.75428571428571423</v>
      </c>
      <c r="Q86" cm="1">
        <f t="array" ref="Q86">fnInterp(N86,$J$33:$J$39,$K$33:$K$39)</f>
        <v>0.78804682686383265</v>
      </c>
      <c r="R86">
        <f t="shared" si="3"/>
        <v>2.5604310730966806E-2</v>
      </c>
      <c r="S86">
        <f t="shared" si="1"/>
        <v>-3.3761112578118424E-2</v>
      </c>
      <c r="T86">
        <f t="shared" si="2"/>
        <v>-5.936542330908523E-2</v>
      </c>
    </row>
    <row r="87" spans="1:20" x14ac:dyDescent="0.25">
      <c r="A87">
        <v>1337.9</v>
      </c>
      <c r="B87" s="16">
        <v>0.85</v>
      </c>
      <c r="C87">
        <f t="shared" si="5"/>
        <v>1322.9</v>
      </c>
      <c r="N87">
        <v>1297</v>
      </c>
      <c r="O87" cm="1">
        <f t="array" ref="O87">fnInterp(N87,$F$33:$F$39,$G$33:$G$39)</f>
        <v>0.82665222101841807</v>
      </c>
      <c r="P87" cm="1">
        <f t="array" ref="P87">fnInterp(N87,$F$23:$F$29,$G$23:$G$29)</f>
        <v>0.77142857142857146</v>
      </c>
      <c r="Q87" cm="1">
        <f t="array" ref="Q87">fnInterp(N87,$J$33:$J$39,$K$33:$K$39)</f>
        <v>0.80283425754775128</v>
      </c>
      <c r="R87">
        <f t="shared" si="3"/>
        <v>2.3817963470666781E-2</v>
      </c>
      <c r="S87">
        <f t="shared" si="1"/>
        <v>-3.1405686119179821E-2</v>
      </c>
      <c r="T87">
        <f t="shared" si="2"/>
        <v>-5.5223649589846602E-2</v>
      </c>
    </row>
    <row r="88" spans="1:20" x14ac:dyDescent="0.25">
      <c r="A88">
        <v>1341.1</v>
      </c>
      <c r="B88" s="16">
        <v>0.86</v>
      </c>
      <c r="C88">
        <f t="shared" si="5"/>
        <v>1326.1</v>
      </c>
      <c r="N88">
        <v>1300</v>
      </c>
      <c r="O88" cm="1">
        <f t="array" ref="O88">fnInterp(N88,$F$33:$F$39,$G$33:$G$39)</f>
        <v>0.83965330444203679</v>
      </c>
      <c r="P88" cm="1">
        <f t="array" ref="P88">fnInterp(N88,$F$23:$F$29,$G$23:$G$29)</f>
        <v>0.78857142857142859</v>
      </c>
      <c r="Q88" cm="1">
        <f t="array" ref="Q88">fnInterp(N88,$J$33:$J$39,$K$33:$K$39)</f>
        <v>0.81762168823167003</v>
      </c>
      <c r="R88">
        <f t="shared" si="3"/>
        <v>2.2031616210366756E-2</v>
      </c>
      <c r="S88">
        <f t="shared" si="1"/>
        <v>-2.905025966024144E-2</v>
      </c>
      <c r="T88">
        <f t="shared" si="2"/>
        <v>-5.1081875870608195E-2</v>
      </c>
    </row>
    <row r="89" spans="1:20" x14ac:dyDescent="0.25">
      <c r="A89">
        <v>1344.7</v>
      </c>
      <c r="B89" s="16">
        <v>0.87</v>
      </c>
      <c r="C89">
        <f t="shared" si="5"/>
        <v>1329.7</v>
      </c>
      <c r="N89">
        <v>1303</v>
      </c>
      <c r="O89" cm="1">
        <f t="array" ref="O89">fnInterp(N89,$F$33:$F$39,$G$33:$G$39)</f>
        <v>0.85265438786565551</v>
      </c>
      <c r="P89" cm="1">
        <f t="array" ref="P89">fnInterp(N89,$F$23:$F$29,$G$23:$G$29)</f>
        <v>0.80571428571428572</v>
      </c>
      <c r="Q89" cm="1">
        <f t="array" ref="Q89">fnInterp(N89,$J$33:$J$39,$K$33:$K$39)</f>
        <v>0.83240911891558866</v>
      </c>
      <c r="R89">
        <f t="shared" si="3"/>
        <v>2.0245268950066841E-2</v>
      </c>
      <c r="S89">
        <f t="shared" si="1"/>
        <v>-2.6694833201302948E-2</v>
      </c>
      <c r="T89">
        <f t="shared" si="2"/>
        <v>-4.6940102151369789E-2</v>
      </c>
    </row>
    <row r="90" spans="1:20" x14ac:dyDescent="0.25">
      <c r="A90">
        <v>1348</v>
      </c>
      <c r="B90" s="16">
        <v>0.88</v>
      </c>
      <c r="C90">
        <f t="shared" si="5"/>
        <v>1333</v>
      </c>
      <c r="N90">
        <v>1306</v>
      </c>
      <c r="O90" cm="1">
        <f t="array" ref="O90">fnInterp(N90,$F$33:$F$39,$G$33:$G$39)</f>
        <v>0.865655471289274</v>
      </c>
      <c r="P90" cm="1">
        <f t="array" ref="P90">fnInterp(N90,$F$23:$F$29,$G$23:$G$29)</f>
        <v>0.82285714285714273</v>
      </c>
      <c r="Q90" cm="1">
        <f t="array" ref="Q90">fnInterp(N90,$J$33:$J$39,$K$33:$K$39)</f>
        <v>0.84719654959950719</v>
      </c>
      <c r="R90">
        <f t="shared" si="3"/>
        <v>1.8458921689766816E-2</v>
      </c>
      <c r="S90">
        <f t="shared" si="1"/>
        <v>-2.4339406742364456E-2</v>
      </c>
      <c r="T90">
        <f t="shared" si="2"/>
        <v>-4.2798328432131272E-2</v>
      </c>
    </row>
    <row r="91" spans="1:20" x14ac:dyDescent="0.25">
      <c r="A91">
        <v>1351.5</v>
      </c>
      <c r="B91" s="16">
        <v>0.89</v>
      </c>
      <c r="C91">
        <f t="shared" si="5"/>
        <v>1336.5</v>
      </c>
      <c r="N91">
        <v>1309</v>
      </c>
      <c r="O91" cm="1">
        <f t="array" ref="O91">fnInterp(N91,$F$33:$F$39,$G$33:$G$39)</f>
        <v>0.87865655471289261</v>
      </c>
      <c r="P91" cm="1">
        <f t="array" ref="P91">fnInterp(N91,$F$23:$F$29,$G$23:$G$29)</f>
        <v>0.84</v>
      </c>
      <c r="Q91" cm="1">
        <f t="array" ref="Q91">fnInterp(N91,$J$33:$J$39,$K$33:$K$39)</f>
        <v>0.86198398028342582</v>
      </c>
      <c r="R91">
        <f t="shared" si="3"/>
        <v>1.6672574429466791E-2</v>
      </c>
      <c r="S91">
        <f t="shared" si="1"/>
        <v>-2.1983980283425852E-2</v>
      </c>
      <c r="T91">
        <f t="shared" si="2"/>
        <v>-3.8656554712892643E-2</v>
      </c>
    </row>
    <row r="92" spans="1:20" x14ac:dyDescent="0.25">
      <c r="A92">
        <v>1354.9</v>
      </c>
      <c r="B92" s="16">
        <v>0.9</v>
      </c>
      <c r="C92">
        <f t="shared" si="5"/>
        <v>1339.9</v>
      </c>
      <c r="N92">
        <v>1312</v>
      </c>
      <c r="O92" cm="1">
        <f t="array" ref="O92">fnInterp(N92,$F$33:$F$39,$G$33:$G$39)</f>
        <v>0.89165763813651133</v>
      </c>
      <c r="P92" cm="1">
        <f t="array" ref="P92">fnInterp(N92,$F$23:$F$29,$G$23:$G$29)</f>
        <v>0.8571428571428571</v>
      </c>
      <c r="Q92" cm="1">
        <f t="array" ref="Q92">fnInterp(N92,$J$33:$J$39,$K$33:$K$39)</f>
        <v>0.87677141096734457</v>
      </c>
      <c r="R92">
        <f t="shared" si="3"/>
        <v>1.4886227169166766E-2</v>
      </c>
      <c r="S92">
        <f t="shared" si="1"/>
        <v>-1.9628553824487471E-2</v>
      </c>
      <c r="T92">
        <f t="shared" si="2"/>
        <v>-3.4514780993654237E-2</v>
      </c>
    </row>
    <row r="93" spans="1:20" x14ac:dyDescent="0.25">
      <c r="A93">
        <v>1358.5</v>
      </c>
      <c r="B93" s="16">
        <v>0.91</v>
      </c>
      <c r="C93">
        <f t="shared" si="5"/>
        <v>1343.5</v>
      </c>
      <c r="N93">
        <v>1315</v>
      </c>
      <c r="O93" cm="1">
        <f t="array" ref="O93">fnInterp(N93,$F$33:$F$39,$G$33:$G$39)</f>
        <v>0.90465872156012994</v>
      </c>
      <c r="P93" cm="1">
        <f t="array" ref="P93">fnInterp(N93,$F$23:$F$29,$G$23:$G$29)</f>
        <v>0.87428571428571433</v>
      </c>
      <c r="Q93" cm="1">
        <f t="array" ref="Q93">fnInterp(N93,$J$33:$J$39,$K$33:$K$39)</f>
        <v>0.8915588416512632</v>
      </c>
      <c r="R93">
        <f t="shared" si="3"/>
        <v>1.3099879908866741E-2</v>
      </c>
      <c r="S93">
        <f t="shared" si="1"/>
        <v>-1.7273127365548868E-2</v>
      </c>
      <c r="T93">
        <f t="shared" si="2"/>
        <v>-3.0373007274415609E-2</v>
      </c>
    </row>
    <row r="94" spans="1:20" x14ac:dyDescent="0.25">
      <c r="A94">
        <v>1362</v>
      </c>
      <c r="B94" s="16">
        <v>0.92</v>
      </c>
      <c r="C94">
        <f t="shared" si="5"/>
        <v>1347</v>
      </c>
      <c r="N94">
        <v>1318</v>
      </c>
      <c r="O94" cm="1">
        <f t="array" ref="O94">fnInterp(N94,$F$33:$F$39,$G$33:$G$39)</f>
        <v>0.91765980498374866</v>
      </c>
      <c r="P94" cm="1">
        <f t="array" ref="P94">fnInterp(N94,$F$23:$F$29,$G$23:$G$29)</f>
        <v>0.89142857142857146</v>
      </c>
      <c r="Q94" cm="1">
        <f t="array" ref="Q94">fnInterp(N94,$J$33:$J$39,$K$33:$K$39)</f>
        <v>0.90634627233518195</v>
      </c>
      <c r="R94">
        <f t="shared" ref="R94:R128" si="6">O94-Q94</f>
        <v>1.1313532648566715E-2</v>
      </c>
      <c r="S94">
        <f t="shared" ref="S94:S128" si="7">P94-Q94</f>
        <v>-1.4917700906610487E-2</v>
      </c>
      <c r="T94">
        <f t="shared" ref="T94:T128" si="8">P94-O94</f>
        <v>-2.6231233555177202E-2</v>
      </c>
    </row>
    <row r="95" spans="1:20" x14ac:dyDescent="0.25">
      <c r="A95">
        <v>1365.8999999999999</v>
      </c>
      <c r="B95" s="16">
        <v>0.93</v>
      </c>
      <c r="C95">
        <f t="shared" si="5"/>
        <v>1350.8999999999999</v>
      </c>
      <c r="N95">
        <v>1321</v>
      </c>
      <c r="O95" cm="1">
        <f t="array" ref="O95">fnInterp(N95,$F$33:$F$39,$G$33:$G$39)</f>
        <v>0.93066088840736716</v>
      </c>
      <c r="P95" cm="1">
        <f t="array" ref="P95">fnInterp(N95,$F$23:$F$29,$G$23:$G$29)</f>
        <v>0.90857142857142859</v>
      </c>
      <c r="Q95" cm="1">
        <f t="array" ref="Q95">fnInterp(N95,$J$33:$J$39,$K$33:$K$39)</f>
        <v>0.92113370301910047</v>
      </c>
      <c r="R95">
        <f t="shared" si="6"/>
        <v>9.5271853882666901E-3</v>
      </c>
      <c r="S95">
        <f t="shared" si="7"/>
        <v>-1.2562274447671884E-2</v>
      </c>
      <c r="T95">
        <f t="shared" si="8"/>
        <v>-2.2089459835938574E-2</v>
      </c>
    </row>
    <row r="96" spans="1:20" x14ac:dyDescent="0.25">
      <c r="A96">
        <v>1369.3999999999999</v>
      </c>
      <c r="B96" s="16">
        <v>0.94</v>
      </c>
      <c r="C96">
        <f t="shared" si="5"/>
        <v>1354.3999999999999</v>
      </c>
      <c r="N96">
        <v>1324</v>
      </c>
      <c r="O96" cm="1">
        <f t="array" ref="O96">fnInterp(N96,$F$33:$F$39,$G$33:$G$39)</f>
        <v>0.94366197183098588</v>
      </c>
      <c r="P96" cm="1">
        <f t="array" ref="P96">fnInterp(N96,$F$23:$F$29,$G$23:$G$29)</f>
        <v>0.92571428571428571</v>
      </c>
      <c r="Q96" cm="1">
        <f t="array" ref="Q96">fnInterp(N96,$J$33:$J$39,$K$33:$K$39)</f>
        <v>0.9359211337030191</v>
      </c>
      <c r="R96">
        <f t="shared" si="6"/>
        <v>7.740838127966776E-3</v>
      </c>
      <c r="S96">
        <f t="shared" si="7"/>
        <v>-1.0206847988733392E-2</v>
      </c>
      <c r="T96">
        <f t="shared" si="8"/>
        <v>-1.7947686116700168E-2</v>
      </c>
    </row>
    <row r="97" spans="1:20" x14ac:dyDescent="0.25">
      <c r="A97">
        <v>1373.8</v>
      </c>
      <c r="B97" s="16">
        <v>0.95</v>
      </c>
      <c r="C97">
        <f t="shared" si="5"/>
        <v>1358.8</v>
      </c>
      <c r="N97">
        <v>1327</v>
      </c>
      <c r="O97" cm="1">
        <f t="array" ref="O97">fnInterp(N97,$F$33:$F$39,$G$33:$G$39)</f>
        <v>0.95666305525460449</v>
      </c>
      <c r="P97" cm="1">
        <f t="array" ref="P97">fnInterp(N97,$F$23:$F$29,$G$23:$G$29)</f>
        <v>0.94285714285714284</v>
      </c>
      <c r="Q97" cm="1">
        <f t="array" ref="Q97">fnInterp(N97,$J$33:$J$39,$K$33:$K$39)</f>
        <v>0.95070856438693785</v>
      </c>
      <c r="R97">
        <f t="shared" si="6"/>
        <v>5.9544908676666397E-3</v>
      </c>
      <c r="S97">
        <f t="shared" si="7"/>
        <v>-7.8514215297950107E-3</v>
      </c>
      <c r="T97">
        <f t="shared" si="8"/>
        <v>-1.380591239746165E-2</v>
      </c>
    </row>
    <row r="98" spans="1:20" x14ac:dyDescent="0.25">
      <c r="A98">
        <v>1377.3999999999999</v>
      </c>
      <c r="B98" s="16">
        <v>0.96</v>
      </c>
      <c r="C98">
        <f t="shared" si="5"/>
        <v>1362.3999999999999</v>
      </c>
      <c r="N98">
        <v>1330</v>
      </c>
      <c r="O98" cm="1">
        <f t="array" ref="O98">fnInterp(N98,$F$33:$F$39,$G$33:$G$39)</f>
        <v>0.96966413867822321</v>
      </c>
      <c r="P98" cm="1">
        <f t="array" ref="P98">fnInterp(N98,$F$23:$F$29,$G$23:$G$29)</f>
        <v>0.96000000000000008</v>
      </c>
      <c r="Q98" cm="1">
        <f t="array" ref="Q98">fnInterp(N98,$J$33:$J$39,$K$33:$K$39)</f>
        <v>0.96549599507085648</v>
      </c>
      <c r="R98">
        <f t="shared" si="6"/>
        <v>4.1681436073667255E-3</v>
      </c>
      <c r="S98">
        <f t="shared" si="7"/>
        <v>-5.4959950708564076E-3</v>
      </c>
      <c r="T98">
        <f t="shared" si="8"/>
        <v>-9.6641386782231331E-3</v>
      </c>
    </row>
    <row r="99" spans="1:20" x14ac:dyDescent="0.25">
      <c r="A99">
        <v>1381.5</v>
      </c>
      <c r="B99" s="16">
        <v>0.97</v>
      </c>
      <c r="C99">
        <f t="shared" si="5"/>
        <v>1366.5</v>
      </c>
      <c r="N99">
        <v>1333</v>
      </c>
      <c r="O99" cm="1">
        <f t="array" ref="O99">fnInterp(N99,$F$33:$F$39,$G$33:$G$39)</f>
        <v>0.98266522210184193</v>
      </c>
      <c r="P99" cm="1">
        <f t="array" ref="P99">fnInterp(N99,$F$23:$F$29,$G$23:$G$29)</f>
        <v>0.9771428571428572</v>
      </c>
      <c r="Q99" cm="1">
        <f t="array" ref="Q99">fnInterp(N99,$J$33:$J$39,$K$33:$K$39)</f>
        <v>0.98028342575477523</v>
      </c>
      <c r="R99">
        <f t="shared" si="6"/>
        <v>2.3817963470667003E-3</v>
      </c>
      <c r="S99">
        <f t="shared" si="7"/>
        <v>-3.1405686119180265E-3</v>
      </c>
      <c r="T99">
        <f t="shared" si="8"/>
        <v>-5.5223649589847268E-3</v>
      </c>
    </row>
    <row r="100" spans="1:20" x14ac:dyDescent="0.25">
      <c r="A100">
        <v>1385.6999999999998</v>
      </c>
      <c r="B100" s="16">
        <v>0.98</v>
      </c>
      <c r="C100">
        <f t="shared" si="5"/>
        <v>1370.6999999999998</v>
      </c>
      <c r="N100">
        <v>1336</v>
      </c>
      <c r="O100" cm="1">
        <f t="array" ref="O100">fnInterp(N100,$F$33:$F$39,$G$33:$G$39)</f>
        <v>0.99566630552546043</v>
      </c>
      <c r="P100" cm="1">
        <f t="array" ref="P100">fnInterp(N100,$F$23:$F$29,$G$23:$G$29)</f>
        <v>0.99428571428571422</v>
      </c>
      <c r="Q100" cm="1">
        <f t="array" ref="Q100">fnInterp(N100,$J$33:$J$39,$K$33:$K$39)</f>
        <v>0.99507085643869375</v>
      </c>
      <c r="R100">
        <f t="shared" si="6"/>
        <v>5.9544908676667507E-4</v>
      </c>
      <c r="S100">
        <f t="shared" si="7"/>
        <v>-7.8514215297953438E-4</v>
      </c>
      <c r="T100">
        <f t="shared" si="8"/>
        <v>-1.3805912397462095E-3</v>
      </c>
    </row>
    <row r="101" spans="1:20" x14ac:dyDescent="0.25">
      <c r="A101">
        <v>1390.3000000000002</v>
      </c>
      <c r="B101" s="16">
        <v>0.99</v>
      </c>
      <c r="C101">
        <f t="shared" si="5"/>
        <v>1375.3000000000002</v>
      </c>
      <c r="N101">
        <v>1339</v>
      </c>
      <c r="O101" cm="1">
        <f t="array" ref="O101">fnInterp(N101,$F$33:$F$39,$G$33:$G$39)</f>
        <v>1</v>
      </c>
      <c r="P101" cm="1">
        <f t="array" ref="P101">fnInterp(N101,$F$23:$F$29,$G$23:$G$29)</f>
        <v>1</v>
      </c>
      <c r="Q101" cm="1">
        <f t="array" ref="Q101">fnInterp(N101,$J$33:$J$39,$K$33:$K$39)</f>
        <v>1</v>
      </c>
      <c r="R101">
        <f t="shared" si="6"/>
        <v>0</v>
      </c>
      <c r="S101">
        <f t="shared" si="7"/>
        <v>0</v>
      </c>
      <c r="T101">
        <f t="shared" si="8"/>
        <v>0</v>
      </c>
    </row>
    <row r="102" spans="1:20" x14ac:dyDescent="0.25">
      <c r="A102">
        <v>1400</v>
      </c>
      <c r="B102" s="16">
        <v>1</v>
      </c>
      <c r="C102">
        <f t="shared" si="5"/>
        <v>1385</v>
      </c>
      <c r="N102">
        <v>1342</v>
      </c>
      <c r="O102" cm="1">
        <f t="array" ref="O102">fnInterp(N102,$F$33:$F$39,$G$33:$G$39)</f>
        <v>1</v>
      </c>
      <c r="P102" cm="1">
        <f t="array" ref="P102">fnInterp(N102,$F$23:$F$29,$G$23:$G$29)</f>
        <v>1</v>
      </c>
      <c r="Q102" cm="1">
        <f t="array" ref="Q102">fnInterp(N102,$J$33:$J$39,$K$33:$K$39)</f>
        <v>1</v>
      </c>
      <c r="R102">
        <f t="shared" si="6"/>
        <v>0</v>
      </c>
      <c r="S102">
        <f t="shared" si="7"/>
        <v>0</v>
      </c>
      <c r="T102">
        <f t="shared" si="8"/>
        <v>0</v>
      </c>
    </row>
    <row r="103" spans="1:20" x14ac:dyDescent="0.25">
      <c r="N103">
        <v>1345</v>
      </c>
      <c r="O103" cm="1">
        <f t="array" ref="O103">fnInterp(N103,$F$33:$F$39,$G$33:$G$39)</f>
        <v>1</v>
      </c>
      <c r="P103" cm="1">
        <f t="array" ref="P103">fnInterp(N103,$F$23:$F$29,$G$23:$G$29)</f>
        <v>1</v>
      </c>
      <c r="Q103" cm="1">
        <f t="array" ref="Q103">fnInterp(N103,$J$33:$J$39,$K$33:$K$39)</f>
        <v>1</v>
      </c>
      <c r="R103">
        <f t="shared" si="6"/>
        <v>0</v>
      </c>
      <c r="S103">
        <f t="shared" si="7"/>
        <v>0</v>
      </c>
      <c r="T103">
        <f t="shared" si="8"/>
        <v>0</v>
      </c>
    </row>
    <row r="104" spans="1:20" x14ac:dyDescent="0.25">
      <c r="N104">
        <v>1348</v>
      </c>
      <c r="O104" cm="1">
        <f t="array" ref="O104">fnInterp(N104,$F$33:$F$39,$G$33:$G$39)</f>
        <v>1</v>
      </c>
      <c r="P104" cm="1">
        <f t="array" ref="P104">fnInterp(N104,$F$23:$F$29,$G$23:$G$29)</f>
        <v>1</v>
      </c>
      <c r="Q104" cm="1">
        <f t="array" ref="Q104">fnInterp(N104,$J$33:$J$39,$K$33:$K$39)</f>
        <v>1</v>
      </c>
      <c r="R104">
        <f t="shared" si="6"/>
        <v>0</v>
      </c>
      <c r="S104">
        <f t="shared" si="7"/>
        <v>0</v>
      </c>
      <c r="T104">
        <f t="shared" si="8"/>
        <v>0</v>
      </c>
    </row>
    <row r="105" spans="1:20" x14ac:dyDescent="0.25">
      <c r="N105">
        <v>1351</v>
      </c>
      <c r="O105" cm="1">
        <f t="array" ref="O105">fnInterp(N105,$F$33:$F$39,$G$33:$G$39)</f>
        <v>1</v>
      </c>
      <c r="P105" cm="1">
        <f t="array" ref="P105">fnInterp(N105,$F$23:$F$29,$G$23:$G$29)</f>
        <v>1</v>
      </c>
      <c r="Q105" cm="1">
        <f t="array" ref="Q105">fnInterp(N105,$J$33:$J$39,$K$33:$K$39)</f>
        <v>1</v>
      </c>
      <c r="R105">
        <f t="shared" si="6"/>
        <v>0</v>
      </c>
      <c r="S105">
        <f t="shared" si="7"/>
        <v>0</v>
      </c>
      <c r="T105">
        <f t="shared" si="8"/>
        <v>0</v>
      </c>
    </row>
    <row r="106" spans="1:20" x14ac:dyDescent="0.25">
      <c r="N106">
        <v>1354</v>
      </c>
      <c r="O106" cm="1">
        <f t="array" ref="O106">fnInterp(N106,$F$33:$F$39,$G$33:$G$39)</f>
        <v>1</v>
      </c>
      <c r="P106" cm="1">
        <f t="array" ref="P106">fnInterp(N106,$F$23:$F$29,$G$23:$G$29)</f>
        <v>1</v>
      </c>
      <c r="Q106" cm="1">
        <f t="array" ref="Q106">fnInterp(N106,$J$33:$J$39,$K$33:$K$39)</f>
        <v>1</v>
      </c>
      <c r="R106">
        <f t="shared" si="6"/>
        <v>0</v>
      </c>
      <c r="S106">
        <f t="shared" si="7"/>
        <v>0</v>
      </c>
      <c r="T106">
        <f t="shared" si="8"/>
        <v>0</v>
      </c>
    </row>
    <row r="107" spans="1:20" x14ac:dyDescent="0.25">
      <c r="N107">
        <v>1357</v>
      </c>
      <c r="O107" cm="1">
        <f t="array" ref="O107">fnInterp(N107,$F$33:$F$39,$G$33:$G$39)</f>
        <v>1</v>
      </c>
      <c r="P107" cm="1">
        <f t="array" ref="P107">fnInterp(N107,$F$23:$F$29,$G$23:$G$29)</f>
        <v>1</v>
      </c>
      <c r="Q107" cm="1">
        <f t="array" ref="Q107">fnInterp(N107,$J$33:$J$39,$K$33:$K$39)</f>
        <v>1</v>
      </c>
      <c r="R107">
        <f t="shared" si="6"/>
        <v>0</v>
      </c>
      <c r="S107">
        <f t="shared" si="7"/>
        <v>0</v>
      </c>
      <c r="T107">
        <f t="shared" si="8"/>
        <v>0</v>
      </c>
    </row>
    <row r="108" spans="1:20" x14ac:dyDescent="0.25">
      <c r="N108">
        <v>1360</v>
      </c>
      <c r="O108" cm="1">
        <f t="array" ref="O108">fnInterp(N108,$F$33:$F$39,$G$33:$G$39)</f>
        <v>1</v>
      </c>
      <c r="P108" cm="1">
        <f t="array" ref="P108">fnInterp(N108,$F$23:$F$29,$G$23:$G$29)</f>
        <v>1</v>
      </c>
      <c r="Q108" cm="1">
        <f t="array" ref="Q108">fnInterp(N108,$J$33:$J$39,$K$33:$K$39)</f>
        <v>1</v>
      </c>
      <c r="R108">
        <f t="shared" si="6"/>
        <v>0</v>
      </c>
      <c r="S108">
        <f t="shared" si="7"/>
        <v>0</v>
      </c>
      <c r="T108">
        <f t="shared" si="8"/>
        <v>0</v>
      </c>
    </row>
    <row r="109" spans="1:20" x14ac:dyDescent="0.25">
      <c r="N109">
        <v>1363</v>
      </c>
      <c r="O109" cm="1">
        <f t="array" ref="O109">fnInterp(N109,$F$33:$F$39,$G$33:$G$39)</f>
        <v>1</v>
      </c>
      <c r="P109" cm="1">
        <f t="array" ref="P109">fnInterp(N109,$F$23:$F$29,$G$23:$G$29)</f>
        <v>1</v>
      </c>
      <c r="Q109" cm="1">
        <f t="array" ref="Q109">fnInterp(N109,$J$33:$J$39,$K$33:$K$39)</f>
        <v>1</v>
      </c>
      <c r="R109">
        <f t="shared" si="6"/>
        <v>0</v>
      </c>
      <c r="S109">
        <f t="shared" si="7"/>
        <v>0</v>
      </c>
      <c r="T109">
        <f t="shared" si="8"/>
        <v>0</v>
      </c>
    </row>
    <row r="110" spans="1:20" x14ac:dyDescent="0.25">
      <c r="N110">
        <v>1366</v>
      </c>
      <c r="O110" cm="1">
        <f t="array" ref="O110">fnInterp(N110,$F$33:$F$39,$G$33:$G$39)</f>
        <v>1</v>
      </c>
      <c r="P110" cm="1">
        <f t="array" ref="P110">fnInterp(N110,$F$23:$F$29,$G$23:$G$29)</f>
        <v>1</v>
      </c>
      <c r="Q110" cm="1">
        <f t="array" ref="Q110">fnInterp(N110,$J$33:$J$39,$K$33:$K$39)</f>
        <v>1</v>
      </c>
      <c r="R110">
        <f t="shared" si="6"/>
        <v>0</v>
      </c>
      <c r="S110">
        <f t="shared" si="7"/>
        <v>0</v>
      </c>
      <c r="T110">
        <f t="shared" si="8"/>
        <v>0</v>
      </c>
    </row>
    <row r="111" spans="1:20" x14ac:dyDescent="0.25">
      <c r="N111">
        <v>1369</v>
      </c>
      <c r="O111" cm="1">
        <f t="array" ref="O111">fnInterp(N111,$F$33:$F$39,$G$33:$G$39)</f>
        <v>1</v>
      </c>
      <c r="P111" cm="1">
        <f t="array" ref="P111">fnInterp(N111,$F$23:$F$29,$G$23:$G$29)</f>
        <v>1</v>
      </c>
      <c r="Q111" cm="1">
        <f t="array" ref="Q111">fnInterp(N111,$J$33:$J$39,$K$33:$K$39)</f>
        <v>1</v>
      </c>
      <c r="R111">
        <f t="shared" si="6"/>
        <v>0</v>
      </c>
      <c r="S111">
        <f t="shared" si="7"/>
        <v>0</v>
      </c>
      <c r="T111">
        <f t="shared" si="8"/>
        <v>0</v>
      </c>
    </row>
    <row r="112" spans="1:20" x14ac:dyDescent="0.25">
      <c r="N112">
        <v>1372</v>
      </c>
      <c r="O112" cm="1">
        <f t="array" ref="O112">fnInterp(N112,$F$33:$F$39,$G$33:$G$39)</f>
        <v>1</v>
      </c>
      <c r="P112" cm="1">
        <f t="array" ref="P112">fnInterp(N112,$F$23:$F$29,$G$23:$G$29)</f>
        <v>1</v>
      </c>
      <c r="Q112" cm="1">
        <f t="array" ref="Q112">fnInterp(N112,$J$33:$J$39,$K$33:$K$39)</f>
        <v>1</v>
      </c>
      <c r="R112">
        <f t="shared" si="6"/>
        <v>0</v>
      </c>
      <c r="S112">
        <f t="shared" si="7"/>
        <v>0</v>
      </c>
      <c r="T112">
        <f t="shared" si="8"/>
        <v>0</v>
      </c>
    </row>
    <row r="113" spans="14:20" x14ac:dyDescent="0.25">
      <c r="N113">
        <v>1375</v>
      </c>
      <c r="O113" cm="1">
        <f t="array" ref="O113">fnInterp(N113,$F$33:$F$39,$G$33:$G$39)</f>
        <v>1</v>
      </c>
      <c r="P113" cm="1">
        <f t="array" ref="P113">fnInterp(N113,$F$23:$F$29,$G$23:$G$29)</f>
        <v>1</v>
      </c>
      <c r="Q113" cm="1">
        <f t="array" ref="Q113">fnInterp(N113,$J$33:$J$39,$K$33:$K$39)</f>
        <v>1</v>
      </c>
      <c r="R113">
        <f t="shared" si="6"/>
        <v>0</v>
      </c>
      <c r="S113">
        <f t="shared" si="7"/>
        <v>0</v>
      </c>
      <c r="T113">
        <f t="shared" si="8"/>
        <v>0</v>
      </c>
    </row>
    <row r="114" spans="14:20" x14ac:dyDescent="0.25">
      <c r="N114">
        <v>1378</v>
      </c>
      <c r="O114" cm="1">
        <f t="array" ref="O114">fnInterp(N114,$F$33:$F$39,$G$33:$G$39)</f>
        <v>1</v>
      </c>
      <c r="P114" cm="1">
        <f t="array" ref="P114">fnInterp(N114,$F$23:$F$29,$G$23:$G$29)</f>
        <v>1</v>
      </c>
      <c r="Q114" cm="1">
        <f t="array" ref="Q114">fnInterp(N114,$J$33:$J$39,$K$33:$K$39)</f>
        <v>1</v>
      </c>
      <c r="R114">
        <f t="shared" si="6"/>
        <v>0</v>
      </c>
      <c r="S114">
        <f t="shared" si="7"/>
        <v>0</v>
      </c>
      <c r="T114">
        <f t="shared" si="8"/>
        <v>0</v>
      </c>
    </row>
    <row r="115" spans="14:20" x14ac:dyDescent="0.25">
      <c r="N115">
        <v>1381</v>
      </c>
      <c r="O115" cm="1">
        <f t="array" ref="O115">fnInterp(N115,$F$33:$F$39,$G$33:$G$39)</f>
        <v>1</v>
      </c>
      <c r="P115" cm="1">
        <f t="array" ref="P115">fnInterp(N115,$F$23:$F$29,$G$23:$G$29)</f>
        <v>1</v>
      </c>
      <c r="Q115" cm="1">
        <f t="array" ref="Q115">fnInterp(N115,$J$33:$J$39,$K$33:$K$39)</f>
        <v>1</v>
      </c>
      <c r="R115">
        <f t="shared" si="6"/>
        <v>0</v>
      </c>
      <c r="S115">
        <f t="shared" si="7"/>
        <v>0</v>
      </c>
      <c r="T115">
        <f t="shared" si="8"/>
        <v>0</v>
      </c>
    </row>
    <row r="116" spans="14:20" x14ac:dyDescent="0.25">
      <c r="N116">
        <v>1384</v>
      </c>
      <c r="O116" cm="1">
        <f t="array" ref="O116">fnInterp(N116,$F$33:$F$39,$G$33:$G$39)</f>
        <v>1</v>
      </c>
      <c r="P116" cm="1">
        <f t="array" ref="P116">fnInterp(N116,$F$23:$F$29,$G$23:$G$29)</f>
        <v>1</v>
      </c>
      <c r="Q116" cm="1">
        <f t="array" ref="Q116">fnInterp(N116,$J$33:$J$39,$K$33:$K$39)</f>
        <v>1</v>
      </c>
      <c r="R116">
        <f t="shared" si="6"/>
        <v>0</v>
      </c>
      <c r="S116">
        <f t="shared" si="7"/>
        <v>0</v>
      </c>
      <c r="T116">
        <f t="shared" si="8"/>
        <v>0</v>
      </c>
    </row>
    <row r="117" spans="14:20" x14ac:dyDescent="0.25">
      <c r="N117">
        <v>1387</v>
      </c>
      <c r="O117" cm="1">
        <f t="array" ref="O117">fnInterp(N117,$F$33:$F$39,$G$33:$G$39)</f>
        <v>1</v>
      </c>
      <c r="P117" cm="1">
        <f t="array" ref="P117">fnInterp(N117,$F$23:$F$29,$G$23:$G$29)</f>
        <v>1</v>
      </c>
      <c r="Q117" cm="1">
        <f t="array" ref="Q117">fnInterp(N117,$J$33:$J$39,$K$33:$K$39)</f>
        <v>1</v>
      </c>
      <c r="R117">
        <f t="shared" si="6"/>
        <v>0</v>
      </c>
      <c r="S117">
        <f t="shared" si="7"/>
        <v>0</v>
      </c>
      <c r="T117">
        <f t="shared" si="8"/>
        <v>0</v>
      </c>
    </row>
    <row r="118" spans="14:20" x14ac:dyDescent="0.25">
      <c r="N118">
        <v>1390</v>
      </c>
      <c r="O118" cm="1">
        <f t="array" ref="O118">fnInterp(N118,$F$33:$F$39,$G$33:$G$39)</f>
        <v>1</v>
      </c>
      <c r="P118" cm="1">
        <f t="array" ref="P118">fnInterp(N118,$F$23:$F$29,$G$23:$G$29)</f>
        <v>1</v>
      </c>
      <c r="Q118" cm="1">
        <f t="array" ref="Q118">fnInterp(N118,$J$33:$J$39,$K$33:$K$39)</f>
        <v>1</v>
      </c>
      <c r="R118">
        <f t="shared" si="6"/>
        <v>0</v>
      </c>
      <c r="S118">
        <f t="shared" si="7"/>
        <v>0</v>
      </c>
      <c r="T118">
        <f t="shared" si="8"/>
        <v>0</v>
      </c>
    </row>
    <row r="119" spans="14:20" x14ac:dyDescent="0.25">
      <c r="N119">
        <v>1393</v>
      </c>
      <c r="O119" cm="1">
        <f t="array" ref="O119">fnInterp(N119,$F$33:$F$39,$G$33:$G$39)</f>
        <v>1</v>
      </c>
      <c r="P119" cm="1">
        <f t="array" ref="P119">fnInterp(N119,$F$23:$F$29,$G$23:$G$29)</f>
        <v>1</v>
      </c>
      <c r="Q119" cm="1">
        <f t="array" ref="Q119">fnInterp(N119,$J$33:$J$39,$K$33:$K$39)</f>
        <v>1</v>
      </c>
      <c r="R119">
        <f t="shared" si="6"/>
        <v>0</v>
      </c>
      <c r="S119">
        <f t="shared" si="7"/>
        <v>0</v>
      </c>
      <c r="T119">
        <f t="shared" si="8"/>
        <v>0</v>
      </c>
    </row>
    <row r="120" spans="14:20" x14ac:dyDescent="0.25">
      <c r="N120">
        <v>1396</v>
      </c>
      <c r="O120" cm="1">
        <f t="array" ref="O120">fnInterp(N120,$F$33:$F$39,$G$33:$G$39)</f>
        <v>1</v>
      </c>
      <c r="P120" cm="1">
        <f t="array" ref="P120">fnInterp(N120,$F$23:$F$29,$G$23:$G$29)</f>
        <v>1</v>
      </c>
      <c r="Q120" cm="1">
        <f t="array" ref="Q120">fnInterp(N120,$J$33:$J$39,$K$33:$K$39)</f>
        <v>1</v>
      </c>
      <c r="R120">
        <f t="shared" si="6"/>
        <v>0</v>
      </c>
      <c r="S120">
        <f t="shared" si="7"/>
        <v>0</v>
      </c>
      <c r="T120">
        <f t="shared" si="8"/>
        <v>0</v>
      </c>
    </row>
    <row r="121" spans="14:20" x14ac:dyDescent="0.25">
      <c r="N121">
        <v>1399</v>
      </c>
      <c r="O121" cm="1">
        <f t="array" ref="O121">fnInterp(N121,$F$33:$F$39,$G$33:$G$39)</f>
        <v>1</v>
      </c>
      <c r="P121" cm="1">
        <f t="array" ref="P121">fnInterp(N121,$F$23:$F$29,$G$23:$G$29)</f>
        <v>1</v>
      </c>
      <c r="Q121" cm="1">
        <f t="array" ref="Q121">fnInterp(N121,$J$33:$J$39,$K$33:$K$39)</f>
        <v>1</v>
      </c>
      <c r="R121">
        <f t="shared" si="6"/>
        <v>0</v>
      </c>
      <c r="S121">
        <f t="shared" si="7"/>
        <v>0</v>
      </c>
      <c r="T121">
        <f t="shared" si="8"/>
        <v>0</v>
      </c>
    </row>
    <row r="122" spans="14:20" x14ac:dyDescent="0.25">
      <c r="N122">
        <v>1402</v>
      </c>
      <c r="O122" cm="1">
        <f t="array" ref="O122">fnInterp(N122,$F$33:$F$39,$G$33:$G$39)</f>
        <v>1</v>
      </c>
      <c r="P122" cm="1">
        <f t="array" ref="P122">fnInterp(N122,$F$23:$F$29,$G$23:$G$29)</f>
        <v>1</v>
      </c>
      <c r="Q122" cm="1">
        <f t="array" ref="Q122">fnInterp(N122,$J$33:$J$39,$K$33:$K$39)</f>
        <v>1</v>
      </c>
      <c r="R122">
        <f t="shared" si="6"/>
        <v>0</v>
      </c>
      <c r="S122">
        <f t="shared" si="7"/>
        <v>0</v>
      </c>
      <c r="T122">
        <f t="shared" si="8"/>
        <v>0</v>
      </c>
    </row>
    <row r="123" spans="14:20" x14ac:dyDescent="0.25">
      <c r="N123">
        <v>1405</v>
      </c>
      <c r="O123" cm="1">
        <f t="array" ref="O123">fnInterp(N123,$F$33:$F$39,$G$33:$G$39)</f>
        <v>1</v>
      </c>
      <c r="P123" cm="1">
        <f t="array" ref="P123">fnInterp(N123,$F$23:$F$29,$G$23:$G$29)</f>
        <v>1</v>
      </c>
      <c r="Q123" cm="1">
        <f t="array" ref="Q123">fnInterp(N123,$J$33:$J$39,$K$33:$K$39)</f>
        <v>1</v>
      </c>
      <c r="R123">
        <f t="shared" si="6"/>
        <v>0</v>
      </c>
      <c r="S123">
        <f t="shared" si="7"/>
        <v>0</v>
      </c>
      <c r="T123">
        <f t="shared" si="8"/>
        <v>0</v>
      </c>
    </row>
    <row r="124" spans="14:20" x14ac:dyDescent="0.25">
      <c r="N124">
        <v>1408</v>
      </c>
      <c r="O124" cm="1">
        <f t="array" ref="O124">fnInterp(N124,$F$33:$F$39,$G$33:$G$39)</f>
        <v>1</v>
      </c>
      <c r="P124" cm="1">
        <f t="array" ref="P124">fnInterp(N124,$F$23:$F$29,$G$23:$G$29)</f>
        <v>1</v>
      </c>
      <c r="Q124" cm="1">
        <f t="array" ref="Q124">fnInterp(N124,$J$33:$J$39,$K$33:$K$39)</f>
        <v>1</v>
      </c>
      <c r="R124">
        <f t="shared" si="6"/>
        <v>0</v>
      </c>
      <c r="S124">
        <f t="shared" si="7"/>
        <v>0</v>
      </c>
      <c r="T124">
        <f t="shared" si="8"/>
        <v>0</v>
      </c>
    </row>
    <row r="125" spans="14:20" x14ac:dyDescent="0.25">
      <c r="N125">
        <v>1411</v>
      </c>
      <c r="O125" cm="1">
        <f t="array" ref="O125">fnInterp(N125,$F$33:$F$39,$G$33:$G$39)</f>
        <v>1</v>
      </c>
      <c r="P125" cm="1">
        <f t="array" ref="P125">fnInterp(N125,$F$23:$F$29,$G$23:$G$29)</f>
        <v>1</v>
      </c>
      <c r="Q125" cm="1">
        <f t="array" ref="Q125">fnInterp(N125,$J$33:$J$39,$K$33:$K$39)</f>
        <v>1</v>
      </c>
      <c r="R125">
        <f t="shared" si="6"/>
        <v>0</v>
      </c>
      <c r="S125">
        <f t="shared" si="7"/>
        <v>0</v>
      </c>
      <c r="T125">
        <f t="shared" si="8"/>
        <v>0</v>
      </c>
    </row>
    <row r="126" spans="14:20" x14ac:dyDescent="0.25">
      <c r="N126">
        <v>1414</v>
      </c>
      <c r="O126" cm="1">
        <f t="array" ref="O126">fnInterp(N126,$F$33:$F$39,$G$33:$G$39)</f>
        <v>1</v>
      </c>
      <c r="P126" cm="1">
        <f t="array" ref="P126">fnInterp(N126,$F$23:$F$29,$G$23:$G$29)</f>
        <v>1</v>
      </c>
      <c r="Q126" cm="1">
        <f t="array" ref="Q126">fnInterp(N126,$J$33:$J$39,$K$33:$K$39)</f>
        <v>1</v>
      </c>
      <c r="R126">
        <f t="shared" si="6"/>
        <v>0</v>
      </c>
      <c r="S126">
        <f t="shared" si="7"/>
        <v>0</v>
      </c>
      <c r="T126">
        <f t="shared" si="8"/>
        <v>0</v>
      </c>
    </row>
    <row r="127" spans="14:20" x14ac:dyDescent="0.25">
      <c r="N127">
        <v>1417</v>
      </c>
      <c r="O127" cm="1">
        <f t="array" ref="O127">fnInterp(N127,$F$33:$F$39,$G$33:$G$39)</f>
        <v>1</v>
      </c>
      <c r="P127" cm="1">
        <f t="array" ref="P127">fnInterp(N127,$F$23:$F$29,$G$23:$G$29)</f>
        <v>1</v>
      </c>
      <c r="Q127" cm="1">
        <f t="array" ref="Q127">fnInterp(N127,$J$33:$J$39,$K$33:$K$39)</f>
        <v>1</v>
      </c>
      <c r="R127">
        <f t="shared" si="6"/>
        <v>0</v>
      </c>
      <c r="S127">
        <f t="shared" si="7"/>
        <v>0</v>
      </c>
      <c r="T127">
        <f t="shared" si="8"/>
        <v>0</v>
      </c>
    </row>
    <row r="128" spans="14:20" x14ac:dyDescent="0.25">
      <c r="N128">
        <v>1420</v>
      </c>
      <c r="O128" cm="1">
        <f t="array" ref="O128">fnInterp(N128,$F$33:$F$39,$G$33:$G$39)</f>
        <v>1</v>
      </c>
      <c r="P128" cm="1">
        <f t="array" ref="P128">fnInterp(N128,$F$23:$F$29,$G$23:$G$29)</f>
        <v>1</v>
      </c>
      <c r="Q128" cm="1">
        <f t="array" ref="Q128">fnInterp(N128,$J$33:$J$39,$K$33:$K$39)</f>
        <v>1</v>
      </c>
      <c r="R128">
        <f t="shared" si="6"/>
        <v>0</v>
      </c>
      <c r="S128">
        <f t="shared" si="7"/>
        <v>0</v>
      </c>
      <c r="T128">
        <f t="shared" si="8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C14"/>
  <sheetViews>
    <sheetView workbookViewId="0">
      <selection activeCell="B8" sqref="B8:B14"/>
    </sheetView>
  </sheetViews>
  <sheetFormatPr defaultRowHeight="13.2" x14ac:dyDescent="0.25"/>
  <cols>
    <col min="2" max="2" width="20.1093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35</v>
      </c>
      <c r="C2" s="2"/>
    </row>
    <row r="3" spans="1:3" x14ac:dyDescent="0.25">
      <c r="A3" s="1" t="s">
        <v>3</v>
      </c>
      <c r="B3" s="2" t="str" cm="1">
        <f t="array" aca="1" ref="B3" ca="1">HD_Date</f>
        <v>10-Apr-2024</v>
      </c>
      <c r="C3" s="2"/>
    </row>
    <row r="7" spans="1:3" ht="13.8" x14ac:dyDescent="0.25">
      <c r="B7" s="14" t="s">
        <v>27</v>
      </c>
    </row>
    <row r="8" spans="1:3" ht="13.8" x14ac:dyDescent="0.25">
      <c r="B8" s="14" t="s">
        <v>28</v>
      </c>
    </row>
    <row r="9" spans="1:3" ht="13.8" x14ac:dyDescent="0.25">
      <c r="B9" s="14" t="s">
        <v>29</v>
      </c>
    </row>
    <row r="10" spans="1:3" ht="13.8" x14ac:dyDescent="0.25">
      <c r="B10" s="14" t="s">
        <v>30</v>
      </c>
    </row>
    <row r="11" spans="1:3" ht="13.8" x14ac:dyDescent="0.25">
      <c r="B11" s="14" t="s">
        <v>31</v>
      </c>
    </row>
    <row r="12" spans="1:3" ht="13.8" x14ac:dyDescent="0.25">
      <c r="B12" s="14" t="s">
        <v>32</v>
      </c>
    </row>
    <row r="13" spans="1:3" ht="13.8" x14ac:dyDescent="0.25">
      <c r="B13" s="14" t="s">
        <v>33</v>
      </c>
    </row>
    <row r="14" spans="1:3" ht="13.8" x14ac:dyDescent="0.25">
      <c r="B14" s="1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J11" sqref="J11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10-Apr-2024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10-Apr-2024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D003A-EE8E-4F46-AB03-9678170D9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Z22A</vt:lpstr>
      <vt:lpstr>Accu60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2024-04-10T19:47:40Z</dcterms:modified>
</cp:coreProperties>
</file>