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24226"/>
  <mc:AlternateContent xmlns:mc="http://schemas.openxmlformats.org/markup-compatibility/2006">
    <mc:Choice Requires="x15">
      <x15ac:absPath xmlns:x15ac="http://schemas.microsoft.com/office/spreadsheetml/2010/11/ac" url="https://starkeyhearingtechnologies-my.sharepoint.com/personal/mark_biegert_starkey_com/Documents/Desktop/Toss/"/>
    </mc:Choice>
  </mc:AlternateContent>
  <xr:revisionPtr revIDLastSave="0" documentId="8_{AB2F5E7C-D513-4BE3-A180-4D8D12BF7B9E}" xr6:coauthVersionLast="47" xr6:coauthVersionMax="47" xr10:uidLastSave="{00000000-0000-0000-0000-000000000000}"/>
  <bookViews>
    <workbookView xWindow="-108" yWindow="-108" windowWidth="23256" windowHeight="12576" tabRatio="590" firstSheet="14" activeTab="15" xr2:uid="{00000000-000D-0000-FFFF-FFFF00000000}"/>
  </bookViews>
  <sheets>
    <sheet name="Front" sheetId="10" r:id="rId1"/>
    <sheet name="Version" sheetId="65" r:id="rId2"/>
    <sheet name="Read First" sheetId="17" r:id="rId3"/>
    <sheet name="LEFT" sheetId="42" r:id="rId4"/>
    <sheet name="RIGHT" sheetId="43" r:id="rId5"/>
    <sheet name="LEN" sheetId="45" r:id="rId6"/>
    <sheet name="FIND" sheetId="46" r:id="rId7"/>
    <sheet name="MID" sheetId="44" r:id="rId8"/>
    <sheet name="SUBSTITUTE" sheetId="61" r:id="rId9"/>
    <sheet name="Exercise 1 " sheetId="47" r:id="rId10"/>
    <sheet name="Solution 1 " sheetId="48" r:id="rId11"/>
    <sheet name="TEXTSPLIT" sheetId="59" r:id="rId12"/>
    <sheet name="TEXTBEFORE &amp; TEXTAFTER" sheetId="60" r:id="rId13"/>
    <sheet name="Exercise 2 " sheetId="49" r:id="rId14"/>
    <sheet name="Solution 2 " sheetId="50" r:id="rId15"/>
    <sheet name="XLOOKUP" sheetId="4" r:id="rId16"/>
    <sheet name="Exercise 3 " sheetId="26" r:id="rId17"/>
    <sheet name="Solution 3 " sheetId="27" r:id="rId18"/>
    <sheet name="Exercise 4 " sheetId="28" r:id="rId19"/>
    <sheet name="Solution 4 " sheetId="29" r:id="rId20"/>
    <sheet name="Exercise 5" sheetId="30" r:id="rId21"/>
    <sheet name="Inputs" sheetId="32" r:id="rId22"/>
    <sheet name="Solution 5 " sheetId="31" r:id="rId23"/>
    <sheet name="INDEX" sheetId="21" r:id="rId24"/>
    <sheet name="MATCH" sheetId="22" r:id="rId25"/>
    <sheet name="INDEX MATCH" sheetId="23" r:id="rId26"/>
    <sheet name="INDEX 2D" sheetId="24" r:id="rId27"/>
    <sheet name="INDEX MATCH MATCH" sheetId="25" r:id="rId28"/>
    <sheet name="Exercise 6 " sheetId="40" r:id="rId29"/>
    <sheet name="Inputs_2" sheetId="62" r:id="rId30"/>
    <sheet name="Solution 6 " sheetId="41" r:id="rId31"/>
    <sheet name="SUMIFS" sheetId="33" r:id="rId32"/>
    <sheet name="COUNTIFS" sheetId="34" r:id="rId33"/>
    <sheet name="SUMPRODUCT" sheetId="35" r:id="rId34"/>
    <sheet name="Exercise 7 " sheetId="36" r:id="rId35"/>
    <sheet name="Solution 7" sheetId="38" r:id="rId36"/>
    <sheet name="Exercise 8" sheetId="37" r:id="rId37"/>
    <sheet name="Solution 8" sheetId="39" r:id="rId38"/>
    <sheet name="MOD" sheetId="51" r:id="rId39"/>
    <sheet name="QUOTIENT" sheetId="52" r:id="rId40"/>
    <sheet name="INT" sheetId="53" r:id="rId41"/>
    <sheet name="ROUND+" sheetId="64" r:id="rId42"/>
    <sheet name="OFFSET" sheetId="57" r:id="rId43"/>
    <sheet name="INDIRECT" sheetId="58" r:id="rId44"/>
    <sheet name="Flags" sheetId="54" r:id="rId45"/>
    <sheet name="BATTLE FOCUS" sheetId="63" r:id="rId46"/>
  </sheets>
  <definedNames>
    <definedName name="_xlnm._FilterDatabase" localSheetId="32" hidden="1">COUNTIFS!$C$21:$F$75</definedName>
    <definedName name="_xlnm._FilterDatabase" localSheetId="34" hidden="1">'Exercise 7 '!$C$5:$F$33</definedName>
    <definedName name="_xlnm._FilterDatabase" localSheetId="36" hidden="1">'Exercise 8'!#REF!</definedName>
    <definedName name="_xlnm._FilterDatabase" localSheetId="35" hidden="1">'Solution 7'!$C$5:$F$33</definedName>
    <definedName name="_xlnm._FilterDatabase" localSheetId="37" hidden="1">'Solution 8'!#REF!</definedName>
    <definedName name="_xlnm._FilterDatabase" localSheetId="31" hidden="1">SUMIFS!$C$22:$F$76</definedName>
    <definedName name="_xlnm._FilterDatabase" localSheetId="33" hidden="1">SUMPRODUCT!$C$22:$F$76</definedName>
    <definedName name="Bakery_1" localSheetId="41">tbl_StaffBakery1[Bakery_1]</definedName>
    <definedName name="Bakery_1" localSheetId="1">tbl_StaffBakery1[Bakery_1]</definedName>
    <definedName name="Bakery_1">tbl_StaffBakery1[Bakery_1]</definedName>
    <definedName name="Bakery_2" localSheetId="41">tbl_StaffBakery2[Bakery_2]</definedName>
    <definedName name="Bakery_2" localSheetId="1">tbl_StaffBakery2[Bakery_2]</definedName>
    <definedName name="Bakery_2">tbl_StaffBakery2[Bakery_2]</definedName>
    <definedName name="Bakery_3" localSheetId="41">tbl_StaffBakery3[Bakery_3]</definedName>
    <definedName name="Bakery_3" localSheetId="1">tbl_StaffBakery3[Bakery_3]</definedName>
    <definedName name="Bakery_3">tbl_StaffBakery3[Bakery_3]</definedName>
    <definedName name="Bakery_A">INDIRECT!$D$37:$F$37</definedName>
    <definedName name="Bakery_B">INDIRECT!$D$38:$F$38</definedName>
    <definedName name="Bakery_C">INDIRECT!$D$39:$F$39</definedName>
    <definedName name="Bakery_D">INDIRECT!$D$40:$F$40</definedName>
    <definedName name="Bakery_E">INDIRECT!$D$41:$F$41</definedName>
    <definedName name="Product_1">INDIRECT!$D$19</definedName>
    <definedName name="Product_2">INDIRECT!$D$20</definedName>
    <definedName name="Product_3">INDIRECT!$D$21</definedName>
    <definedName name="Product_4">INDIRECT!$D$22</definedName>
  </definedName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1" i="44" l="1" a="1"/>
  <c r="C101" i="44" s="1"/>
  <c r="G44" i="45" a="1"/>
  <c r="G44" i="45" s="1"/>
  <c r="D46" i="63" a="1"/>
  <c r="D46" i="63" s="1"/>
  <c r="E244" i="34"/>
  <c r="K146" i="44" a="1"/>
  <c r="K146" i="44" s="1"/>
  <c r="G41" i="46"/>
  <c r="G40" i="46"/>
  <c r="G38" i="46"/>
  <c r="G37" i="46"/>
  <c r="G31" i="46"/>
  <c r="G27" i="46"/>
  <c r="G18" i="46"/>
  <c r="K69" i="45" a="1"/>
  <c r="K69" i="45" s="1"/>
  <c r="G72" i="43"/>
  <c r="K69" i="43" a="1"/>
  <c r="K69" i="43" s="1"/>
  <c r="L69" i="42" a="1"/>
  <c r="L69" i="42" s="1"/>
  <c r="E35" i="64"/>
  <c r="E34" i="64"/>
  <c r="E33" i="64"/>
  <c r="E32" i="64"/>
  <c r="E31" i="64"/>
  <c r="E30" i="64"/>
  <c r="E28" i="64"/>
  <c r="E29" i="64"/>
  <c r="F101" i="44"/>
  <c r="F31" i="64"/>
  <c r="L69" i="43"/>
  <c r="F29" i="64"/>
  <c r="F32" i="64"/>
  <c r="F28" i="64"/>
  <c r="F33" i="64"/>
  <c r="I72" i="42"/>
  <c r="I71" i="42"/>
  <c r="F30" i="64"/>
  <c r="I38" i="46"/>
  <c r="I37" i="46"/>
  <c r="I70" i="42"/>
  <c r="F34" i="64"/>
  <c r="L96" i="63"/>
  <c r="I41" i="46"/>
  <c r="F35" i="64"/>
  <c r="I31" i="46"/>
  <c r="L146" i="44"/>
  <c r="I40" i="46"/>
  <c r="L69" i="45"/>
  <c r="F32" i="51" l="1"/>
  <c r="F39" i="51" s="1"/>
  <c r="F53" i="51"/>
  <c r="F54" i="51" s="1" a="1"/>
  <c r="F54" i="51" s="1"/>
  <c r="F53" i="51" a="1"/>
  <c r="E297" i="33" a="1"/>
  <c r="E297" i="33" s="1"/>
  <c r="H297" i="33" s="1" a="1"/>
  <c r="H297" i="33" s="1"/>
  <c r="H300" i="33" s="1"/>
  <c r="F153" i="33" a="1"/>
  <c r="F153" i="33" s="1"/>
  <c r="F156" i="33" s="1"/>
  <c r="F145" i="33" a="1"/>
  <c r="F145" i="33" s="1"/>
  <c r="F148" i="33" s="1"/>
  <c r="F135" i="33" a="1"/>
  <c r="F135" i="33" s="1"/>
  <c r="F141" i="33" s="1"/>
  <c r="D62" i="24" a="1"/>
  <c r="D62" i="24" s="1"/>
  <c r="D55" i="24" a="1"/>
  <c r="D55" i="24" s="1"/>
  <c r="D47" i="24" a="1"/>
  <c r="D47" i="24" s="1"/>
  <c r="I62" i="24"/>
  <c r="I47" i="24"/>
  <c r="H145" i="33"/>
  <c r="I55" i="24"/>
  <c r="H156" i="33"/>
  <c r="H153" i="33"/>
  <c r="H148" i="33"/>
  <c r="H135" i="33"/>
  <c r="H141" i="33"/>
  <c r="F44" i="51" l="1"/>
  <c r="F38" i="51"/>
  <c r="F43" i="51"/>
  <c r="F55" i="51" a="1"/>
  <c r="F55" i="51" s="1"/>
  <c r="E300" i="33" a="1"/>
  <c r="E300" i="33" s="1"/>
  <c r="G19" i="29" l="1"/>
  <c r="C270" i="4" a="1"/>
  <c r="C270" i="4" s="1"/>
  <c r="C254" i="4" a="1"/>
  <c r="C254" i="4" s="1"/>
  <c r="G75" i="44"/>
  <c r="I75" i="44"/>
  <c r="I270" i="4"/>
  <c r="E75" i="44"/>
  <c r="I254" i="4"/>
  <c r="F119" i="44"/>
  <c r="C75" i="44"/>
  <c r="I36" i="24"/>
  <c r="C109" i="63" l="1" a="1"/>
  <c r="C109" i="63" s="1"/>
  <c r="E109" i="63" s="1" a="1"/>
  <c r="E109" i="63" s="1"/>
  <c r="G109" i="63" s="1" a="1"/>
  <c r="G109" i="63" s="1"/>
  <c r="H109" i="63" s="1" a="1"/>
  <c r="H109" i="63" s="1"/>
  <c r="C96" i="63" a="1"/>
  <c r="C96" i="63" s="1"/>
  <c r="D109" i="63" a="1"/>
  <c r="D109" i="63" s="1"/>
  <c r="J70" i="63"/>
  <c r="I70" i="63"/>
  <c r="H70" i="63"/>
  <c r="G70" i="63"/>
  <c r="F70" i="63"/>
  <c r="E70" i="63"/>
  <c r="D70" i="63"/>
  <c r="C70" i="63"/>
  <c r="J69" i="63"/>
  <c r="I69" i="63"/>
  <c r="H69" i="63"/>
  <c r="G69" i="63"/>
  <c r="F69" i="63"/>
  <c r="E69" i="63"/>
  <c r="D69" i="63"/>
  <c r="C69" i="63"/>
  <c r="J68" i="63"/>
  <c r="I68" i="63"/>
  <c r="H68" i="63"/>
  <c r="G68" i="63"/>
  <c r="F68" i="63"/>
  <c r="E68" i="63"/>
  <c r="D68" i="63"/>
  <c r="C68" i="63"/>
  <c r="J67" i="63"/>
  <c r="I67" i="63"/>
  <c r="H67" i="63"/>
  <c r="G67" i="63"/>
  <c r="F67" i="63"/>
  <c r="E67" i="63"/>
  <c r="D67" i="63"/>
  <c r="C67" i="63"/>
  <c r="J66" i="63"/>
  <c r="I66" i="63"/>
  <c r="H66" i="63"/>
  <c r="G66" i="63"/>
  <c r="F66" i="63"/>
  <c r="E66" i="63"/>
  <c r="D66" i="63"/>
  <c r="C66" i="63"/>
  <c r="J65" i="63"/>
  <c r="I65" i="63"/>
  <c r="H65" i="63"/>
  <c r="G65" i="63"/>
  <c r="F65" i="63"/>
  <c r="E65" i="63"/>
  <c r="D65" i="63"/>
  <c r="C65" i="63"/>
  <c r="J64" i="63"/>
  <c r="I64" i="63"/>
  <c r="H64" i="63"/>
  <c r="G64" i="63"/>
  <c r="F64" i="63"/>
  <c r="E64" i="63"/>
  <c r="D64" i="63"/>
  <c r="C64" i="63"/>
  <c r="J63" i="63"/>
  <c r="I63" i="63"/>
  <c r="F79" i="63" s="1" a="1"/>
  <c r="F79" i="63" s="1"/>
  <c r="H63" i="63"/>
  <c r="G63" i="63"/>
  <c r="F63" i="63"/>
  <c r="E63" i="63"/>
  <c r="D63" i="63"/>
  <c r="C63" i="63"/>
  <c r="D87" i="63"/>
  <c r="D45" i="63" a="1"/>
  <c r="D45" i="63" s="1"/>
  <c r="D86" i="63" s="1"/>
  <c r="D44" i="63" a="1"/>
  <c r="D44" i="63" s="1"/>
  <c r="D85" i="63" s="1"/>
  <c r="J78" i="63"/>
  <c r="I45" i="63"/>
  <c r="J77" i="63"/>
  <c r="I46" i="63"/>
  <c r="I44" i="63"/>
  <c r="J79" i="63"/>
  <c r="F87" i="63" l="1"/>
  <c r="F109" i="63" a="1"/>
  <c r="F109" i="63" s="1"/>
  <c r="I109" i="63" s="1" a="1"/>
  <c r="I109" i="63" s="1"/>
  <c r="J109" i="63" s="1" a="1"/>
  <c r="F85" i="63"/>
  <c r="E87" i="63"/>
  <c r="G87" i="63"/>
  <c r="G85" i="63"/>
  <c r="E86" i="63"/>
  <c r="D79" i="63" a="1"/>
  <c r="D79" i="63" s="1"/>
  <c r="F86" i="63"/>
  <c r="G79" i="63" a="1"/>
  <c r="G79" i="63" s="1"/>
  <c r="E85" i="63"/>
  <c r="E79" i="63" a="1"/>
  <c r="E79" i="63" s="1"/>
  <c r="G86" i="63"/>
  <c r="E78" i="63" a="1"/>
  <c r="E78" i="63" s="1"/>
  <c r="F78" i="63" a="1"/>
  <c r="F78" i="63" s="1"/>
  <c r="G78" i="63" a="1"/>
  <c r="G78" i="63" s="1"/>
  <c r="D78" i="63" a="1"/>
  <c r="D78" i="63" s="1"/>
  <c r="F77" i="63" a="1"/>
  <c r="F77" i="63" s="1"/>
  <c r="E77" i="63" a="1"/>
  <c r="E77" i="63" s="1"/>
  <c r="D77" i="63" a="1"/>
  <c r="D77" i="63" s="1"/>
  <c r="G77" i="63" a="1"/>
  <c r="G77" i="63" s="1"/>
  <c r="F35" i="52"/>
  <c r="AF35" i="52"/>
  <c r="AE35" i="52"/>
  <c r="AD35" i="52"/>
  <c r="AC35" i="52"/>
  <c r="AB35" i="52"/>
  <c r="AA35" i="52"/>
  <c r="Z35" i="52"/>
  <c r="Y35" i="52"/>
  <c r="X35" i="52"/>
  <c r="W35" i="52"/>
  <c r="V35" i="52"/>
  <c r="U35" i="52"/>
  <c r="T35" i="52"/>
  <c r="S35" i="52"/>
  <c r="R35" i="52"/>
  <c r="Q35" i="52"/>
  <c r="P35" i="52"/>
  <c r="O35" i="52"/>
  <c r="N35" i="52"/>
  <c r="M35" i="52"/>
  <c r="L35" i="52"/>
  <c r="K35" i="52"/>
  <c r="J35" i="52"/>
  <c r="I35" i="52"/>
  <c r="H35" i="52"/>
  <c r="G35" i="52"/>
  <c r="H34" i="39" a="1"/>
  <c r="H34" i="39" s="1"/>
  <c r="H33" i="39" a="1"/>
  <c r="H33" i="39" s="1"/>
  <c r="H28" i="39"/>
  <c r="H28" i="39" a="1"/>
  <c r="H27" i="39" a="1"/>
  <c r="H27" i="39" s="1"/>
  <c r="H26" i="39" a="1"/>
  <c r="H26" i="39" s="1"/>
  <c r="H25" i="39" a="1"/>
  <c r="H25" i="39" s="1"/>
  <c r="H24" i="39" a="1"/>
  <c r="H24" i="39" s="1"/>
  <c r="H23" i="39" a="1"/>
  <c r="H23" i="39" s="1"/>
  <c r="H22" i="39"/>
  <c r="H22" i="39" a="1"/>
  <c r="H21" i="39"/>
  <c r="H21" i="39" a="1"/>
  <c r="H20" i="39" a="1"/>
  <c r="H20" i="39" s="1"/>
  <c r="H19" i="39" a="1"/>
  <c r="H19" i="39" s="1"/>
  <c r="G217" i="35" a="1"/>
  <c r="G217" i="35" s="1"/>
  <c r="G216" i="35" a="1"/>
  <c r="G216" i="35" s="1"/>
  <c r="K37" i="35" a="1"/>
  <c r="K37" i="35" s="1"/>
  <c r="K32" i="35" a="1"/>
  <c r="K32" i="35" s="1"/>
  <c r="G210" i="35" a="1"/>
  <c r="G210" i="35" s="1"/>
  <c r="D47" i="61"/>
  <c r="D46" i="61"/>
  <c r="D45" i="61"/>
  <c r="D44" i="61"/>
  <c r="D43" i="61"/>
  <c r="D42" i="61"/>
  <c r="G205" i="35" a="1"/>
  <c r="G205" i="35" s="1"/>
  <c r="I217" i="35"/>
  <c r="L32" i="35"/>
  <c r="F42" i="61"/>
  <c r="F45" i="61"/>
  <c r="I205" i="35"/>
  <c r="F44" i="61"/>
  <c r="I216" i="35"/>
  <c r="F46" i="61"/>
  <c r="L37" i="35"/>
  <c r="F47" i="61"/>
  <c r="I210" i="35"/>
  <c r="F43" i="61"/>
  <c r="H78" i="63" l="1"/>
  <c r="H86" i="63"/>
  <c r="H87" i="63"/>
  <c r="J109" i="63"/>
  <c r="H85" i="63"/>
  <c r="H77" i="63"/>
  <c r="H79" i="63"/>
  <c r="H35" i="39"/>
  <c r="H29" i="39"/>
  <c r="G242" i="41"/>
  <c r="J242" i="41" s="1" a="1"/>
  <c r="J242" i="41" s="1"/>
  <c r="G241" i="41"/>
  <c r="I241" i="41" s="1" a="1"/>
  <c r="I241" i="41" s="1"/>
  <c r="G240" i="41"/>
  <c r="J240" i="41" s="1" a="1"/>
  <c r="J240" i="41" s="1"/>
  <c r="H239" i="41" a="1"/>
  <c r="H239" i="41" s="1"/>
  <c r="G239" i="41"/>
  <c r="J239" i="41" s="1" a="1"/>
  <c r="J239" i="41" s="1"/>
  <c r="G238" i="41"/>
  <c r="I238" i="41" s="1" a="1"/>
  <c r="I238" i="41" s="1"/>
  <c r="G237" i="41"/>
  <c r="H237" i="41" s="1" a="1"/>
  <c r="H237" i="41" s="1"/>
  <c r="J236" i="41" a="1"/>
  <c r="J236" i="41" s="1"/>
  <c r="I236" i="41"/>
  <c r="H236" i="41" a="1"/>
  <c r="H236" i="41" s="1"/>
  <c r="G236" i="41"/>
  <c r="I236" i="41" s="1" a="1"/>
  <c r="H235" i="41" a="1"/>
  <c r="H235" i="41" s="1"/>
  <c r="G235" i="41"/>
  <c r="J235" i="41" s="1" a="1"/>
  <c r="J235" i="41" s="1"/>
  <c r="H234" i="41" a="1"/>
  <c r="H234" i="41" s="1"/>
  <c r="G234" i="41"/>
  <c r="J234" i="41" s="1" a="1"/>
  <c r="J234" i="41" s="1"/>
  <c r="J233" i="41" a="1"/>
  <c r="J233" i="41" s="1"/>
  <c r="I233" i="41"/>
  <c r="I233" i="41" a="1"/>
  <c r="H233" i="41"/>
  <c r="H233" i="41" a="1"/>
  <c r="G233" i="41"/>
  <c r="J232" i="41" a="1"/>
  <c r="J232" i="41" s="1"/>
  <c r="I232" i="41" a="1"/>
  <c r="I232" i="41" s="1"/>
  <c r="H232" i="41"/>
  <c r="H232" i="41" a="1"/>
  <c r="G232" i="41"/>
  <c r="G231" i="41"/>
  <c r="I231" i="41" s="1" a="1"/>
  <c r="I231" i="41" s="1"/>
  <c r="J230" i="41"/>
  <c r="J230" i="41" a="1"/>
  <c r="G230" i="41"/>
  <c r="I230" i="41" s="1" a="1"/>
  <c r="I230" i="41" s="1"/>
  <c r="J229" i="41"/>
  <c r="J229" i="41" a="1"/>
  <c r="I229" i="41" a="1"/>
  <c r="I229" i="41" s="1"/>
  <c r="G229" i="41"/>
  <c r="H229" i="41" s="1" a="1"/>
  <c r="H229" i="41" s="1"/>
  <c r="G228" i="41"/>
  <c r="G227" i="41"/>
  <c r="J226" i="41" a="1"/>
  <c r="J226" i="41" s="1"/>
  <c r="I226" i="41" a="1"/>
  <c r="I226" i="41" s="1"/>
  <c r="H226" i="41" a="1"/>
  <c r="H226" i="41" s="1"/>
  <c r="G226" i="41"/>
  <c r="G225" i="41"/>
  <c r="H224" i="41" a="1"/>
  <c r="H224" i="41" s="1"/>
  <c r="G224" i="41"/>
  <c r="J224" i="41" s="1" a="1"/>
  <c r="J224" i="41" s="1"/>
  <c r="J223" i="41" a="1"/>
  <c r="J223" i="41" s="1"/>
  <c r="I223" i="41"/>
  <c r="I223" i="41" a="1"/>
  <c r="H223" i="41"/>
  <c r="H223" i="41" a="1"/>
  <c r="G223" i="41"/>
  <c r="J222" i="41" a="1"/>
  <c r="J222" i="41" s="1"/>
  <c r="I222" i="41" a="1"/>
  <c r="I222" i="41" s="1"/>
  <c r="H222" i="41"/>
  <c r="H222" i="41" a="1"/>
  <c r="G222" i="41"/>
  <c r="G221" i="41"/>
  <c r="I221" i="41" s="1" a="1"/>
  <c r="I221" i="41" s="1"/>
  <c r="J220" i="41"/>
  <c r="J220" i="41" a="1"/>
  <c r="G220" i="41"/>
  <c r="I220" i="41" s="1" a="1"/>
  <c r="I220" i="41" s="1"/>
  <c r="J219" i="41"/>
  <c r="J219" i="41" a="1"/>
  <c r="I219" i="41" a="1"/>
  <c r="I219" i="41" s="1"/>
  <c r="G219" i="41"/>
  <c r="H219" i="41" s="1" a="1"/>
  <c r="H219" i="41" s="1"/>
  <c r="G218" i="41"/>
  <c r="G217" i="41"/>
  <c r="J216" i="41" a="1"/>
  <c r="J216" i="41" s="1"/>
  <c r="I216" i="41" a="1"/>
  <c r="I216" i="41" s="1"/>
  <c r="H216" i="41" a="1"/>
  <c r="H216" i="41" s="1"/>
  <c r="G216" i="41"/>
  <c r="G215" i="41"/>
  <c r="H214" i="41" a="1"/>
  <c r="H214" i="41" s="1"/>
  <c r="G214" i="41"/>
  <c r="J214" i="41" s="1" a="1"/>
  <c r="J214" i="41" s="1"/>
  <c r="J213" i="41" a="1"/>
  <c r="J213" i="41" s="1"/>
  <c r="I213" i="41"/>
  <c r="I213" i="41" a="1"/>
  <c r="H213" i="41"/>
  <c r="H213" i="41" a="1"/>
  <c r="G213" i="41"/>
  <c r="J212" i="41" a="1"/>
  <c r="J212" i="41" s="1"/>
  <c r="I212" i="41" a="1"/>
  <c r="I212" i="41" s="1"/>
  <c r="H212" i="41"/>
  <c r="H212" i="41" a="1"/>
  <c r="G212" i="41"/>
  <c r="G211" i="41"/>
  <c r="I211" i="41" s="1" a="1"/>
  <c r="I211" i="41" s="1"/>
  <c r="J210" i="41"/>
  <c r="J210" i="41" a="1"/>
  <c r="G210" i="41"/>
  <c r="I210" i="41" s="1" a="1"/>
  <c r="I210" i="41" s="1"/>
  <c r="J209" i="41"/>
  <c r="I209" i="41" a="1"/>
  <c r="I209" i="41" s="1"/>
  <c r="G209" i="41"/>
  <c r="J209" i="41" s="1" a="1"/>
  <c r="G208" i="41"/>
  <c r="I208" i="41" s="1" a="1"/>
  <c r="I208" i="41" s="1"/>
  <c r="G207" i="41"/>
  <c r="J206" i="41" a="1"/>
  <c r="J206" i="41" s="1"/>
  <c r="I206" i="41" a="1"/>
  <c r="I206" i="41" s="1"/>
  <c r="H206" i="41" a="1"/>
  <c r="H206" i="41" s="1"/>
  <c r="G206" i="41"/>
  <c r="G205" i="41"/>
  <c r="H204" i="41" a="1"/>
  <c r="H204" i="41" s="1"/>
  <c r="G204" i="41"/>
  <c r="J204" i="41" s="1" a="1"/>
  <c r="J204" i="41" s="1"/>
  <c r="J203" i="41" a="1"/>
  <c r="J203" i="41" s="1"/>
  <c r="I203" i="41"/>
  <c r="I203" i="41" a="1"/>
  <c r="G203" i="41"/>
  <c r="H203" i="41" s="1" a="1"/>
  <c r="H203" i="41" s="1"/>
  <c r="J202" i="41" a="1"/>
  <c r="J202" i="41" s="1"/>
  <c r="I202" i="41" a="1"/>
  <c r="I202" i="41" s="1"/>
  <c r="H202" i="41" a="1"/>
  <c r="H202" i="41" s="1"/>
  <c r="G202" i="41"/>
  <c r="G201" i="41"/>
  <c r="I201" i="41" s="1" a="1"/>
  <c r="I201" i="41" s="1"/>
  <c r="J200" i="41" a="1"/>
  <c r="J200" i="41" s="1"/>
  <c r="G200" i="41"/>
  <c r="I200" i="41" s="1" a="1"/>
  <c r="I200" i="41" s="1"/>
  <c r="I199" i="41" a="1"/>
  <c r="I199" i="41" s="1"/>
  <c r="G199" i="41"/>
  <c r="J199" i="41" s="1" a="1"/>
  <c r="J199" i="41" s="1"/>
  <c r="I198" i="41" a="1"/>
  <c r="I198" i="41" s="1"/>
  <c r="G198" i="41"/>
  <c r="G197" i="41"/>
  <c r="J196" i="41" a="1"/>
  <c r="J196" i="41" s="1"/>
  <c r="I196" i="41"/>
  <c r="I196" i="41" a="1"/>
  <c r="H196" i="41" a="1"/>
  <c r="H196" i="41" s="1"/>
  <c r="G196" i="41"/>
  <c r="H195" i="41" a="1"/>
  <c r="H195" i="41" s="1"/>
  <c r="G195" i="41"/>
  <c r="H194" i="41" a="1"/>
  <c r="H194" i="41" s="1"/>
  <c r="G194" i="41"/>
  <c r="J194" i="41" s="1" a="1"/>
  <c r="J194" i="41" s="1"/>
  <c r="J193" i="41" a="1"/>
  <c r="J193" i="41" s="1"/>
  <c r="I193" i="41"/>
  <c r="I193" i="41" a="1"/>
  <c r="G193" i="41"/>
  <c r="H193" i="41" s="1" a="1"/>
  <c r="H193" i="41" s="1"/>
  <c r="J192" i="41" a="1"/>
  <c r="J192" i="41" s="1"/>
  <c r="I192" i="41" a="1"/>
  <c r="I192" i="41" s="1"/>
  <c r="H192" i="41"/>
  <c r="H192" i="41" a="1"/>
  <c r="G192" i="41"/>
  <c r="G191" i="41"/>
  <c r="I191" i="41" s="1" a="1"/>
  <c r="I191" i="41" s="1"/>
  <c r="J190" i="41"/>
  <c r="J190" i="41" a="1"/>
  <c r="G190" i="41"/>
  <c r="I190" i="41" s="1" a="1"/>
  <c r="I190" i="41" s="1"/>
  <c r="I189" i="41" a="1"/>
  <c r="I189" i="41" s="1"/>
  <c r="G189" i="41"/>
  <c r="J189" i="41" s="1" a="1"/>
  <c r="J189" i="41" s="1"/>
  <c r="G188" i="41"/>
  <c r="G187" i="41"/>
  <c r="J186" i="41" a="1"/>
  <c r="J186" i="41" s="1"/>
  <c r="I186" i="41" a="1"/>
  <c r="I186" i="41" s="1"/>
  <c r="H186" i="41" a="1"/>
  <c r="H186" i="41" s="1"/>
  <c r="G186" i="41"/>
  <c r="G185" i="41"/>
  <c r="J184" i="41" a="1"/>
  <c r="J184" i="41" s="1"/>
  <c r="H184" i="41" a="1"/>
  <c r="H184" i="41" s="1"/>
  <c r="G184" i="41"/>
  <c r="I184" i="41" s="1" a="1"/>
  <c r="I184" i="41" s="1"/>
  <c r="J183" i="41" a="1"/>
  <c r="J183" i="41" s="1"/>
  <c r="I183" i="41"/>
  <c r="I183" i="41" a="1"/>
  <c r="H183" i="41"/>
  <c r="H183" i="41" a="1"/>
  <c r="G183" i="41"/>
  <c r="J182" i="41" a="1"/>
  <c r="J182" i="41" s="1"/>
  <c r="I182" i="41" a="1"/>
  <c r="I182" i="41" s="1"/>
  <c r="H182" i="41" a="1"/>
  <c r="H182" i="41" s="1"/>
  <c r="G182" i="41"/>
  <c r="G181" i="41"/>
  <c r="I181" i="41" s="1" a="1"/>
  <c r="I181" i="41" s="1"/>
  <c r="J180" i="41"/>
  <c r="J180" i="41" a="1"/>
  <c r="G180" i="41"/>
  <c r="I180" i="41" s="1" a="1"/>
  <c r="I180" i="41" s="1"/>
  <c r="I179" i="41" a="1"/>
  <c r="I179" i="41" s="1"/>
  <c r="G179" i="41"/>
  <c r="J179" i="41" s="1" a="1"/>
  <c r="J179" i="41" s="1"/>
  <c r="G178" i="41"/>
  <c r="G177" i="41"/>
  <c r="J176" i="41" a="1"/>
  <c r="J176" i="41" s="1"/>
  <c r="I176" i="41" a="1"/>
  <c r="I176" i="41" s="1"/>
  <c r="H176" i="41" a="1"/>
  <c r="H176" i="41" s="1"/>
  <c r="G176" i="41"/>
  <c r="G175" i="41"/>
  <c r="J174" i="41" a="1"/>
  <c r="J174" i="41" s="1"/>
  <c r="H174" i="41" a="1"/>
  <c r="H174" i="41" s="1"/>
  <c r="G174" i="41"/>
  <c r="I174" i="41" s="1" a="1"/>
  <c r="I174" i="41" s="1"/>
  <c r="J173" i="41" a="1"/>
  <c r="J173" i="41" s="1"/>
  <c r="I173" i="41"/>
  <c r="I173" i="41" a="1"/>
  <c r="G173" i="41"/>
  <c r="H173" i="41" s="1" a="1"/>
  <c r="H173" i="41" s="1"/>
  <c r="J172" i="41" a="1"/>
  <c r="J172" i="41" s="1"/>
  <c r="I172" i="41" a="1"/>
  <c r="I172" i="41" s="1"/>
  <c r="H172" i="41" a="1"/>
  <c r="H172" i="41" s="1"/>
  <c r="G172" i="41"/>
  <c r="G171" i="41"/>
  <c r="I171" i="41" s="1" a="1"/>
  <c r="I171" i="41" s="1"/>
  <c r="J170" i="41" a="1"/>
  <c r="J170" i="41" s="1"/>
  <c r="I170" i="41" a="1"/>
  <c r="I170" i="41" s="1"/>
  <c r="G170" i="41"/>
  <c r="H170" i="41" s="1" a="1"/>
  <c r="H170" i="41" s="1"/>
  <c r="I169" i="41" a="1"/>
  <c r="I169" i="41" s="1"/>
  <c r="G169" i="41"/>
  <c r="J169" i="41" s="1" a="1"/>
  <c r="J169" i="41" s="1"/>
  <c r="I168" i="41" a="1"/>
  <c r="I168" i="41" s="1"/>
  <c r="G168" i="41"/>
  <c r="G167" i="41"/>
  <c r="J166" i="41" a="1"/>
  <c r="J166" i="41" s="1"/>
  <c r="I166" i="41"/>
  <c r="I166" i="41" a="1"/>
  <c r="H166" i="41" a="1"/>
  <c r="H166" i="41" s="1"/>
  <c r="G166" i="41"/>
  <c r="H165" i="41" a="1"/>
  <c r="H165" i="41" s="1"/>
  <c r="G165" i="41"/>
  <c r="J164" i="41" a="1"/>
  <c r="J164" i="41" s="1"/>
  <c r="H164" i="41" a="1"/>
  <c r="H164" i="41" s="1"/>
  <c r="G164" i="41"/>
  <c r="I164" i="41" s="1" a="1"/>
  <c r="I164" i="41" s="1"/>
  <c r="J163" i="41" a="1"/>
  <c r="J163" i="41" s="1"/>
  <c r="I163" i="41"/>
  <c r="I163" i="41" a="1"/>
  <c r="G163" i="41"/>
  <c r="H163" i="41" s="1" a="1"/>
  <c r="H163" i="41" s="1"/>
  <c r="J162" i="41" a="1"/>
  <c r="J162" i="41" s="1"/>
  <c r="I162" i="41" a="1"/>
  <c r="I162" i="41" s="1"/>
  <c r="H162" i="41" a="1"/>
  <c r="H162" i="41" s="1"/>
  <c r="G162" i="41"/>
  <c r="G161" i="41"/>
  <c r="I161" i="41" s="1" a="1"/>
  <c r="I161" i="41" s="1"/>
  <c r="J160" i="41" a="1"/>
  <c r="J160" i="41" s="1"/>
  <c r="I160" i="41" a="1"/>
  <c r="I160" i="41" s="1"/>
  <c r="G160" i="41"/>
  <c r="H160" i="41" s="1" a="1"/>
  <c r="H160" i="41" s="1"/>
  <c r="J159" i="41"/>
  <c r="I159" i="41" a="1"/>
  <c r="I159" i="41" s="1"/>
  <c r="G159" i="41"/>
  <c r="J159" i="41" s="1" a="1"/>
  <c r="G158" i="41"/>
  <c r="G157" i="41"/>
  <c r="J156" i="41" a="1"/>
  <c r="J156" i="41" s="1"/>
  <c r="I156" i="41" a="1"/>
  <c r="I156" i="41" s="1"/>
  <c r="H156" i="41" a="1"/>
  <c r="H156" i="41" s="1"/>
  <c r="G156" i="41"/>
  <c r="G155" i="41"/>
  <c r="J154" i="41" a="1"/>
  <c r="J154" i="41" s="1"/>
  <c r="H154" i="41" a="1"/>
  <c r="H154" i="41" s="1"/>
  <c r="G154" i="41"/>
  <c r="I154" i="41" s="1" a="1"/>
  <c r="I154" i="41" s="1"/>
  <c r="J153" i="41" a="1"/>
  <c r="J153" i="41" s="1"/>
  <c r="I153" i="41"/>
  <c r="G153" i="41"/>
  <c r="I153" i="41" s="1" a="1"/>
  <c r="J152" i="41" a="1"/>
  <c r="J152" i="41" s="1"/>
  <c r="I152" i="41" a="1"/>
  <c r="I152" i="41" s="1"/>
  <c r="H152" i="41" a="1"/>
  <c r="H152" i="41" s="1"/>
  <c r="G152" i="41"/>
  <c r="G151" i="41"/>
  <c r="I151" i="41" s="1" a="1"/>
  <c r="I151" i="41" s="1"/>
  <c r="J150" i="41"/>
  <c r="J150" i="41" a="1"/>
  <c r="I150" i="41" a="1"/>
  <c r="I150" i="41" s="1"/>
  <c r="G150" i="41"/>
  <c r="H150" i="41" s="1" a="1"/>
  <c r="H150" i="41" s="1"/>
  <c r="J149" i="41"/>
  <c r="I149" i="41" a="1"/>
  <c r="I149" i="41" s="1"/>
  <c r="G149" i="41"/>
  <c r="J149" i="41" s="1" a="1"/>
  <c r="G148" i="41"/>
  <c r="G147" i="41"/>
  <c r="J146" i="41" a="1"/>
  <c r="J146" i="41" s="1"/>
  <c r="I146" i="41" a="1"/>
  <c r="I146" i="41" s="1"/>
  <c r="H146" i="41" a="1"/>
  <c r="H146" i="41" s="1"/>
  <c r="G146" i="41"/>
  <c r="G145" i="41"/>
  <c r="J144" i="41" a="1"/>
  <c r="J144" i="41" s="1"/>
  <c r="H144" i="41" a="1"/>
  <c r="H144" i="41" s="1"/>
  <c r="G144" i="41"/>
  <c r="I144" i="41" s="1" a="1"/>
  <c r="I144" i="41" s="1"/>
  <c r="J143" i="41" a="1"/>
  <c r="J143" i="41" s="1"/>
  <c r="G143" i="41"/>
  <c r="I143" i="41" s="1" a="1"/>
  <c r="I143" i="41" s="1"/>
  <c r="J142" i="41" a="1"/>
  <c r="J142" i="41" s="1"/>
  <c r="I142" i="41" a="1"/>
  <c r="I142" i="41" s="1"/>
  <c r="H142" i="41" a="1"/>
  <c r="H142" i="41" s="1"/>
  <c r="G142" i="41"/>
  <c r="G141" i="41"/>
  <c r="I141" i="41" s="1" a="1"/>
  <c r="I141" i="41" s="1"/>
  <c r="J140" i="41" a="1"/>
  <c r="J140" i="41" s="1"/>
  <c r="I140" i="41" a="1"/>
  <c r="I140" i="41" s="1"/>
  <c r="G140" i="41"/>
  <c r="H140" i="41" s="1" a="1"/>
  <c r="H140" i="41" s="1"/>
  <c r="I139" i="41" a="1"/>
  <c r="I139" i="41" s="1"/>
  <c r="G139" i="41"/>
  <c r="J139" i="41" s="1" a="1"/>
  <c r="J139" i="41" s="1"/>
  <c r="I138" i="41" a="1"/>
  <c r="I138" i="41" s="1"/>
  <c r="G138" i="41"/>
  <c r="G137" i="41"/>
  <c r="J136" i="41" a="1"/>
  <c r="J136" i="41" s="1"/>
  <c r="I136" i="41"/>
  <c r="I136" i="41" a="1"/>
  <c r="H136" i="41" a="1"/>
  <c r="H136" i="41" s="1"/>
  <c r="G136" i="41"/>
  <c r="H135" i="41" a="1"/>
  <c r="H135" i="41" s="1"/>
  <c r="G135" i="41"/>
  <c r="J134" i="41" a="1"/>
  <c r="J134" i="41" s="1"/>
  <c r="H134" i="41" a="1"/>
  <c r="H134" i="41" s="1"/>
  <c r="G134" i="41"/>
  <c r="I134" i="41" s="1" a="1"/>
  <c r="I134" i="41" s="1"/>
  <c r="J133" i="41" a="1"/>
  <c r="J133" i="41" s="1"/>
  <c r="H133" i="41"/>
  <c r="H133" i="41" a="1"/>
  <c r="G133" i="41"/>
  <c r="I133" i="41" s="1" a="1"/>
  <c r="I133" i="41" s="1"/>
  <c r="J132" i="41" a="1"/>
  <c r="J132" i="41" s="1"/>
  <c r="I132" i="41" a="1"/>
  <c r="I132" i="41" s="1"/>
  <c r="H132" i="41" a="1"/>
  <c r="H132" i="41" s="1"/>
  <c r="G132" i="41"/>
  <c r="G131" i="41"/>
  <c r="I131" i="41" s="1" a="1"/>
  <c r="I131" i="41" s="1"/>
  <c r="J130" i="41" a="1"/>
  <c r="J130" i="41" s="1"/>
  <c r="I130" i="41" a="1"/>
  <c r="I130" i="41" s="1"/>
  <c r="G130" i="41"/>
  <c r="H130" i="41" s="1" a="1"/>
  <c r="H130" i="41" s="1"/>
  <c r="I129" i="41" a="1"/>
  <c r="I129" i="41" s="1"/>
  <c r="G129" i="41"/>
  <c r="J129" i="41" s="1" a="1"/>
  <c r="J129" i="41" s="1"/>
  <c r="I128" i="41" a="1"/>
  <c r="I128" i="41" s="1"/>
  <c r="G128" i="41"/>
  <c r="G127" i="41"/>
  <c r="J126" i="41" a="1"/>
  <c r="J126" i="41" s="1"/>
  <c r="I126" i="41"/>
  <c r="I126" i="41" a="1"/>
  <c r="H126" i="41" a="1"/>
  <c r="H126" i="41" s="1"/>
  <c r="G126" i="41"/>
  <c r="H125" i="41" a="1"/>
  <c r="H125" i="41" s="1"/>
  <c r="G125" i="41"/>
  <c r="J124" i="41" a="1"/>
  <c r="J124" i="41" s="1"/>
  <c r="H124" i="41" a="1"/>
  <c r="H124" i="41" s="1"/>
  <c r="G124" i="41"/>
  <c r="I124" i="41" s="1" a="1"/>
  <c r="I124" i="41" s="1"/>
  <c r="J123" i="41" a="1"/>
  <c r="J123" i="41" s="1"/>
  <c r="H123" i="41"/>
  <c r="H123" i="41" a="1"/>
  <c r="G123" i="41"/>
  <c r="I123" i="41" s="1" a="1"/>
  <c r="I123" i="41" s="1"/>
  <c r="J122" i="41" a="1"/>
  <c r="J122" i="41" s="1"/>
  <c r="I122" i="41" a="1"/>
  <c r="I122" i="41" s="1"/>
  <c r="H122" i="41" a="1"/>
  <c r="H122" i="41" s="1"/>
  <c r="G122" i="41"/>
  <c r="G121" i="41"/>
  <c r="I121" i="41" s="1" a="1"/>
  <c r="I121" i="41" s="1"/>
  <c r="J120" i="41" a="1"/>
  <c r="J120" i="41" s="1"/>
  <c r="I120" i="41" a="1"/>
  <c r="I120" i="41" s="1"/>
  <c r="G120" i="41"/>
  <c r="H120" i="41" s="1" a="1"/>
  <c r="H120" i="41" s="1"/>
  <c r="I119" i="41" a="1"/>
  <c r="I119" i="41" s="1"/>
  <c r="G119" i="41"/>
  <c r="I118" i="41" a="1"/>
  <c r="I118" i="41" s="1"/>
  <c r="H118" i="41" a="1"/>
  <c r="H118" i="41" s="1"/>
  <c r="G118" i="41"/>
  <c r="J118" i="41" s="1" a="1"/>
  <c r="J118" i="41" s="1"/>
  <c r="G117" i="41"/>
  <c r="J116" i="41" a="1"/>
  <c r="J116" i="41" s="1"/>
  <c r="I116" i="41" a="1"/>
  <c r="I116" i="41" s="1"/>
  <c r="H116" i="41" a="1"/>
  <c r="H116" i="41" s="1"/>
  <c r="G116" i="41"/>
  <c r="I115" i="41" a="1"/>
  <c r="I115" i="41" s="1"/>
  <c r="H115" i="41"/>
  <c r="G115" i="41"/>
  <c r="H115" i="41" s="1" a="1"/>
  <c r="J114" i="41" a="1"/>
  <c r="J114" i="41" s="1"/>
  <c r="H114" i="41" a="1"/>
  <c r="H114" i="41" s="1"/>
  <c r="G114" i="41"/>
  <c r="I114" i="41" s="1" a="1"/>
  <c r="I114" i="41" s="1"/>
  <c r="J113" i="41" a="1"/>
  <c r="J113" i="41" s="1"/>
  <c r="I113" i="41"/>
  <c r="I113" i="41" a="1"/>
  <c r="H113" i="41"/>
  <c r="H113" i="41" a="1"/>
  <c r="G113" i="41"/>
  <c r="J112" i="41" a="1"/>
  <c r="J112" i="41" s="1"/>
  <c r="I112" i="41"/>
  <c r="I112" i="41" a="1"/>
  <c r="H112" i="41" a="1"/>
  <c r="H112" i="41" s="1"/>
  <c r="G112" i="41"/>
  <c r="G111" i="41"/>
  <c r="J111" i="41" s="1" a="1"/>
  <c r="J111" i="41" s="1"/>
  <c r="G110" i="41"/>
  <c r="G109" i="41"/>
  <c r="H109" i="41" s="1" a="1"/>
  <c r="H109" i="41" s="1"/>
  <c r="G108" i="41"/>
  <c r="G107" i="41"/>
  <c r="I107" i="41" s="1" a="1"/>
  <c r="I107" i="41" s="1"/>
  <c r="J106" i="41"/>
  <c r="J106" i="41" a="1"/>
  <c r="I106" i="41" a="1"/>
  <c r="I106" i="41" s="1"/>
  <c r="H106" i="41"/>
  <c r="H106" i="41" a="1"/>
  <c r="G106" i="41"/>
  <c r="G105" i="41"/>
  <c r="J104" i="41" a="1"/>
  <c r="J104" i="41" s="1"/>
  <c r="G104" i="41"/>
  <c r="I104" i="41" s="1" a="1"/>
  <c r="I104" i="41" s="1"/>
  <c r="J103" i="41" a="1"/>
  <c r="J103" i="41" s="1"/>
  <c r="I103" i="41"/>
  <c r="I103" i="41" a="1"/>
  <c r="H103" i="41"/>
  <c r="H103" i="41" a="1"/>
  <c r="G103" i="41"/>
  <c r="J102" i="41" a="1"/>
  <c r="J102" i="41" s="1"/>
  <c r="I102" i="41" a="1"/>
  <c r="I102" i="41" s="1"/>
  <c r="H102" i="41"/>
  <c r="H102" i="41" a="1"/>
  <c r="G102" i="41"/>
  <c r="J101" i="41" a="1"/>
  <c r="J101" i="41" s="1"/>
  <c r="I101" i="41" a="1"/>
  <c r="I101" i="41" s="1"/>
  <c r="G101" i="41"/>
  <c r="H101" i="41" s="1" a="1"/>
  <c r="H101" i="41" s="1"/>
  <c r="G100" i="41"/>
  <c r="J99" i="41" a="1"/>
  <c r="J99" i="41" s="1"/>
  <c r="I99" i="41" a="1"/>
  <c r="I99" i="41" s="1"/>
  <c r="H99" i="41"/>
  <c r="H99" i="41" a="1"/>
  <c r="G99" i="41"/>
  <c r="J98" i="41"/>
  <c r="J98" i="41" a="1"/>
  <c r="G98" i="41"/>
  <c r="I98" i="41" s="1" a="1"/>
  <c r="I98" i="41" s="1"/>
  <c r="J97" i="41"/>
  <c r="J97" i="41" a="1"/>
  <c r="I97" i="41" a="1"/>
  <c r="I97" i="41" s="1"/>
  <c r="H97" i="41"/>
  <c r="H97" i="41" a="1"/>
  <c r="G97" i="41"/>
  <c r="G96" i="41"/>
  <c r="J95" i="41" a="1"/>
  <c r="J95" i="41" s="1"/>
  <c r="G95" i="41"/>
  <c r="I95" i="41" s="1" a="1"/>
  <c r="I95" i="41" s="1"/>
  <c r="I94" i="41" a="1"/>
  <c r="I94" i="41" s="1"/>
  <c r="G94" i="41"/>
  <c r="H94" i="41" s="1" a="1"/>
  <c r="H94" i="41" s="1"/>
  <c r="G93" i="41"/>
  <c r="J92" i="41"/>
  <c r="I92" i="41" a="1"/>
  <c r="I92" i="41" s="1"/>
  <c r="H92" i="41" a="1"/>
  <c r="H92" i="41" s="1"/>
  <c r="G92" i="41"/>
  <c r="J92" i="41" s="1" a="1"/>
  <c r="J91" i="41" a="1"/>
  <c r="J91" i="41" s="1"/>
  <c r="I91" i="41" a="1"/>
  <c r="I91" i="41" s="1"/>
  <c r="G91" i="41"/>
  <c r="H91" i="41" s="1" a="1"/>
  <c r="H91" i="41" s="1"/>
  <c r="G90" i="41"/>
  <c r="H90" i="41" s="1" a="1"/>
  <c r="H90" i="41" s="1"/>
  <c r="J89" i="41" a="1"/>
  <c r="J89" i="41" s="1"/>
  <c r="I89" i="41" a="1"/>
  <c r="I89" i="41" s="1"/>
  <c r="H89" i="41"/>
  <c r="H89" i="41" a="1"/>
  <c r="G89" i="41"/>
  <c r="J88" i="41" a="1"/>
  <c r="J88" i="41" s="1"/>
  <c r="G88" i="41"/>
  <c r="I88" i="41" s="1" a="1"/>
  <c r="I88" i="41" s="1"/>
  <c r="J87" i="41"/>
  <c r="J87" i="41" a="1"/>
  <c r="I87" i="41" a="1"/>
  <c r="I87" i="41" s="1"/>
  <c r="H87" i="41" a="1"/>
  <c r="H87" i="41" s="1"/>
  <c r="G87" i="41"/>
  <c r="G86" i="41"/>
  <c r="J85" i="41"/>
  <c r="J85" i="41" a="1"/>
  <c r="G85" i="41"/>
  <c r="I85" i="41" s="1" a="1"/>
  <c r="I85" i="41" s="1"/>
  <c r="I84" i="41"/>
  <c r="I84" i="41" a="1"/>
  <c r="G84" i="41"/>
  <c r="H84" i="41" s="1" a="1"/>
  <c r="H84" i="41" s="1"/>
  <c r="G83" i="41"/>
  <c r="J82" i="41"/>
  <c r="I82" i="41" a="1"/>
  <c r="I82" i="41" s="1"/>
  <c r="H82" i="41" a="1"/>
  <c r="H82" i="41" s="1"/>
  <c r="G82" i="41"/>
  <c r="J82" i="41" s="1" a="1"/>
  <c r="J81" i="41" a="1"/>
  <c r="J81" i="41" s="1"/>
  <c r="I81" i="41" a="1"/>
  <c r="I81" i="41" s="1"/>
  <c r="G81" i="41"/>
  <c r="H81" i="41" s="1" a="1"/>
  <c r="H81" i="41" s="1"/>
  <c r="G80" i="41"/>
  <c r="J79" i="41" a="1"/>
  <c r="J79" i="41" s="1"/>
  <c r="I79" i="41" a="1"/>
  <c r="I79" i="41" s="1"/>
  <c r="H79" i="41"/>
  <c r="H79" i="41" a="1"/>
  <c r="G79" i="41"/>
  <c r="J78" i="41" a="1"/>
  <c r="J78" i="41" s="1"/>
  <c r="G78" i="41"/>
  <c r="I78" i="41" s="1" a="1"/>
  <c r="I78" i="41" s="1"/>
  <c r="J77" i="41"/>
  <c r="J77" i="41" a="1"/>
  <c r="I77" i="41" a="1"/>
  <c r="I77" i="41" s="1"/>
  <c r="H77" i="41" a="1"/>
  <c r="H77" i="41" s="1"/>
  <c r="G77" i="41"/>
  <c r="G76" i="41"/>
  <c r="G75" i="41"/>
  <c r="J75" i="41" s="1" a="1"/>
  <c r="J75" i="41" s="1"/>
  <c r="I74" i="41" a="1"/>
  <c r="I74" i="41" s="1"/>
  <c r="G74" i="41"/>
  <c r="H74" i="41" s="1" a="1"/>
  <c r="H74" i="41" s="1"/>
  <c r="H73" i="41" a="1"/>
  <c r="H73" i="41" s="1"/>
  <c r="G73" i="41"/>
  <c r="I72" i="41" a="1"/>
  <c r="I72" i="41" s="1"/>
  <c r="H72" i="41" a="1"/>
  <c r="H72" i="41" s="1"/>
  <c r="G72" i="41"/>
  <c r="J72" i="41" s="1" a="1"/>
  <c r="J72" i="41" s="1"/>
  <c r="J71" i="41" a="1"/>
  <c r="J71" i="41" s="1"/>
  <c r="I71" i="41"/>
  <c r="I71" i="41" a="1"/>
  <c r="G71" i="41"/>
  <c r="H71" i="41" s="1" a="1"/>
  <c r="H71" i="41" s="1"/>
  <c r="G70" i="41"/>
  <c r="J69" i="41" a="1"/>
  <c r="J69" i="41" s="1"/>
  <c r="I69" i="41" a="1"/>
  <c r="I69" i="41" s="1"/>
  <c r="H69" i="41"/>
  <c r="H69" i="41" a="1"/>
  <c r="G69" i="41"/>
  <c r="J68" i="41" a="1"/>
  <c r="J68" i="41" s="1"/>
  <c r="I68" i="41"/>
  <c r="G68" i="41"/>
  <c r="I68" i="41" s="1" a="1"/>
  <c r="J67" i="41"/>
  <c r="J67" i="41" a="1"/>
  <c r="I67" i="41" a="1"/>
  <c r="I67" i="41" s="1"/>
  <c r="H67" i="41" a="1"/>
  <c r="H67" i="41" s="1"/>
  <c r="G67" i="41"/>
  <c r="G66" i="41"/>
  <c r="J65" i="41" a="1"/>
  <c r="J65" i="41" s="1"/>
  <c r="G65" i="41"/>
  <c r="I65" i="41" s="1" a="1"/>
  <c r="I65" i="41" s="1"/>
  <c r="I64" i="41" a="1"/>
  <c r="I64" i="41" s="1"/>
  <c r="G64" i="41"/>
  <c r="H64" i="41" s="1" a="1"/>
  <c r="H64" i="41" s="1"/>
  <c r="G63" i="41"/>
  <c r="H63" i="41" s="1" a="1"/>
  <c r="H63" i="41" s="1"/>
  <c r="I62" i="41" a="1"/>
  <c r="I62" i="41" s="1"/>
  <c r="H62" i="41" a="1"/>
  <c r="H62" i="41" s="1"/>
  <c r="G62" i="41"/>
  <c r="J62" i="41" s="1" a="1"/>
  <c r="J62" i="41" s="1"/>
  <c r="J61" i="41" a="1"/>
  <c r="J61" i="41" s="1"/>
  <c r="I61" i="41" a="1"/>
  <c r="I61" i="41" s="1"/>
  <c r="G61" i="41"/>
  <c r="H61" i="41" s="1" a="1"/>
  <c r="H61" i="41" s="1"/>
  <c r="H60" i="41" a="1"/>
  <c r="H60" i="41" s="1"/>
  <c r="G60" i="41"/>
  <c r="J59" i="41" a="1"/>
  <c r="J59" i="41" s="1"/>
  <c r="I59" i="41" a="1"/>
  <c r="I59" i="41" s="1"/>
  <c r="G59" i="41"/>
  <c r="H59" i="41" s="1" a="1"/>
  <c r="H59" i="41" s="1"/>
  <c r="J58" i="41" a="1"/>
  <c r="J58" i="41" s="1"/>
  <c r="G58" i="41"/>
  <c r="I58" i="41" s="1" a="1"/>
  <c r="I58" i="41" s="1"/>
  <c r="J57" i="41"/>
  <c r="I57" i="41" a="1"/>
  <c r="I57" i="41" s="1"/>
  <c r="H57" i="41" a="1"/>
  <c r="H57" i="41" s="1"/>
  <c r="G57" i="41"/>
  <c r="J57" i="41" s="1" a="1"/>
  <c r="G56" i="41"/>
  <c r="G55" i="41"/>
  <c r="I54" i="41"/>
  <c r="I54" i="41" a="1"/>
  <c r="G54" i="41"/>
  <c r="H54" i="41" s="1" a="1"/>
  <c r="H54" i="41" s="1"/>
  <c r="G53" i="41"/>
  <c r="I52" i="41" a="1"/>
  <c r="I52" i="41" s="1"/>
  <c r="H52" i="41" a="1"/>
  <c r="H52" i="41" s="1"/>
  <c r="G52" i="41"/>
  <c r="J52" i="41" s="1" a="1"/>
  <c r="J52" i="41" s="1"/>
  <c r="J51" i="41" a="1"/>
  <c r="J51" i="41" s="1"/>
  <c r="I51" i="41" a="1"/>
  <c r="I51" i="41" s="1"/>
  <c r="G51" i="41"/>
  <c r="H51" i="41" s="1" a="1"/>
  <c r="H51" i="41" s="1"/>
  <c r="G50" i="41"/>
  <c r="I50" i="41" s="1" a="1"/>
  <c r="I50" i="41" s="1"/>
  <c r="J49" i="41" a="1"/>
  <c r="J49" i="41" s="1"/>
  <c r="I49" i="41" a="1"/>
  <c r="I49" i="41" s="1"/>
  <c r="G49" i="41"/>
  <c r="H49" i="41" s="1" a="1"/>
  <c r="H49" i="41" s="1"/>
  <c r="J48" i="41"/>
  <c r="J48" i="41" a="1"/>
  <c r="G48" i="41"/>
  <c r="I48" i="41" s="1" a="1"/>
  <c r="I48" i="41" s="1"/>
  <c r="J47" i="41"/>
  <c r="I47" i="41" a="1"/>
  <c r="I47" i="41" s="1"/>
  <c r="H47" i="41" a="1"/>
  <c r="H47" i="41" s="1"/>
  <c r="G47" i="41"/>
  <c r="J47" i="41" s="1" a="1"/>
  <c r="G46" i="41"/>
  <c r="I46" i="41" s="1" a="1"/>
  <c r="I46" i="41" s="1"/>
  <c r="G45" i="41"/>
  <c r="I44" i="41" a="1"/>
  <c r="I44" i="41" s="1"/>
  <c r="G44" i="41"/>
  <c r="H44" i="41" s="1" a="1"/>
  <c r="H44" i="41" s="1"/>
  <c r="G43" i="41"/>
  <c r="H43" i="41" s="1" a="1"/>
  <c r="H43" i="41" s="1"/>
  <c r="I42" i="41" a="1"/>
  <c r="I42" i="41" s="1"/>
  <c r="H42" i="41" a="1"/>
  <c r="H42" i="41" s="1"/>
  <c r="G42" i="41"/>
  <c r="J42" i="41" s="1" a="1"/>
  <c r="J42" i="41" s="1"/>
  <c r="J41" i="41" a="1"/>
  <c r="J41" i="41" s="1"/>
  <c r="I41" i="41" a="1"/>
  <c r="I41" i="41" s="1"/>
  <c r="G41" i="41"/>
  <c r="H41" i="41" s="1" a="1"/>
  <c r="H41" i="41" s="1"/>
  <c r="J40" i="41" a="1"/>
  <c r="J40" i="41" s="1"/>
  <c r="H40" i="41"/>
  <c r="H40" i="41" a="1"/>
  <c r="G40" i="41"/>
  <c r="I40" i="41" s="1" a="1"/>
  <c r="I40" i="41" s="1"/>
  <c r="J39" i="41" a="1"/>
  <c r="J39" i="41" s="1"/>
  <c r="I39" i="41" a="1"/>
  <c r="I39" i="41" s="1"/>
  <c r="G39" i="41"/>
  <c r="H39" i="41" s="1" a="1"/>
  <c r="H39" i="41" s="1"/>
  <c r="J38" i="41"/>
  <c r="J38" i="41" a="1"/>
  <c r="G38" i="41"/>
  <c r="I38" i="41" s="1" a="1"/>
  <c r="I38" i="41" s="1"/>
  <c r="I37" i="41" a="1"/>
  <c r="I37" i="41" s="1"/>
  <c r="H37" i="41" a="1"/>
  <c r="H37" i="41" s="1"/>
  <c r="G37" i="41"/>
  <c r="J37" i="41" s="1" a="1"/>
  <c r="J37" i="41" s="1"/>
  <c r="G36" i="41"/>
  <c r="I36" i="41" s="1" a="1"/>
  <c r="I36" i="41" s="1"/>
  <c r="G35" i="41"/>
  <c r="J35" i="41" s="1" a="1"/>
  <c r="J35" i="41" s="1"/>
  <c r="I34" i="41" a="1"/>
  <c r="I34" i="41" s="1"/>
  <c r="G34" i="41"/>
  <c r="H34" i="41" s="1" a="1"/>
  <c r="H34" i="41" s="1"/>
  <c r="G33" i="41"/>
  <c r="J32" i="41"/>
  <c r="J32" i="41" a="1"/>
  <c r="I32" i="41" a="1"/>
  <c r="I32" i="41" s="1"/>
  <c r="H32" i="41" a="1"/>
  <c r="H32" i="41" s="1"/>
  <c r="G32" i="41"/>
  <c r="J31" i="41" a="1"/>
  <c r="J31" i="41" s="1"/>
  <c r="I31" i="41" a="1"/>
  <c r="I31" i="41" s="1"/>
  <c r="G31" i="41"/>
  <c r="H31" i="41" s="1" a="1"/>
  <c r="H31" i="41" s="1"/>
  <c r="G30" i="41"/>
  <c r="I30" i="41" s="1" a="1"/>
  <c r="I30" i="41" s="1"/>
  <c r="J29" i="41" a="1"/>
  <c r="J29" i="41" s="1"/>
  <c r="I29" i="41" a="1"/>
  <c r="I29" i="41" s="1"/>
  <c r="G29" i="41"/>
  <c r="H29" i="41" s="1" a="1"/>
  <c r="H29" i="41" s="1"/>
  <c r="J28" i="41" a="1"/>
  <c r="J28" i="41" s="1"/>
  <c r="I28" i="41"/>
  <c r="G28" i="41"/>
  <c r="I28" i="41" s="1" a="1"/>
  <c r="J27" i="41"/>
  <c r="I27" i="41" a="1"/>
  <c r="I27" i="41" s="1"/>
  <c r="H27" i="41" a="1"/>
  <c r="H27" i="41" s="1"/>
  <c r="G27" i="41"/>
  <c r="J27" i="41" s="1" a="1"/>
  <c r="G26" i="41"/>
  <c r="J25" i="41" a="1"/>
  <c r="J25" i="41" s="1"/>
  <c r="G25" i="41"/>
  <c r="I24" i="41" a="1"/>
  <c r="I24" i="41" s="1"/>
  <c r="G24" i="41"/>
  <c r="H24" i="41" s="1" a="1"/>
  <c r="H24" i="41" s="1"/>
  <c r="G23" i="41"/>
  <c r="I22" i="41" a="1"/>
  <c r="I22" i="41" s="1"/>
  <c r="H22" i="41" a="1"/>
  <c r="H22" i="41" s="1"/>
  <c r="G22" i="41"/>
  <c r="J22" i="41" s="1" a="1"/>
  <c r="J22" i="41" s="1"/>
  <c r="J21" i="41" a="1"/>
  <c r="J21" i="41" s="1"/>
  <c r="I21" i="41" a="1"/>
  <c r="I21" i="41" s="1"/>
  <c r="G21" i="41"/>
  <c r="H21" i="41" s="1" a="1"/>
  <c r="H21" i="41" s="1"/>
  <c r="G20" i="41"/>
  <c r="I20" i="41" s="1" a="1"/>
  <c r="I20" i="41" s="1"/>
  <c r="J19" i="41" a="1"/>
  <c r="J19" i="41" s="1"/>
  <c r="I19" i="41" a="1"/>
  <c r="I19" i="41" s="1"/>
  <c r="H19" i="41"/>
  <c r="G19" i="41"/>
  <c r="H19" i="41" s="1" a="1"/>
  <c r="J18" i="41" a="1"/>
  <c r="J18" i="41" s="1"/>
  <c r="G18" i="41"/>
  <c r="I18" i="41" s="1" a="1"/>
  <c r="I18" i="41" s="1"/>
  <c r="I17" i="41" a="1"/>
  <c r="I17" i="41" s="1"/>
  <c r="H17" i="41" a="1"/>
  <c r="H17" i="41" s="1"/>
  <c r="G17" i="41"/>
  <c r="J17" i="41" s="1" a="1"/>
  <c r="J17" i="41" s="1"/>
  <c r="G16" i="41"/>
  <c r="G15" i="41"/>
  <c r="J15" i="41" s="1" a="1"/>
  <c r="J15" i="41" s="1"/>
  <c r="I14" i="41" a="1"/>
  <c r="I14" i="41" s="1"/>
  <c r="G14" i="41"/>
  <c r="H14" i="41" s="1" a="1"/>
  <c r="H14" i="41" s="1"/>
  <c r="G13" i="41"/>
  <c r="I12" i="41" a="1"/>
  <c r="I12" i="41" s="1"/>
  <c r="H12" i="41" a="1"/>
  <c r="H12" i="41" s="1"/>
  <c r="G12" i="41"/>
  <c r="J12" i="41" s="1" a="1"/>
  <c r="J12" i="41" s="1"/>
  <c r="J11" i="41" a="1"/>
  <c r="J11" i="41" s="1"/>
  <c r="I11" i="41" a="1"/>
  <c r="I11" i="41" s="1"/>
  <c r="G11" i="41"/>
  <c r="H11" i="41" s="1" a="1"/>
  <c r="H11" i="41" s="1"/>
  <c r="G10" i="41"/>
  <c r="I10" i="41" s="1" a="1"/>
  <c r="I10" i="41" s="1"/>
  <c r="J9" i="41" a="1"/>
  <c r="J9" i="41" s="1"/>
  <c r="I9" i="41" a="1"/>
  <c r="I9" i="41" s="1"/>
  <c r="H9" i="41"/>
  <c r="G9" i="41"/>
  <c r="H9" i="41" s="1" a="1"/>
  <c r="G17" i="29"/>
  <c r="D35" i="27" a="1"/>
  <c r="D35" i="27" s="1"/>
  <c r="K109" i="63" a="1"/>
  <c r="L109" i="63" a="1"/>
  <c r="M109" i="63" a="1"/>
  <c r="N109" i="63" a="1"/>
  <c r="N109" i="63" l="1"/>
  <c r="R109" i="63" s="1" a="1"/>
  <c r="R109" i="63" s="1"/>
  <c r="M109" i="63"/>
  <c r="Q109" i="63" s="1" a="1"/>
  <c r="Q109" i="63" s="1"/>
  <c r="L109" i="63"/>
  <c r="P109" i="63" s="1" a="1"/>
  <c r="P109" i="63" s="1"/>
  <c r="K109" i="63"/>
  <c r="O109" i="63" s="1" a="1"/>
  <c r="O109" i="63" s="1"/>
  <c r="H30" i="41" a="1"/>
  <c r="H30" i="41" s="1"/>
  <c r="J93" i="41" a="1"/>
  <c r="J93" i="41" s="1"/>
  <c r="I93" i="41" a="1"/>
  <c r="I93" i="41" s="1"/>
  <c r="H110" i="41" a="1"/>
  <c r="H110" i="41" s="1"/>
  <c r="J110" i="41" a="1"/>
  <c r="J110" i="41" s="1"/>
  <c r="H147" i="41" a="1"/>
  <c r="H147" i="41" s="1"/>
  <c r="J147" i="41" a="1"/>
  <c r="J147" i="41" s="1"/>
  <c r="I147" i="41" a="1"/>
  <c r="I147" i="41" s="1"/>
  <c r="I25" i="41" a="1"/>
  <c r="I25" i="41" s="1"/>
  <c r="H25" i="41" a="1"/>
  <c r="H25" i="41" s="1"/>
  <c r="J60" i="41" a="1"/>
  <c r="J60" i="41" s="1"/>
  <c r="I60" i="41" a="1"/>
  <c r="I60" i="41" s="1"/>
  <c r="J66" i="41" a="1"/>
  <c r="J66" i="41" s="1"/>
  <c r="I66" i="41" a="1"/>
  <c r="I66" i="41" s="1"/>
  <c r="H66" i="41" a="1"/>
  <c r="H66" i="41" s="1"/>
  <c r="H93" i="41" a="1"/>
  <c r="H93" i="41" s="1"/>
  <c r="I110" i="41" a="1"/>
  <c r="I110" i="41" s="1"/>
  <c r="H177" i="41" a="1"/>
  <c r="H177" i="41" s="1"/>
  <c r="J177" i="41" a="1"/>
  <c r="J177" i="41" s="1"/>
  <c r="I177" i="41" a="1"/>
  <c r="I177" i="41" s="1"/>
  <c r="J90" i="41" a="1"/>
  <c r="J90" i="41" s="1"/>
  <c r="I90" i="41" a="1"/>
  <c r="I90" i="41" s="1"/>
  <c r="J30" i="41" a="1"/>
  <c r="J30" i="41" s="1"/>
  <c r="J80" i="41" a="1"/>
  <c r="J80" i="41" s="1"/>
  <c r="I80" i="41" a="1"/>
  <c r="I80" i="41" s="1"/>
  <c r="J86" i="41" a="1"/>
  <c r="J86" i="41" s="1"/>
  <c r="I86" i="41" a="1"/>
  <c r="I86" i="41" s="1"/>
  <c r="H86" i="41" a="1"/>
  <c r="H86" i="41" s="1"/>
  <c r="J33" i="41" a="1"/>
  <c r="J33" i="41" s="1"/>
  <c r="I33" i="41" a="1"/>
  <c r="I33" i="41" s="1"/>
  <c r="J63" i="41" a="1"/>
  <c r="J63" i="41" s="1"/>
  <c r="I63" i="41" a="1"/>
  <c r="I63" i="41" s="1"/>
  <c r="J26" i="41" a="1"/>
  <c r="J26" i="41" s="1"/>
  <c r="H26" i="41" a="1"/>
  <c r="H26" i="41" s="1"/>
  <c r="J83" i="41" a="1"/>
  <c r="J83" i="41" s="1"/>
  <c r="I83" i="41" a="1"/>
  <c r="I83" i="41" s="1"/>
  <c r="H228" i="41" a="1"/>
  <c r="H228" i="41" s="1"/>
  <c r="J228" i="41" a="1"/>
  <c r="J228" i="41" s="1"/>
  <c r="I228" i="41" a="1"/>
  <c r="I228" i="41" s="1"/>
  <c r="J43" i="41" a="1"/>
  <c r="J43" i="41" s="1"/>
  <c r="I43" i="41" a="1"/>
  <c r="I43" i="41" s="1"/>
  <c r="J96" i="41" a="1"/>
  <c r="J96" i="41" s="1"/>
  <c r="I96" i="41" a="1"/>
  <c r="I96" i="41" s="1"/>
  <c r="H96" i="41" a="1"/>
  <c r="H96" i="41" s="1"/>
  <c r="J36" i="41" a="1"/>
  <c r="J36" i="41" s="1"/>
  <c r="H36" i="41" a="1"/>
  <c r="H36" i="41" s="1"/>
  <c r="I55" i="41" a="1"/>
  <c r="I55" i="41" s="1"/>
  <c r="H55" i="41" a="1"/>
  <c r="H55" i="41" s="1"/>
  <c r="J20" i="41" a="1"/>
  <c r="J20" i="41" s="1"/>
  <c r="I26" i="41" a="1"/>
  <c r="I26" i="41" s="1"/>
  <c r="H50" i="41" a="1"/>
  <c r="H50" i="41" s="1"/>
  <c r="H83" i="41" a="1"/>
  <c r="H83" i="41" s="1"/>
  <c r="J100" i="41" a="1"/>
  <c r="J100" i="41" s="1"/>
  <c r="I100" i="41" a="1"/>
  <c r="I100" i="41" s="1"/>
  <c r="J108" i="41" a="1"/>
  <c r="J108" i="41" s="1"/>
  <c r="I108" i="41" a="1"/>
  <c r="I108" i="41" s="1"/>
  <c r="I35" i="41" a="1"/>
  <c r="I35" i="41" s="1"/>
  <c r="H35" i="41" a="1"/>
  <c r="H35" i="41" s="1"/>
  <c r="J46" i="41" a="1"/>
  <c r="J46" i="41" s="1"/>
  <c r="H46" i="41" a="1"/>
  <c r="H46" i="41" s="1"/>
  <c r="H20" i="41" a="1"/>
  <c r="H20" i="41" s="1"/>
  <c r="H33" i="41" a="1"/>
  <c r="H33" i="41" s="1"/>
  <c r="H15" i="41" a="1"/>
  <c r="H15" i="41" s="1"/>
  <c r="I15" i="41" a="1"/>
  <c r="I15" i="41" s="1"/>
  <c r="J23" i="41" a="1"/>
  <c r="J23" i="41" s="1"/>
  <c r="I23" i="41" a="1"/>
  <c r="I23" i="41" s="1"/>
  <c r="J55" i="41" a="1"/>
  <c r="J55" i="41" s="1"/>
  <c r="H80" i="41" a="1"/>
  <c r="H80" i="41" s="1"/>
  <c r="J53" i="41" a="1"/>
  <c r="J53" i="41" s="1"/>
  <c r="I53" i="41" a="1"/>
  <c r="I53" i="41" s="1"/>
  <c r="J56" i="41" a="1"/>
  <c r="J56" i="41" s="1"/>
  <c r="H56" i="41" a="1"/>
  <c r="H56" i="41" s="1"/>
  <c r="H100" i="41" a="1"/>
  <c r="H100" i="41" s="1"/>
  <c r="J105" i="41" a="1"/>
  <c r="J105" i="41" s="1"/>
  <c r="I105" i="41" a="1"/>
  <c r="I105" i="41" s="1"/>
  <c r="H105" i="41" a="1"/>
  <c r="H105" i="41" s="1"/>
  <c r="H108" i="41" a="1"/>
  <c r="H108" i="41" s="1"/>
  <c r="J117" i="41" a="1"/>
  <c r="J117" i="41" s="1"/>
  <c r="I117" i="41" a="1"/>
  <c r="I117" i="41" s="1"/>
  <c r="I75" i="41" a="1"/>
  <c r="I75" i="41" s="1"/>
  <c r="H75" i="41" a="1"/>
  <c r="H75" i="41" s="1"/>
  <c r="H23" i="41" a="1"/>
  <c r="H23" i="41" s="1"/>
  <c r="H10" i="41" a="1"/>
  <c r="H10" i="41" s="1"/>
  <c r="I45" i="41" a="1"/>
  <c r="I45" i="41" s="1"/>
  <c r="H45" i="41" a="1"/>
  <c r="H45" i="41" s="1"/>
  <c r="J13" i="41" a="1"/>
  <c r="J13" i="41" s="1"/>
  <c r="I13" i="41" a="1"/>
  <c r="I13" i="41" s="1"/>
  <c r="J45" i="41" a="1"/>
  <c r="J45" i="41" s="1"/>
  <c r="J50" i="41" a="1"/>
  <c r="J50" i="41" s="1"/>
  <c r="H53" i="41" a="1"/>
  <c r="H53" i="41" s="1"/>
  <c r="I56" i="41" a="1"/>
  <c r="I56" i="41" s="1"/>
  <c r="J70" i="41" a="1"/>
  <c r="J70" i="41" s="1"/>
  <c r="I70" i="41" a="1"/>
  <c r="I70" i="41" s="1"/>
  <c r="J76" i="41" a="1"/>
  <c r="J76" i="41" s="1"/>
  <c r="I76" i="41" a="1"/>
  <c r="I76" i="41" s="1"/>
  <c r="H76" i="41" a="1"/>
  <c r="H76" i="41" s="1"/>
  <c r="H117" i="41" a="1"/>
  <c r="H117" i="41" s="1"/>
  <c r="J16" i="41" a="1"/>
  <c r="J16" i="41" s="1"/>
  <c r="H16" i="41" a="1"/>
  <c r="H16" i="41" s="1"/>
  <c r="J10" i="41" a="1"/>
  <c r="J10" i="41" s="1"/>
  <c r="H13" i="41" a="1"/>
  <c r="H13" i="41" s="1"/>
  <c r="I16" i="41" a="1"/>
  <c r="I16" i="41" s="1"/>
  <c r="H70" i="41" a="1"/>
  <c r="H70" i="41" s="1"/>
  <c r="J73" i="41" a="1"/>
  <c r="J73" i="41" s="1"/>
  <c r="I73" i="41" a="1"/>
  <c r="I73" i="41" s="1"/>
  <c r="J225" i="41" a="1"/>
  <c r="J225" i="41" s="1"/>
  <c r="I225" i="41" a="1"/>
  <c r="I225" i="41" s="1"/>
  <c r="H225" i="41" a="1"/>
  <c r="H225" i="41" s="1"/>
  <c r="J195" i="41" a="1"/>
  <c r="J195" i="41" s="1"/>
  <c r="I195" i="41" a="1"/>
  <c r="I195" i="41" s="1"/>
  <c r="H198" i="41" a="1"/>
  <c r="H198" i="41" s="1"/>
  <c r="J198" i="41" a="1"/>
  <c r="J198" i="41" s="1"/>
  <c r="H207" i="41" a="1"/>
  <c r="H207" i="41" s="1"/>
  <c r="J207" i="41" a="1"/>
  <c r="J207" i="41" s="1"/>
  <c r="I207" i="41" a="1"/>
  <c r="I207" i="41" s="1"/>
  <c r="J145" i="41" a="1"/>
  <c r="J145" i="41" s="1"/>
  <c r="I145" i="41" a="1"/>
  <c r="I145" i="41" s="1"/>
  <c r="H148" i="41" a="1"/>
  <c r="H148" i="41" s="1"/>
  <c r="J148" i="41" a="1"/>
  <c r="J148" i="41" s="1"/>
  <c r="J205" i="41" a="1"/>
  <c r="J205" i="41" s="1"/>
  <c r="I205" i="41" a="1"/>
  <c r="I205" i="41" s="1"/>
  <c r="J14" i="41" a="1"/>
  <c r="J14" i="41" s="1"/>
  <c r="J24" i="41" a="1"/>
  <c r="J24" i="41" s="1"/>
  <c r="J34" i="41" a="1"/>
  <c r="J34" i="41" s="1"/>
  <c r="J44" i="41" a="1"/>
  <c r="J44" i="41" s="1"/>
  <c r="J54" i="41" a="1"/>
  <c r="J54" i="41" s="1"/>
  <c r="J64" i="41" a="1"/>
  <c r="J64" i="41" s="1"/>
  <c r="J74" i="41" a="1"/>
  <c r="J74" i="41" s="1"/>
  <c r="J84" i="41" a="1"/>
  <c r="J84" i="41" s="1"/>
  <c r="J94" i="41" a="1"/>
  <c r="J94" i="41" s="1"/>
  <c r="J115" i="41" a="1"/>
  <c r="J115" i="41" s="1"/>
  <c r="H145" i="41" a="1"/>
  <c r="H145" i="41" s="1"/>
  <c r="I148" i="41" a="1"/>
  <c r="I148" i="41" s="1"/>
  <c r="H157" i="41" a="1"/>
  <c r="H157" i="41" s="1"/>
  <c r="J157" i="41" a="1"/>
  <c r="J157" i="41" s="1"/>
  <c r="I157" i="41" a="1"/>
  <c r="I157" i="41" s="1"/>
  <c r="J175" i="41" a="1"/>
  <c r="J175" i="41" s="1"/>
  <c r="I175" i="41" a="1"/>
  <c r="I175" i="41" s="1"/>
  <c r="H178" i="41" a="1"/>
  <c r="H178" i="41" s="1"/>
  <c r="J178" i="41" a="1"/>
  <c r="J178" i="41" s="1"/>
  <c r="H205" i="41" a="1"/>
  <c r="H205" i="41" s="1"/>
  <c r="H127" i="41" a="1"/>
  <c r="H127" i="41" s="1"/>
  <c r="J127" i="41" a="1"/>
  <c r="J127" i="41" s="1"/>
  <c r="I127" i="41" a="1"/>
  <c r="I127" i="41" s="1"/>
  <c r="H208" i="41" a="1"/>
  <c r="H208" i="41" s="1"/>
  <c r="J208" i="41" a="1"/>
  <c r="J208" i="41" s="1"/>
  <c r="J125" i="41" a="1"/>
  <c r="J125" i="41" s="1"/>
  <c r="I125" i="41" a="1"/>
  <c r="I125" i="41" s="1"/>
  <c r="H128" i="41" a="1"/>
  <c r="H128" i="41" s="1"/>
  <c r="J128" i="41" a="1"/>
  <c r="J128" i="41" s="1"/>
  <c r="H175" i="41" a="1"/>
  <c r="H175" i="41" s="1"/>
  <c r="I178" i="41" a="1"/>
  <c r="I178" i="41" s="1"/>
  <c r="H217" i="41" a="1"/>
  <c r="H217" i="41" s="1"/>
  <c r="J217" i="41" a="1"/>
  <c r="J217" i="41" s="1"/>
  <c r="I217" i="41" a="1"/>
  <c r="I217" i="41" s="1"/>
  <c r="J155" i="41" a="1"/>
  <c r="J155" i="41" s="1"/>
  <c r="I155" i="41" a="1"/>
  <c r="I155" i="41" s="1"/>
  <c r="H158" i="41" a="1"/>
  <c r="H158" i="41" s="1"/>
  <c r="J158" i="41" a="1"/>
  <c r="J158" i="41" s="1"/>
  <c r="H65" i="41" a="1"/>
  <c r="H65" i="41" s="1"/>
  <c r="H85" i="41" a="1"/>
  <c r="H85" i="41" s="1"/>
  <c r="H95" i="41" a="1"/>
  <c r="H95" i="41" s="1"/>
  <c r="H107" i="41" a="1"/>
  <c r="H107" i="41" s="1"/>
  <c r="H111" i="41" a="1"/>
  <c r="H111" i="41" s="1"/>
  <c r="H155" i="41" a="1"/>
  <c r="H155" i="41" s="1"/>
  <c r="I158" i="41" a="1"/>
  <c r="I158" i="41" s="1"/>
  <c r="H187" i="41" a="1"/>
  <c r="H187" i="41" s="1"/>
  <c r="J187" i="41" a="1"/>
  <c r="J187" i="41" s="1"/>
  <c r="I187" i="41" a="1"/>
  <c r="I187" i="41" s="1"/>
  <c r="J215" i="41" a="1"/>
  <c r="J215" i="41" s="1"/>
  <c r="I215" i="41" a="1"/>
  <c r="I215" i="41" s="1"/>
  <c r="H218" i="41" a="1"/>
  <c r="H218" i="41" s="1"/>
  <c r="J218" i="41" a="1"/>
  <c r="J218" i="41" s="1"/>
  <c r="H18" i="41" a="1"/>
  <c r="H18" i="41" s="1"/>
  <c r="H28" i="41" a="1"/>
  <c r="H28" i="41" s="1"/>
  <c r="H38" i="41" a="1"/>
  <c r="H38" i="41" s="1"/>
  <c r="H48" i="41" a="1"/>
  <c r="H48" i="41" s="1"/>
  <c r="H58" i="41" a="1"/>
  <c r="H58" i="41" s="1"/>
  <c r="H68" i="41" a="1"/>
  <c r="H68" i="41" s="1"/>
  <c r="H78" i="41" a="1"/>
  <c r="H78" i="41" s="1"/>
  <c r="H88" i="41" a="1"/>
  <c r="H88" i="41" s="1"/>
  <c r="H98" i="41" a="1"/>
  <c r="H98" i="41" s="1"/>
  <c r="I109" i="41" a="1"/>
  <c r="I109" i="41" s="1"/>
  <c r="H137" i="41" a="1"/>
  <c r="H137" i="41" s="1"/>
  <c r="J137" i="41" a="1"/>
  <c r="J137" i="41" s="1"/>
  <c r="I137" i="41" a="1"/>
  <c r="I137" i="41" s="1"/>
  <c r="H167" i="41" a="1"/>
  <c r="H167" i="41" s="1"/>
  <c r="J167" i="41" a="1"/>
  <c r="J167" i="41" s="1"/>
  <c r="I167" i="41" a="1"/>
  <c r="I167" i="41" s="1"/>
  <c r="H215" i="41" a="1"/>
  <c r="H215" i="41" s="1"/>
  <c r="I218" i="41" a="1"/>
  <c r="I218" i="41" s="1"/>
  <c r="H104" i="41" a="1"/>
  <c r="H104" i="41" s="1"/>
  <c r="J107" i="41" a="1"/>
  <c r="J107" i="41" s="1"/>
  <c r="I111" i="41" a="1"/>
  <c r="I111" i="41" s="1"/>
  <c r="J185" i="41" a="1"/>
  <c r="J185" i="41" s="1"/>
  <c r="I185" i="41" a="1"/>
  <c r="I185" i="41" s="1"/>
  <c r="H188" i="41" a="1"/>
  <c r="H188" i="41" s="1"/>
  <c r="J188" i="41" a="1"/>
  <c r="J188" i="41" s="1"/>
  <c r="H197" i="41" a="1"/>
  <c r="H197" i="41" s="1"/>
  <c r="J197" i="41" a="1"/>
  <c r="J197" i="41" s="1"/>
  <c r="I197" i="41" a="1"/>
  <c r="I197" i="41" s="1"/>
  <c r="J109" i="41" a="1"/>
  <c r="J109" i="41" s="1"/>
  <c r="J119" i="41" a="1"/>
  <c r="J119" i="41" s="1"/>
  <c r="H119" i="41" a="1"/>
  <c r="H119" i="41" s="1"/>
  <c r="J135" i="41" a="1"/>
  <c r="J135" i="41" s="1"/>
  <c r="I135" i="41" a="1"/>
  <c r="I135" i="41" s="1"/>
  <c r="H138" i="41" a="1"/>
  <c r="H138" i="41" s="1"/>
  <c r="J138" i="41" a="1"/>
  <c r="J138" i="41" s="1"/>
  <c r="J165" i="41" a="1"/>
  <c r="J165" i="41" s="1"/>
  <c r="I165" i="41" a="1"/>
  <c r="I165" i="41" s="1"/>
  <c r="H168" i="41" a="1"/>
  <c r="H168" i="41" s="1"/>
  <c r="J168" i="41" a="1"/>
  <c r="J168" i="41" s="1"/>
  <c r="H185" i="41" a="1"/>
  <c r="H185" i="41" s="1"/>
  <c r="I188" i="41" a="1"/>
  <c r="I188" i="41" s="1"/>
  <c r="H227" i="41" a="1"/>
  <c r="H227" i="41" s="1"/>
  <c r="J227" i="41" a="1"/>
  <c r="J227" i="41" s="1"/>
  <c r="I227" i="41" a="1"/>
  <c r="I227" i="41" s="1"/>
  <c r="H180" i="41" a="1"/>
  <c r="H180" i="41" s="1"/>
  <c r="H190" i="41" a="1"/>
  <c r="H190" i="41" s="1"/>
  <c r="I194" i="41" a="1"/>
  <c r="I194" i="41" s="1"/>
  <c r="H200" i="41" a="1"/>
  <c r="H200" i="41" s="1"/>
  <c r="I204" i="41" a="1"/>
  <c r="I204" i="41" s="1"/>
  <c r="H210" i="41" a="1"/>
  <c r="H210" i="41" s="1"/>
  <c r="I214" i="41" a="1"/>
  <c r="I214" i="41" s="1"/>
  <c r="H220" i="41" a="1"/>
  <c r="H220" i="41" s="1"/>
  <c r="I224" i="41" a="1"/>
  <c r="I224" i="41" s="1"/>
  <c r="H230" i="41" a="1"/>
  <c r="H230" i="41" s="1"/>
  <c r="I234" i="41" a="1"/>
  <c r="I234" i="41" s="1"/>
  <c r="J238" i="41" a="1"/>
  <c r="J238" i="41" s="1"/>
  <c r="H240" i="41" a="1"/>
  <c r="H240" i="41" s="1"/>
  <c r="J121" i="41" a="1"/>
  <c r="J121" i="41" s="1"/>
  <c r="J131" i="41" a="1"/>
  <c r="J131" i="41" s="1"/>
  <c r="J141" i="41" a="1"/>
  <c r="J141" i="41" s="1"/>
  <c r="H143" i="41" a="1"/>
  <c r="H143" i="41" s="1"/>
  <c r="J151" i="41" a="1"/>
  <c r="J151" i="41" s="1"/>
  <c r="H153" i="41" a="1"/>
  <c r="H153" i="41" s="1"/>
  <c r="J161" i="41" a="1"/>
  <c r="J161" i="41" s="1"/>
  <c r="J171" i="41" a="1"/>
  <c r="J171" i="41" s="1"/>
  <c r="J181" i="41" a="1"/>
  <c r="J181" i="41" s="1"/>
  <c r="J191" i="41" a="1"/>
  <c r="J191" i="41" s="1"/>
  <c r="J201" i="41" a="1"/>
  <c r="J201" i="41" s="1"/>
  <c r="J211" i="41" a="1"/>
  <c r="J211" i="41" s="1"/>
  <c r="J221" i="41" a="1"/>
  <c r="J221" i="41" s="1"/>
  <c r="J231" i="41" a="1"/>
  <c r="J231" i="41" s="1"/>
  <c r="I237" i="41" a="1"/>
  <c r="I237" i="41" s="1"/>
  <c r="J241" i="41" a="1"/>
  <c r="J241" i="41" s="1"/>
  <c r="I240" i="41" a="1"/>
  <c r="I240" i="41" s="1"/>
  <c r="H129" i="41" a="1"/>
  <c r="H129" i="41" s="1"/>
  <c r="H139" i="41" a="1"/>
  <c r="H139" i="41" s="1"/>
  <c r="H149" i="41" a="1"/>
  <c r="H149" i="41" s="1"/>
  <c r="H159" i="41" a="1"/>
  <c r="H159" i="41" s="1"/>
  <c r="H169" i="41" a="1"/>
  <c r="H169" i="41" s="1"/>
  <c r="H179" i="41" a="1"/>
  <c r="H179" i="41" s="1"/>
  <c r="H189" i="41" a="1"/>
  <c r="H189" i="41" s="1"/>
  <c r="H199" i="41" a="1"/>
  <c r="H199" i="41" s="1"/>
  <c r="H209" i="41" a="1"/>
  <c r="H209" i="41" s="1"/>
  <c r="J237" i="41" a="1"/>
  <c r="J237" i="41" s="1"/>
  <c r="H242" i="41" a="1"/>
  <c r="H242" i="41" s="1"/>
  <c r="I239" i="41" a="1"/>
  <c r="I239" i="41" s="1"/>
  <c r="H238" i="41" a="1"/>
  <c r="H238" i="41" s="1"/>
  <c r="I242" i="41" a="1"/>
  <c r="I242" i="41" s="1"/>
  <c r="H121" i="41" a="1"/>
  <c r="H121" i="41" s="1"/>
  <c r="H131" i="41" a="1"/>
  <c r="H131" i="41" s="1"/>
  <c r="H141" i="41" a="1"/>
  <c r="H141" i="41" s="1"/>
  <c r="H151" i="41" a="1"/>
  <c r="H151" i="41" s="1"/>
  <c r="H161" i="41" a="1"/>
  <c r="H161" i="41" s="1"/>
  <c r="H171" i="41" a="1"/>
  <c r="H171" i="41" s="1"/>
  <c r="H181" i="41" a="1"/>
  <c r="H181" i="41" s="1"/>
  <c r="H191" i="41" a="1"/>
  <c r="H191" i="41" s="1"/>
  <c r="H201" i="41" a="1"/>
  <c r="H201" i="41" s="1"/>
  <c r="H211" i="41" a="1"/>
  <c r="H211" i="41" s="1"/>
  <c r="H221" i="41" a="1"/>
  <c r="H221" i="41" s="1"/>
  <c r="H231" i="41" a="1"/>
  <c r="H231" i="41" s="1"/>
  <c r="I235" i="41" a="1"/>
  <c r="I235" i="41" s="1"/>
  <c r="H241" i="41" a="1"/>
  <c r="H241" i="41" s="1"/>
  <c r="S109" i="63" l="1" a="1"/>
  <c r="S109" i="63" s="1"/>
  <c r="D336" i="4" l="1" a="1"/>
  <c r="D336" i="4" s="1"/>
  <c r="F309" i="4" a="1"/>
  <c r="F309" i="4" s="1"/>
  <c r="F310" i="4" a="1"/>
  <c r="F310" i="4" s="1"/>
  <c r="F311" i="4" a="1"/>
  <c r="F311" i="4" s="1"/>
  <c r="F312" i="4" a="1"/>
  <c r="F312" i="4" s="1"/>
  <c r="F313" i="4" a="1"/>
  <c r="F313" i="4" s="1"/>
  <c r="F314" i="4" a="1"/>
  <c r="F314" i="4" s="1"/>
  <c r="F315" i="4" a="1"/>
  <c r="F315" i="4" s="1"/>
  <c r="F316" i="4" a="1"/>
  <c r="F316" i="4" s="1"/>
  <c r="F317" i="4" a="1"/>
  <c r="F317" i="4" s="1"/>
  <c r="F318" i="4" a="1"/>
  <c r="F318" i="4" s="1"/>
  <c r="F319" i="4" a="1"/>
  <c r="F319" i="4" s="1"/>
  <c r="F43" i="59" a="1"/>
  <c r="F43" i="59" s="1"/>
  <c r="F35" i="59" a="1"/>
  <c r="F35" i="59" s="1"/>
  <c r="E14" i="50" a="1"/>
  <c r="E14" i="50" s="1"/>
  <c r="E13" i="50" a="1"/>
  <c r="E13" i="50" s="1"/>
  <c r="E12" i="50" a="1"/>
  <c r="E12" i="50" s="1"/>
  <c r="E11" i="50" a="1"/>
  <c r="E11" i="50" s="1"/>
  <c r="E10" i="50" a="1"/>
  <c r="E10" i="50" s="1"/>
  <c r="E9" i="50" a="1"/>
  <c r="E9" i="50" s="1"/>
  <c r="E8" i="50" a="1"/>
  <c r="E8" i="50" s="1"/>
  <c r="E7" i="50" a="1"/>
  <c r="E7" i="50" s="1"/>
  <c r="H35" i="59"/>
  <c r="F336" i="4"/>
  <c r="H43" i="59"/>
  <c r="F176" i="60" l="1" a="1"/>
  <c r="F176" i="60" s="1"/>
  <c r="F164" i="60" a="1"/>
  <c r="F164" i="60" s="1"/>
  <c r="F100" i="60" a="1"/>
  <c r="F100" i="60" s="1"/>
  <c r="F90" i="60" a="1"/>
  <c r="F90" i="60" s="1"/>
  <c r="F125" i="60" a="1"/>
  <c r="F125" i="60" s="1"/>
  <c r="H100" i="60"/>
  <c r="H90" i="60"/>
  <c r="C119" i="44" l="1"/>
  <c r="C337" i="59" a="1"/>
  <c r="C337" i="59" s="1"/>
  <c r="C287" i="59" a="1"/>
  <c r="C287" i="59" s="1"/>
  <c r="L12" i="48" l="1"/>
  <c r="L11" i="48"/>
  <c r="L10" i="48"/>
  <c r="L9" i="48"/>
  <c r="L8" i="48"/>
  <c r="K12" i="48"/>
  <c r="K11" i="48"/>
  <c r="K10" i="48"/>
  <c r="K9" i="48"/>
  <c r="K8" i="48"/>
  <c r="E125" i="46" a="1"/>
  <c r="E125" i="46" s="1"/>
  <c r="G115" i="46" a="1"/>
  <c r="G115" i="46" s="1"/>
  <c r="G105" i="46" a="1"/>
  <c r="G105" i="46" s="1"/>
  <c r="C163" i="44" a="1"/>
  <c r="C163" i="44" s="1"/>
  <c r="G182" i="46" a="1"/>
  <c r="G182" i="46" s="1"/>
  <c r="D125" i="46" a="1"/>
  <c r="D125" i="46" s="1"/>
  <c r="G19" i="61"/>
  <c r="G31" i="61"/>
  <c r="G29" i="61"/>
  <c r="G28" i="61"/>
  <c r="G27" i="61"/>
  <c r="G26" i="61"/>
  <c r="G25" i="61"/>
  <c r="E163" i="44"/>
  <c r="I31" i="61"/>
  <c r="I26" i="61"/>
  <c r="G92" i="59"/>
  <c r="I169" i="46"/>
  <c r="I70" i="45"/>
  <c r="I28" i="61"/>
  <c r="I71" i="45"/>
  <c r="I29" i="61"/>
  <c r="I72" i="45"/>
  <c r="I168" i="46"/>
  <c r="I146" i="44"/>
  <c r="I27" i="61"/>
  <c r="I69" i="42"/>
  <c r="E188" i="44"/>
  <c r="I19" i="61"/>
  <c r="I71" i="43"/>
  <c r="I45" i="42"/>
  <c r="I182" i="46"/>
  <c r="I70" i="43"/>
  <c r="E171" i="44"/>
  <c r="I69" i="45"/>
  <c r="I72" i="43"/>
  <c r="I92" i="59"/>
  <c r="I149" i="44"/>
  <c r="I69" i="43"/>
  <c r="I148" i="44"/>
  <c r="I25" i="61"/>
  <c r="I171" i="46"/>
  <c r="E180" i="44"/>
  <c r="I174" i="46"/>
  <c r="I147" i="44"/>
  <c r="H92" i="59"/>
  <c r="I170" i="46"/>
  <c r="C171" i="44" l="1" a="1"/>
  <c r="C171" i="44" s="1"/>
  <c r="F125" i="46" a="1"/>
  <c r="F125" i="46" s="1"/>
  <c r="G125" i="46" s="1" a="1"/>
  <c r="G125" i="46" s="1"/>
  <c r="G174" i="46" a="1"/>
  <c r="G174" i="46" s="1"/>
  <c r="G47" i="46"/>
  <c r="G49" i="44" a="1"/>
  <c r="G49" i="44" s="1"/>
  <c r="G38" i="44" a="1"/>
  <c r="G38" i="44" s="1"/>
  <c r="F86" i="46" a="1"/>
  <c r="F86" i="46" s="1"/>
  <c r="F93" i="46" s="1" a="1"/>
  <c r="F93" i="46" s="1"/>
  <c r="E76" i="44" a="1"/>
  <c r="E76" i="44" s="1"/>
  <c r="C76" i="44" a="1"/>
  <c r="C76" i="44" s="1"/>
  <c r="G63" i="44" a="1"/>
  <c r="G63" i="44" s="1"/>
  <c r="G45" i="43" a="1"/>
  <c r="G45" i="43" s="1"/>
  <c r="G45" i="42" a="1"/>
  <c r="G45" i="42" s="1"/>
  <c r="F118" i="60" a="1"/>
  <c r="F118" i="60" s="1"/>
  <c r="F111" i="60" a="1"/>
  <c r="F111" i="60" s="1"/>
  <c r="F79" i="60" a="1"/>
  <c r="F79" i="60" s="1"/>
  <c r="F69" i="60" a="1"/>
  <c r="F69" i="60" s="1"/>
  <c r="F62" i="60" a="1"/>
  <c r="F62" i="60" s="1"/>
  <c r="I49" i="44"/>
  <c r="I115" i="46"/>
  <c r="I105" i="46"/>
  <c r="I86" i="46"/>
  <c r="I63" i="44"/>
  <c r="I47" i="46"/>
  <c r="I44" i="45"/>
  <c r="C180" i="44" l="1" a="1"/>
  <c r="C180" i="44" s="1"/>
  <c r="C188" i="44" s="1" a="1"/>
  <c r="C188" i="44" s="1"/>
  <c r="G155" i="44" s="1" a="1"/>
  <c r="G155" i="44" s="1"/>
  <c r="G76" i="44" a="1"/>
  <c r="G76" i="44" s="1"/>
  <c r="I76" i="44" s="1" a="1"/>
  <c r="I76" i="44" s="1"/>
  <c r="D93" i="46" a="1"/>
  <c r="D93" i="46" s="1"/>
  <c r="F52" i="60" l="1" a="1"/>
  <c r="F52" i="60" s="1"/>
  <c r="F46" i="60" a="1"/>
  <c r="F46" i="60" s="1"/>
  <c r="F40" i="60"/>
  <c r="F39" i="60"/>
  <c r="F38" i="60"/>
  <c r="F37" i="60"/>
  <c r="D20" i="48"/>
  <c r="E20" i="48" s="1"/>
  <c r="D21" i="48"/>
  <c r="E21" i="48" s="1"/>
  <c r="D22" i="48"/>
  <c r="E22" i="48" s="1"/>
  <c r="D23" i="48"/>
  <c r="E23" i="48" s="1"/>
  <c r="D24" i="48"/>
  <c r="E24" i="48" s="1"/>
  <c r="F22" i="59" a="1"/>
  <c r="F22" i="59" s="1"/>
  <c r="F23" i="59" a="1"/>
  <c r="F23" i="59" s="1"/>
  <c r="F24" i="59" a="1"/>
  <c r="F24" i="59" s="1"/>
  <c r="F21" i="59" a="1"/>
  <c r="F21" i="59" s="1"/>
  <c r="F168" i="59" a="1"/>
  <c r="F168" i="59" s="1"/>
  <c r="F160" i="59" a="1"/>
  <c r="F160" i="59" s="1"/>
  <c r="F153" i="59" a="1"/>
  <c r="F153" i="59" s="1"/>
  <c r="F152" i="59" a="1"/>
  <c r="F152" i="59" s="1"/>
  <c r="F151" i="59" a="1"/>
  <c r="F151" i="59" s="1"/>
  <c r="F150" i="59" a="1"/>
  <c r="F150" i="59" s="1"/>
  <c r="F149" i="59" a="1"/>
  <c r="F149" i="59" s="1"/>
  <c r="F146" i="59" a="1"/>
  <c r="F146" i="59" s="1"/>
  <c r="F145" i="59" a="1"/>
  <c r="F145" i="59" s="1"/>
  <c r="F144" i="59" a="1"/>
  <c r="F144" i="59" s="1"/>
  <c r="F143" i="59" a="1"/>
  <c r="F143" i="59" s="1"/>
  <c r="F142" i="59" a="1"/>
  <c r="F142" i="59" s="1"/>
  <c r="F139" i="59" a="1"/>
  <c r="F139" i="59" s="1"/>
  <c r="F138" i="59" a="1"/>
  <c r="F138" i="59" s="1"/>
  <c r="F137" i="59" a="1"/>
  <c r="F137" i="59" s="1"/>
  <c r="F136" i="59" a="1"/>
  <c r="F136" i="59" s="1"/>
  <c r="F135" i="59" a="1"/>
  <c r="F135" i="59" s="1"/>
  <c r="F126" i="59" a="1"/>
  <c r="F126" i="59" s="1"/>
  <c r="F125" i="59" a="1"/>
  <c r="F125" i="59" s="1"/>
  <c r="F124" i="59" a="1"/>
  <c r="F124" i="59" s="1"/>
  <c r="F123" i="59" a="1"/>
  <c r="F123" i="59" s="1"/>
  <c r="F121" i="59" a="1"/>
  <c r="F121" i="59" s="1"/>
  <c r="F120" i="59" a="1"/>
  <c r="F120" i="59" s="1"/>
  <c r="F119" i="59" a="1"/>
  <c r="F119" i="59" s="1"/>
  <c r="F118" i="59" a="1"/>
  <c r="F118" i="59" s="1"/>
  <c r="F116" i="59" a="1"/>
  <c r="F116" i="59" s="1"/>
  <c r="F115" i="59" a="1"/>
  <c r="F115" i="59" s="1"/>
  <c r="F114" i="59" a="1"/>
  <c r="F114" i="59" s="1"/>
  <c r="F113" i="59" a="1"/>
  <c r="F113" i="59" s="1"/>
  <c r="F99" i="59" a="1"/>
  <c r="F99" i="59" s="1"/>
  <c r="I87" i="59" a="1"/>
  <c r="I87" i="59" s="1"/>
  <c r="H87" i="59" a="1"/>
  <c r="H87" i="59" s="1"/>
  <c r="G87" i="59" a="1"/>
  <c r="G87" i="59" s="1"/>
  <c r="F87" i="59" a="1"/>
  <c r="F87" i="59" s="1"/>
  <c r="I76" i="59" a="1"/>
  <c r="I76" i="59" s="1"/>
  <c r="H76" i="59" a="1"/>
  <c r="H76" i="59" s="1"/>
  <c r="G76" i="59" a="1"/>
  <c r="G76" i="59" s="1"/>
  <c r="F76" i="59" a="1"/>
  <c r="F76" i="59" s="1"/>
  <c r="F69" i="59" a="1"/>
  <c r="F69" i="59" s="1"/>
  <c r="F68" i="59" a="1"/>
  <c r="F68" i="59" s="1"/>
  <c r="F67" i="59" a="1"/>
  <c r="F67" i="59" s="1"/>
  <c r="F66" i="59" a="1"/>
  <c r="F66" i="59" s="1"/>
  <c r="F60" i="59" a="1"/>
  <c r="F60" i="59" s="1"/>
  <c r="F59" i="59" a="1"/>
  <c r="F59" i="59" s="1"/>
  <c r="F58" i="59" a="1"/>
  <c r="F58" i="59" s="1"/>
  <c r="F57" i="59" a="1"/>
  <c r="F57" i="59" s="1"/>
  <c r="F81" i="59"/>
  <c r="I81" i="59"/>
  <c r="H38" i="60"/>
  <c r="H62" i="60"/>
  <c r="H24" i="59"/>
  <c r="I69" i="59"/>
  <c r="H21" i="59"/>
  <c r="I60" i="59"/>
  <c r="H39" i="60"/>
  <c r="H37" i="60"/>
  <c r="H99" i="59"/>
  <c r="H81" i="59"/>
  <c r="H135" i="59"/>
  <c r="I58" i="59"/>
  <c r="I66" i="59"/>
  <c r="F92" i="59"/>
  <c r="H142" i="59"/>
  <c r="H125" i="60"/>
  <c r="H22" i="59"/>
  <c r="H111" i="60"/>
  <c r="I57" i="59"/>
  <c r="F80" i="60"/>
  <c r="J118" i="59"/>
  <c r="J123" i="59"/>
  <c r="H46" i="60"/>
  <c r="I68" i="59"/>
  <c r="G81" i="59"/>
  <c r="H52" i="60"/>
  <c r="H149" i="59"/>
  <c r="J113" i="59"/>
  <c r="I59" i="59"/>
  <c r="H40" i="60"/>
  <c r="H168" i="59"/>
  <c r="H160" i="59"/>
  <c r="H69" i="60"/>
  <c r="I67" i="59"/>
  <c r="H118" i="60"/>
  <c r="H23" i="59"/>
  <c r="D123" i="57" l="1" a="1"/>
  <c r="D123" i="57" s="1"/>
  <c r="O122" i="57"/>
  <c r="N122" i="57"/>
  <c r="O123" i="57" s="1" a="1"/>
  <c r="O123" i="57" s="1"/>
  <c r="M122" i="57"/>
  <c r="N123" i="57" s="1" a="1"/>
  <c r="N123" i="57" s="1"/>
  <c r="L122" i="57"/>
  <c r="M123" i="57" s="1" a="1"/>
  <c r="M123" i="57" s="1"/>
  <c r="K122" i="57"/>
  <c r="L123" i="57" s="1" a="1"/>
  <c r="L123" i="57" s="1"/>
  <c r="J122" i="57"/>
  <c r="K123" i="57" s="1" a="1"/>
  <c r="K123" i="57" s="1"/>
  <c r="I122" i="57"/>
  <c r="J123" i="57" s="1" a="1"/>
  <c r="J123" i="57" s="1"/>
  <c r="H122" i="57"/>
  <c r="I123" i="57" s="1" a="1"/>
  <c r="I123" i="57" s="1"/>
  <c r="G122" i="57"/>
  <c r="H123" i="57" s="1" a="1"/>
  <c r="H123" i="57" s="1"/>
  <c r="F122" i="57"/>
  <c r="G123" i="57" s="1" a="1"/>
  <c r="G123" i="57" s="1"/>
  <c r="E122" i="57"/>
  <c r="F123" i="57" s="1" a="1"/>
  <c r="F123" i="57" s="1"/>
  <c r="D122" i="57"/>
  <c r="E123" i="57" s="1" a="1"/>
  <c r="E123" i="57" s="1"/>
  <c r="S109" i="57" a="1"/>
  <c r="S109" i="57" s="1"/>
  <c r="R109" i="57" a="1"/>
  <c r="R109" i="57" s="1"/>
  <c r="Q109" i="57" a="1"/>
  <c r="Q109" i="57" s="1"/>
  <c r="P109" i="57" a="1"/>
  <c r="P109" i="57" s="1"/>
  <c r="O109" i="57" a="1"/>
  <c r="O109" i="57" s="1"/>
  <c r="N109" i="57" a="1"/>
  <c r="N109" i="57" s="1"/>
  <c r="M109" i="57" a="1"/>
  <c r="M109" i="57" s="1"/>
  <c r="L109" i="57" a="1"/>
  <c r="L109" i="57" s="1"/>
  <c r="K109" i="57" a="1"/>
  <c r="K109" i="57" s="1"/>
  <c r="J109" i="57" a="1"/>
  <c r="J109" i="57" s="1"/>
  <c r="I109" i="57" a="1"/>
  <c r="I109" i="57" s="1"/>
  <c r="H109" i="57" a="1"/>
  <c r="H109" i="57" s="1"/>
  <c r="G88" i="57"/>
  <c r="G57" i="57"/>
  <c r="G46" i="57"/>
  <c r="D21" i="57" a="1"/>
  <c r="D21" i="57" s="1"/>
  <c r="D76" i="46"/>
  <c r="D75" i="46"/>
  <c r="D74" i="46"/>
  <c r="D73" i="46"/>
  <c r="D72" i="46"/>
  <c r="D147" i="54"/>
  <c r="C147" i="54"/>
  <c r="P142" i="54"/>
  <c r="P147" i="54" s="1"/>
  <c r="P149" i="54" s="1"/>
  <c r="O142" i="54"/>
  <c r="O147" i="54" s="1"/>
  <c r="O149" i="54" s="1"/>
  <c r="N142" i="54"/>
  <c r="N147" i="54" s="1"/>
  <c r="N149" i="54" s="1"/>
  <c r="M142" i="54"/>
  <c r="M147" i="54" s="1"/>
  <c r="M149" i="54" s="1"/>
  <c r="L142" i="54"/>
  <c r="L147" i="54" s="1"/>
  <c r="L149" i="54" s="1"/>
  <c r="K142" i="54"/>
  <c r="K147" i="54" s="1"/>
  <c r="K149" i="54" s="1"/>
  <c r="J142" i="54"/>
  <c r="J147" i="54" s="1"/>
  <c r="J149" i="54" s="1"/>
  <c r="I142" i="54"/>
  <c r="I147" i="54" s="1"/>
  <c r="I149" i="54" s="1"/>
  <c r="H142" i="54"/>
  <c r="H147" i="54" s="1"/>
  <c r="H149" i="54" s="1"/>
  <c r="G142" i="54"/>
  <c r="G147" i="54" s="1"/>
  <c r="G149" i="54" s="1"/>
  <c r="F142" i="54"/>
  <c r="F147" i="54" s="1"/>
  <c r="F149" i="54" s="1"/>
  <c r="E142" i="54"/>
  <c r="E147" i="54" s="1"/>
  <c r="E149" i="54" s="1"/>
  <c r="P133" i="54"/>
  <c r="O133" i="54"/>
  <c r="N133" i="54"/>
  <c r="M133" i="54"/>
  <c r="L133" i="54"/>
  <c r="K133" i="54"/>
  <c r="J133" i="54"/>
  <c r="I133" i="54"/>
  <c r="H133" i="54"/>
  <c r="G133" i="54"/>
  <c r="F133" i="54"/>
  <c r="E133" i="54"/>
  <c r="D124" i="54"/>
  <c r="D123" i="54"/>
  <c r="D122" i="54"/>
  <c r="D121" i="54"/>
  <c r="D120" i="54"/>
  <c r="D119" i="54"/>
  <c r="D118" i="54"/>
  <c r="D117" i="54"/>
  <c r="D116" i="54"/>
  <c r="D115" i="54"/>
  <c r="D114" i="54"/>
  <c r="D113" i="54"/>
  <c r="G97" i="54"/>
  <c r="F97" i="54"/>
  <c r="G96" i="54"/>
  <c r="F96" i="54"/>
  <c r="G95" i="54"/>
  <c r="F95" i="54"/>
  <c r="G94" i="54"/>
  <c r="F94" i="54"/>
  <c r="G93" i="54"/>
  <c r="F93" i="54"/>
  <c r="G92" i="54"/>
  <c r="F92" i="54"/>
  <c r="G91" i="54"/>
  <c r="F91" i="54"/>
  <c r="G90" i="54"/>
  <c r="F90" i="54"/>
  <c r="G89" i="54"/>
  <c r="F89" i="54"/>
  <c r="G88" i="54"/>
  <c r="F88" i="54"/>
  <c r="G87" i="54"/>
  <c r="F87" i="54"/>
  <c r="H87" i="54" s="1"/>
  <c r="G86" i="54"/>
  <c r="F86" i="54"/>
  <c r="G85" i="54"/>
  <c r="F85" i="54"/>
  <c r="G84" i="54"/>
  <c r="F84" i="54"/>
  <c r="E68" i="54"/>
  <c r="F68" i="54" s="1"/>
  <c r="E67" i="54"/>
  <c r="F67" i="54" s="1"/>
  <c r="E66" i="54"/>
  <c r="F66" i="54" s="1"/>
  <c r="E65" i="54"/>
  <c r="F65" i="54" s="1"/>
  <c r="E64" i="54"/>
  <c r="F64" i="54" s="1"/>
  <c r="E63" i="54"/>
  <c r="F63" i="54" s="1"/>
  <c r="E62" i="54"/>
  <c r="F62" i="54" s="1"/>
  <c r="E61" i="54"/>
  <c r="F61" i="54" s="1"/>
  <c r="E60" i="54"/>
  <c r="F60" i="54" s="1"/>
  <c r="E59" i="54"/>
  <c r="F59" i="54" s="1"/>
  <c r="E58" i="54"/>
  <c r="F58" i="54" s="1"/>
  <c r="E57" i="54"/>
  <c r="F57" i="54" s="1"/>
  <c r="E56" i="54"/>
  <c r="F56" i="54" s="1"/>
  <c r="E55" i="54"/>
  <c r="F55" i="54" s="1"/>
  <c r="E54" i="54"/>
  <c r="F54" i="54" s="1"/>
  <c r="E53" i="54"/>
  <c r="F53" i="54" s="1"/>
  <c r="E52" i="54"/>
  <c r="F52" i="54" s="1"/>
  <c r="E51" i="54"/>
  <c r="F51" i="54" s="1"/>
  <c r="E50" i="54"/>
  <c r="F50" i="54" s="1"/>
  <c r="E49" i="54"/>
  <c r="F49" i="54" s="1"/>
  <c r="E48" i="54"/>
  <c r="F48" i="54" s="1"/>
  <c r="M39" i="54"/>
  <c r="N39" i="54" s="1"/>
  <c r="I39" i="54"/>
  <c r="E39" i="54"/>
  <c r="M38" i="54"/>
  <c r="N38" i="54" s="1"/>
  <c r="I38" i="54"/>
  <c r="E38" i="54"/>
  <c r="M37" i="54"/>
  <c r="N37" i="54" s="1"/>
  <c r="I37" i="54"/>
  <c r="E37" i="54"/>
  <c r="M36" i="54"/>
  <c r="N36" i="54" s="1"/>
  <c r="I36" i="54"/>
  <c r="E36" i="54"/>
  <c r="M35" i="54"/>
  <c r="N35" i="54" s="1"/>
  <c r="I35" i="54"/>
  <c r="E35" i="54"/>
  <c r="M34" i="54"/>
  <c r="N34" i="54" s="1"/>
  <c r="I34" i="54"/>
  <c r="E34" i="54"/>
  <c r="M33" i="54"/>
  <c r="N33" i="54" s="1"/>
  <c r="I33" i="54"/>
  <c r="E33" i="54"/>
  <c r="M32" i="54"/>
  <c r="N32" i="54" s="1"/>
  <c r="I32" i="54"/>
  <c r="E32" i="54"/>
  <c r="M31" i="54"/>
  <c r="N31" i="54" s="1"/>
  <c r="I31" i="54"/>
  <c r="E31" i="54"/>
  <c r="M30" i="54"/>
  <c r="N30" i="54" s="1"/>
  <c r="I30" i="54"/>
  <c r="E30" i="54"/>
  <c r="M29" i="54"/>
  <c r="N29" i="54" s="1"/>
  <c r="I29" i="54"/>
  <c r="E29" i="54"/>
  <c r="M28" i="54"/>
  <c r="N28" i="54" s="1"/>
  <c r="I28" i="54"/>
  <c r="E28" i="54"/>
  <c r="M27" i="54"/>
  <c r="N27" i="54" s="1"/>
  <c r="I27" i="54"/>
  <c r="E27" i="54"/>
  <c r="M26" i="54"/>
  <c r="N26" i="54" s="1"/>
  <c r="I26" i="54"/>
  <c r="E26" i="54"/>
  <c r="M25" i="54"/>
  <c r="N25" i="54" s="1"/>
  <c r="I25" i="54"/>
  <c r="E25" i="54"/>
  <c r="M24" i="54"/>
  <c r="N24" i="54" s="1"/>
  <c r="I24" i="54"/>
  <c r="E24" i="54"/>
  <c r="M23" i="54"/>
  <c r="N23" i="54" s="1"/>
  <c r="I23" i="54"/>
  <c r="E23" i="54"/>
  <c r="M22" i="54"/>
  <c r="N22" i="54" s="1"/>
  <c r="I22" i="54"/>
  <c r="E22" i="54"/>
  <c r="M21" i="54"/>
  <c r="N21" i="54" s="1"/>
  <c r="I21" i="54"/>
  <c r="E21" i="54"/>
  <c r="M20" i="54"/>
  <c r="N20" i="54" s="1"/>
  <c r="I20" i="54"/>
  <c r="E20" i="54"/>
  <c r="M19" i="54"/>
  <c r="N19" i="54" s="1"/>
  <c r="I19" i="54"/>
  <c r="E19" i="54"/>
  <c r="E48" i="53"/>
  <c r="E47" i="53"/>
  <c r="E46" i="53"/>
  <c r="E45" i="53"/>
  <c r="E44" i="53"/>
  <c r="E43" i="53"/>
  <c r="E42" i="53"/>
  <c r="E30" i="53"/>
  <c r="F30" i="53" s="1"/>
  <c r="E29" i="53"/>
  <c r="F29" i="53" s="1"/>
  <c r="E28" i="53"/>
  <c r="F28" i="53" s="1"/>
  <c r="E27" i="53"/>
  <c r="F27" i="53" s="1"/>
  <c r="E26" i="53"/>
  <c r="F26" i="53" s="1"/>
  <c r="E25" i="53"/>
  <c r="F25" i="53" s="1"/>
  <c r="E24" i="53"/>
  <c r="F24" i="53" s="1"/>
  <c r="E19" i="53"/>
  <c r="E18" i="53"/>
  <c r="E17" i="53"/>
  <c r="F34" i="52"/>
  <c r="H33" i="52"/>
  <c r="H34" i="52" s="1"/>
  <c r="G33" i="52"/>
  <c r="G34" i="52" s="1"/>
  <c r="E23" i="52"/>
  <c r="E22" i="52"/>
  <c r="E21" i="52"/>
  <c r="E20" i="52"/>
  <c r="E19" i="52"/>
  <c r="E18" i="52"/>
  <c r="E17" i="52"/>
  <c r="F34" i="51"/>
  <c r="F33" i="51"/>
  <c r="G32" i="51"/>
  <c r="G34" i="51" s="1"/>
  <c r="E23" i="51"/>
  <c r="E22" i="51"/>
  <c r="E21" i="51"/>
  <c r="E20" i="51"/>
  <c r="E19" i="51"/>
  <c r="E18" i="51"/>
  <c r="E17" i="51"/>
  <c r="G58" i="58" a="1"/>
  <c r="J57" i="58"/>
  <c r="G59" i="58" a="1"/>
  <c r="G55" i="58" a="1"/>
  <c r="F18" i="53"/>
  <c r="I88" i="57"/>
  <c r="I46" i="58"/>
  <c r="I24" i="58"/>
  <c r="G24" i="53"/>
  <c r="J59" i="58"/>
  <c r="J55" i="58"/>
  <c r="G17" i="51"/>
  <c r="G61" i="58" a="1"/>
  <c r="F42" i="53"/>
  <c r="J60" i="58"/>
  <c r="G24" i="58" a="1"/>
  <c r="G57" i="58" a="1"/>
  <c r="F17" i="53"/>
  <c r="G56" i="58" a="1"/>
  <c r="I46" i="57"/>
  <c r="I57" i="57"/>
  <c r="J56" i="58"/>
  <c r="J58" i="58"/>
  <c r="G46" i="58"/>
  <c r="J61" i="58"/>
  <c r="F19" i="53"/>
  <c r="G17" i="52"/>
  <c r="G60" i="58" a="1"/>
  <c r="H89" i="54" l="1"/>
  <c r="H88" i="54"/>
  <c r="H93" i="54"/>
  <c r="H85" i="54"/>
  <c r="H91" i="54"/>
  <c r="H96" i="54"/>
  <c r="H97" i="54"/>
  <c r="H84" i="54"/>
  <c r="N40" i="54"/>
  <c r="G39" i="51"/>
  <c r="G43" i="51"/>
  <c r="G44" i="51"/>
  <c r="G38" i="51"/>
  <c r="G33" i="51"/>
  <c r="H94" i="54"/>
  <c r="H86" i="54"/>
  <c r="H90" i="54"/>
  <c r="H95" i="54"/>
  <c r="H92" i="54"/>
  <c r="G24" i="58"/>
  <c r="G59" i="58"/>
  <c r="G56" i="58"/>
  <c r="G60" i="58"/>
  <c r="G57" i="58"/>
  <c r="G61" i="58"/>
  <c r="G58" i="58"/>
  <c r="G55" i="58"/>
  <c r="F69" i="54"/>
  <c r="I33" i="52"/>
  <c r="H32" i="51"/>
  <c r="H98" i="54" l="1"/>
  <c r="H44" i="51"/>
  <c r="H39" i="51"/>
  <c r="H43" i="51"/>
  <c r="H38" i="51"/>
  <c r="H33" i="51"/>
  <c r="I32" i="51"/>
  <c r="H34" i="51"/>
  <c r="J33" i="52"/>
  <c r="I34" i="52"/>
  <c r="I43" i="51" l="1"/>
  <c r="I44" i="51"/>
  <c r="I38" i="51"/>
  <c r="I39" i="51"/>
  <c r="K33" i="52"/>
  <c r="J34" i="52"/>
  <c r="I33" i="51"/>
  <c r="I34" i="51"/>
  <c r="J32" i="51"/>
  <c r="J43" i="51" l="1"/>
  <c r="J44" i="51"/>
  <c r="J38" i="51"/>
  <c r="J39" i="51"/>
  <c r="J34" i="51"/>
  <c r="K32" i="51"/>
  <c r="J33" i="51"/>
  <c r="K34" i="52"/>
  <c r="L33" i="52"/>
  <c r="K38" i="51" l="1"/>
  <c r="K39" i="51"/>
  <c r="K44" i="51"/>
  <c r="K43" i="51"/>
  <c r="L34" i="52"/>
  <c r="M33" i="52"/>
  <c r="L32" i="51"/>
  <c r="K33" i="51"/>
  <c r="K34" i="51"/>
  <c r="L44" i="51" l="1"/>
  <c r="L38" i="51"/>
  <c r="L43" i="51"/>
  <c r="L39" i="51"/>
  <c r="N33" i="52"/>
  <c r="M34" i="52"/>
  <c r="L33" i="51"/>
  <c r="L34" i="51"/>
  <c r="M32" i="51"/>
  <c r="M44" i="51" l="1"/>
  <c r="M38" i="51"/>
  <c r="M43" i="51"/>
  <c r="M39" i="51"/>
  <c r="M33" i="51"/>
  <c r="M34" i="51"/>
  <c r="N32" i="51"/>
  <c r="O33" i="52"/>
  <c r="N34" i="52"/>
  <c r="N38" i="51" l="1"/>
  <c r="N39" i="51"/>
  <c r="N43" i="51"/>
  <c r="N44" i="51"/>
  <c r="O34" i="52"/>
  <c r="P33" i="52"/>
  <c r="N34" i="51"/>
  <c r="O32" i="51"/>
  <c r="N33" i="51"/>
  <c r="O43" i="51" l="1"/>
  <c r="O38" i="51"/>
  <c r="O39" i="51"/>
  <c r="O44" i="51"/>
  <c r="P34" i="52"/>
  <c r="Q33" i="52"/>
  <c r="P32" i="51"/>
  <c r="O34" i="51"/>
  <c r="O33" i="51"/>
  <c r="P39" i="51" l="1"/>
  <c r="P43" i="51"/>
  <c r="P44" i="51"/>
  <c r="P38" i="51"/>
  <c r="R33" i="52"/>
  <c r="Q34" i="52"/>
  <c r="P33" i="51"/>
  <c r="Q32" i="51"/>
  <c r="P34" i="51"/>
  <c r="Q39" i="51" l="1"/>
  <c r="Q43" i="51"/>
  <c r="Q44" i="51"/>
  <c r="Q38" i="51"/>
  <c r="Q33" i="51"/>
  <c r="Q34" i="51"/>
  <c r="R32" i="51"/>
  <c r="S33" i="52"/>
  <c r="R34" i="52"/>
  <c r="R38" i="51" l="1"/>
  <c r="R43" i="51"/>
  <c r="R44" i="51"/>
  <c r="R39" i="51"/>
  <c r="S34" i="52"/>
  <c r="T33" i="52"/>
  <c r="R34" i="51"/>
  <c r="S32" i="51"/>
  <c r="R33" i="51"/>
  <c r="S43" i="51" l="1"/>
  <c r="S39" i="51"/>
  <c r="S44" i="51"/>
  <c r="S38" i="51"/>
  <c r="T34" i="52"/>
  <c r="U33" i="52"/>
  <c r="T32" i="51"/>
  <c r="S33" i="51"/>
  <c r="S34" i="51"/>
  <c r="T43" i="51" l="1"/>
  <c r="T44" i="51"/>
  <c r="T39" i="51"/>
  <c r="T38" i="51"/>
  <c r="T33" i="51"/>
  <c r="T34" i="51"/>
  <c r="U32" i="51"/>
  <c r="V33" i="52"/>
  <c r="U34" i="52"/>
  <c r="U44" i="51" l="1"/>
  <c r="U38" i="51"/>
  <c r="U39" i="51"/>
  <c r="U43" i="51"/>
  <c r="W33" i="52"/>
  <c r="V34" i="52"/>
  <c r="U33" i="51"/>
  <c r="U34" i="51"/>
  <c r="V32" i="51"/>
  <c r="V44" i="51" l="1"/>
  <c r="V39" i="51"/>
  <c r="V38" i="51"/>
  <c r="V43" i="51"/>
  <c r="V34" i="51"/>
  <c r="W32" i="51"/>
  <c r="V33" i="51"/>
  <c r="W34" i="52"/>
  <c r="X33" i="52"/>
  <c r="W44" i="51" l="1"/>
  <c r="W38" i="51"/>
  <c r="W43" i="51"/>
  <c r="W39" i="51"/>
  <c r="X34" i="52"/>
  <c r="Y33" i="52"/>
  <c r="X32" i="51"/>
  <c r="W34" i="51"/>
  <c r="W33" i="51"/>
  <c r="X44" i="51" l="1"/>
  <c r="X38" i="51"/>
  <c r="X39" i="51"/>
  <c r="X43" i="51"/>
  <c r="Z33" i="52"/>
  <c r="Y34" i="52"/>
  <c r="X33" i="51"/>
  <c r="Y32" i="51"/>
  <c r="X34" i="51"/>
  <c r="Y39" i="51" l="1"/>
  <c r="Y43" i="51"/>
  <c r="Y38" i="51"/>
  <c r="Y44" i="51"/>
  <c r="Y33" i="51"/>
  <c r="Y34" i="51"/>
  <c r="Z32" i="51"/>
  <c r="AA33" i="52"/>
  <c r="Z34" i="52"/>
  <c r="Z39" i="51" l="1"/>
  <c r="Z44" i="51"/>
  <c r="Z38" i="51"/>
  <c r="Z43" i="51"/>
  <c r="AA34" i="52"/>
  <c r="AB33" i="52"/>
  <c r="Z34" i="51"/>
  <c r="AA32" i="51"/>
  <c r="Z33" i="51"/>
  <c r="AA39" i="51" l="1"/>
  <c r="AA43" i="51"/>
  <c r="AA38" i="51"/>
  <c r="AA44" i="51"/>
  <c r="AB34" i="52"/>
  <c r="AC33" i="52"/>
  <c r="AB32" i="51"/>
  <c r="AA33" i="51"/>
  <c r="AA34" i="51"/>
  <c r="AB44" i="51" l="1"/>
  <c r="AB39" i="51"/>
  <c r="AB43" i="51"/>
  <c r="AB38" i="51"/>
  <c r="AD33" i="52"/>
  <c r="AC34" i="52"/>
  <c r="AB33" i="51"/>
  <c r="AB34" i="51"/>
  <c r="AC32" i="51"/>
  <c r="AC43" i="51" l="1"/>
  <c r="AC44" i="51"/>
  <c r="AC38" i="51"/>
  <c r="AC39" i="51"/>
  <c r="AC33" i="51"/>
  <c r="AC34" i="51"/>
  <c r="AD32" i="51"/>
  <c r="AE33" i="52"/>
  <c r="AD34" i="52"/>
  <c r="AD43" i="51" l="1"/>
  <c r="AD44" i="51"/>
  <c r="AD38" i="51"/>
  <c r="AD39" i="51"/>
  <c r="AD34" i="51"/>
  <c r="AE32" i="51"/>
  <c r="AD33" i="51"/>
  <c r="AE34" i="52"/>
  <c r="AF33" i="52"/>
  <c r="AE38" i="51" l="1"/>
  <c r="AE39" i="51"/>
  <c r="AE43" i="51"/>
  <c r="AE44" i="51"/>
  <c r="AF34" i="52"/>
  <c r="AF32" i="51"/>
  <c r="AE34" i="51"/>
  <c r="AE33" i="51"/>
  <c r="AF44" i="51" l="1"/>
  <c r="AF38" i="51"/>
  <c r="AF43" i="51"/>
  <c r="AF39" i="51"/>
  <c r="AF33" i="51"/>
  <c r="AF34" i="51"/>
  <c r="N12" i="48" l="1"/>
  <c r="O12" i="48" s="1"/>
  <c r="H12" i="48" s="1"/>
  <c r="J12" i="48"/>
  <c r="D12" i="48"/>
  <c r="N11" i="48"/>
  <c r="O11" i="48" s="1"/>
  <c r="H11" i="48" s="1"/>
  <c r="M11" i="48"/>
  <c r="E11" i="48"/>
  <c r="J11" i="48"/>
  <c r="N10" i="48"/>
  <c r="M10" i="48"/>
  <c r="D10" i="48"/>
  <c r="J10" i="48"/>
  <c r="N9" i="48"/>
  <c r="O9" i="48" s="1"/>
  <c r="H9" i="48" s="1"/>
  <c r="M9" i="48"/>
  <c r="E9" i="48"/>
  <c r="J9" i="48"/>
  <c r="N8" i="48"/>
  <c r="O8" i="48" s="1"/>
  <c r="H8" i="48" s="1"/>
  <c r="D8" i="48"/>
  <c r="J8" i="48"/>
  <c r="G171" i="46"/>
  <c r="G170" i="46"/>
  <c r="G169" i="46"/>
  <c r="G168" i="46"/>
  <c r="G65" i="46"/>
  <c r="G56" i="46"/>
  <c r="G72" i="45"/>
  <c r="G71" i="45"/>
  <c r="G70" i="45"/>
  <c r="G69" i="45"/>
  <c r="G34" i="45"/>
  <c r="G33" i="45"/>
  <c r="G32" i="45"/>
  <c r="G31" i="45"/>
  <c r="G30" i="45"/>
  <c r="G29" i="45"/>
  <c r="G16" i="45"/>
  <c r="G149" i="44"/>
  <c r="G148" i="44"/>
  <c r="G147" i="44"/>
  <c r="G146" i="44"/>
  <c r="G30" i="44"/>
  <c r="G17" i="44"/>
  <c r="G71" i="43"/>
  <c r="G70" i="43"/>
  <c r="G69" i="43"/>
  <c r="G40" i="43"/>
  <c r="G39" i="43"/>
  <c r="G38" i="43"/>
  <c r="G37" i="43"/>
  <c r="G36" i="43"/>
  <c r="G35" i="43"/>
  <c r="G27" i="43"/>
  <c r="G15" i="43"/>
  <c r="G72" i="42"/>
  <c r="G71" i="42"/>
  <c r="G70" i="42"/>
  <c r="G69" i="42"/>
  <c r="G40" i="42"/>
  <c r="G39" i="42"/>
  <c r="G38" i="42"/>
  <c r="G37" i="42"/>
  <c r="G36" i="42"/>
  <c r="G35" i="42"/>
  <c r="G27" i="42"/>
  <c r="G15" i="42"/>
  <c r="I35" i="43"/>
  <c r="I40" i="42"/>
  <c r="I39" i="43"/>
  <c r="I29" i="45"/>
  <c r="I37" i="43"/>
  <c r="I32" i="45"/>
  <c r="I38" i="43"/>
  <c r="I15" i="42"/>
  <c r="I36" i="43"/>
  <c r="I34" i="45"/>
  <c r="I37" i="42"/>
  <c r="I33" i="45"/>
  <c r="I30" i="44"/>
  <c r="I40" i="43"/>
  <c r="I17" i="44"/>
  <c r="I27" i="42"/>
  <c r="I15" i="43"/>
  <c r="I56" i="46"/>
  <c r="I65" i="46"/>
  <c r="I35" i="42"/>
  <c r="I39" i="42"/>
  <c r="I38" i="44"/>
  <c r="I27" i="43"/>
  <c r="I27" i="46"/>
  <c r="I31" i="45"/>
  <c r="I30" i="45"/>
  <c r="I38" i="42"/>
  <c r="I36" i="42"/>
  <c r="I18" i="46"/>
  <c r="I16" i="45"/>
  <c r="G9" i="48" l="1"/>
  <c r="E10" i="48"/>
  <c r="D9" i="48"/>
  <c r="F10" i="48"/>
  <c r="G10" i="48"/>
  <c r="G11" i="48"/>
  <c r="F11" i="48"/>
  <c r="H10" i="48"/>
  <c r="M8" i="48"/>
  <c r="G8" i="48" s="1"/>
  <c r="E8" i="48"/>
  <c r="F9" i="48"/>
  <c r="D11" i="48"/>
  <c r="E12" i="48"/>
  <c r="O10" i="48"/>
  <c r="M12" i="48"/>
  <c r="G12" i="48" s="1"/>
  <c r="F12" i="48" l="1"/>
  <c r="F8" i="48"/>
  <c r="L242" i="41" l="1"/>
  <c r="K240" i="41"/>
  <c r="L240" i="41"/>
  <c r="L239" i="41"/>
  <c r="K239" i="41"/>
  <c r="L238" i="41"/>
  <c r="L237" i="41"/>
  <c r="K237" i="41"/>
  <c r="M237" i="41" s="1"/>
  <c r="L236" i="41"/>
  <c r="L234" i="41"/>
  <c r="K232" i="41"/>
  <c r="L232" i="41"/>
  <c r="L231" i="41"/>
  <c r="K231" i="41"/>
  <c r="L230" i="41"/>
  <c r="K229" i="41"/>
  <c r="L228" i="41"/>
  <c r="K228" i="41"/>
  <c r="M228" i="41" s="1"/>
  <c r="L226" i="41"/>
  <c r="K226" i="41"/>
  <c r="M226" i="41" s="1"/>
  <c r="L225" i="41"/>
  <c r="K225" i="41"/>
  <c r="L224" i="41"/>
  <c r="L223" i="41"/>
  <c r="K223" i="41"/>
  <c r="L222" i="41"/>
  <c r="K222" i="41"/>
  <c r="K221" i="41"/>
  <c r="L220" i="41"/>
  <c r="K220" i="41"/>
  <c r="M220" i="41" s="1"/>
  <c r="K217" i="41"/>
  <c r="K216" i="41"/>
  <c r="L216" i="41"/>
  <c r="L213" i="41"/>
  <c r="K213" i="41"/>
  <c r="M213" i="41" s="1"/>
  <c r="K210" i="41"/>
  <c r="L210" i="41"/>
  <c r="L209" i="41"/>
  <c r="K209" i="41"/>
  <c r="K207" i="41"/>
  <c r="L207" i="41"/>
  <c r="K205" i="41"/>
  <c r="L205" i="41"/>
  <c r="K194" i="41"/>
  <c r="K193" i="41"/>
  <c r="L193" i="41"/>
  <c r="L192" i="41"/>
  <c r="K192" i="41"/>
  <c r="K190" i="41"/>
  <c r="K189" i="41"/>
  <c r="L189" i="41"/>
  <c r="L188" i="41"/>
  <c r="K188" i="41"/>
  <c r="L187" i="41"/>
  <c r="K187" i="41"/>
  <c r="M187" i="41" s="1"/>
  <c r="K185" i="41"/>
  <c r="L184" i="41"/>
  <c r="K183" i="41"/>
  <c r="L183" i="41"/>
  <c r="K182" i="41"/>
  <c r="M182" i="41" s="1"/>
  <c r="L182" i="41"/>
  <c r="L180" i="41"/>
  <c r="K179" i="41"/>
  <c r="K178" i="41"/>
  <c r="L178" i="41"/>
  <c r="L177" i="41"/>
  <c r="K177" i="41"/>
  <c r="L175" i="41"/>
  <c r="K175" i="41"/>
  <c r="L174" i="41"/>
  <c r="K173" i="41"/>
  <c r="K170" i="41"/>
  <c r="L170" i="41"/>
  <c r="L169" i="41"/>
  <c r="K169" i="41"/>
  <c r="L167" i="41"/>
  <c r="K167" i="41"/>
  <c r="L166" i="41"/>
  <c r="K165" i="41"/>
  <c r="K164" i="41"/>
  <c r="M164" i="41" s="1"/>
  <c r="L164" i="41"/>
  <c r="K163" i="41"/>
  <c r="L162" i="41"/>
  <c r="L161" i="41"/>
  <c r="K161" i="41"/>
  <c r="K160" i="41"/>
  <c r="L160" i="41"/>
  <c r="L159" i="41"/>
  <c r="K159" i="41"/>
  <c r="K158" i="41"/>
  <c r="M158" i="41" s="1"/>
  <c r="L158" i="41"/>
  <c r="L157" i="41"/>
  <c r="K157" i="41"/>
  <c r="M157" i="41" s="1"/>
  <c r="K156" i="41"/>
  <c r="L156" i="41"/>
  <c r="L155" i="41"/>
  <c r="K155" i="41"/>
  <c r="K154" i="41"/>
  <c r="L154" i="41"/>
  <c r="L153" i="41"/>
  <c r="K153" i="41"/>
  <c r="L152" i="41"/>
  <c r="K152" i="41"/>
  <c r="L151" i="41"/>
  <c r="K151" i="41"/>
  <c r="L150" i="41"/>
  <c r="K150" i="41"/>
  <c r="L149" i="41"/>
  <c r="K149" i="41"/>
  <c r="L148" i="41"/>
  <c r="K148" i="41"/>
  <c r="L147" i="41"/>
  <c r="K145" i="41"/>
  <c r="L145" i="41"/>
  <c r="L144" i="41"/>
  <c r="K144" i="41"/>
  <c r="L143" i="41"/>
  <c r="K141" i="41"/>
  <c r="L141" i="41"/>
  <c r="L140" i="41"/>
  <c r="K140" i="41"/>
  <c r="K139" i="41"/>
  <c r="L138" i="41"/>
  <c r="K138" i="41"/>
  <c r="M138" i="41" s="1"/>
  <c r="L134" i="41"/>
  <c r="K134" i="41"/>
  <c r="M134" i="41" s="1"/>
  <c r="K133" i="41"/>
  <c r="K132" i="41"/>
  <c r="K131" i="41"/>
  <c r="L130" i="41"/>
  <c r="K130" i="41"/>
  <c r="L126" i="41"/>
  <c r="K126" i="41"/>
  <c r="M126" i="41" s="1"/>
  <c r="K125" i="41"/>
  <c r="K123" i="41"/>
  <c r="L122" i="41"/>
  <c r="K122" i="41"/>
  <c r="M122" i="41" s="1"/>
  <c r="K120" i="41"/>
  <c r="L118" i="41"/>
  <c r="K118" i="41"/>
  <c r="K117" i="41"/>
  <c r="K116" i="41"/>
  <c r="K115" i="41"/>
  <c r="K113" i="41"/>
  <c r="L112" i="41"/>
  <c r="K112" i="41"/>
  <c r="K111" i="41"/>
  <c r="L111" i="41"/>
  <c r="K110" i="41"/>
  <c r="L110" i="41"/>
  <c r="L109" i="41"/>
  <c r="K109" i="41"/>
  <c r="M109" i="41" s="1"/>
  <c r="L108" i="41"/>
  <c r="K108" i="41"/>
  <c r="M108" i="41" s="1"/>
  <c r="L107" i="41"/>
  <c r="K107" i="41"/>
  <c r="M107" i="41" s="1"/>
  <c r="K106" i="41"/>
  <c r="L105" i="41"/>
  <c r="K105" i="41"/>
  <c r="L104" i="41"/>
  <c r="K104" i="41"/>
  <c r="L103" i="41"/>
  <c r="K103" i="41"/>
  <c r="L102" i="41"/>
  <c r="K102" i="41"/>
  <c r="L101" i="41"/>
  <c r="L100" i="41"/>
  <c r="L99" i="41"/>
  <c r="L98" i="41"/>
  <c r="L97" i="41"/>
  <c r="K97" i="41"/>
  <c r="L96" i="41"/>
  <c r="K96" i="41"/>
  <c r="M96" i="41" s="1"/>
  <c r="L95" i="41"/>
  <c r="K95" i="41"/>
  <c r="L94" i="41"/>
  <c r="K94" i="41"/>
  <c r="L92" i="41"/>
  <c r="L91" i="41"/>
  <c r="L90" i="41"/>
  <c r="L89" i="41"/>
  <c r="K89" i="41"/>
  <c r="L88" i="41"/>
  <c r="K88" i="41"/>
  <c r="M88" i="41" s="1"/>
  <c r="L87" i="41"/>
  <c r="K87" i="41"/>
  <c r="L86" i="41"/>
  <c r="K86" i="41"/>
  <c r="L83" i="41"/>
  <c r="K82" i="41"/>
  <c r="L82" i="41"/>
  <c r="L81" i="41"/>
  <c r="K81" i="41"/>
  <c r="L79" i="41"/>
  <c r="K78" i="41"/>
  <c r="L78" i="41"/>
  <c r="L77" i="41"/>
  <c r="K77" i="41"/>
  <c r="L76" i="41"/>
  <c r="L75" i="41"/>
  <c r="K75" i="41"/>
  <c r="L73" i="41"/>
  <c r="L72" i="41"/>
  <c r="L70" i="41"/>
  <c r="L69" i="41"/>
  <c r="K69" i="41"/>
  <c r="L68" i="41"/>
  <c r="L67" i="41"/>
  <c r="K67" i="41"/>
  <c r="L66" i="41"/>
  <c r="L64" i="41"/>
  <c r="L62" i="41"/>
  <c r="L60" i="41"/>
  <c r="L58" i="41"/>
  <c r="K45" i="41"/>
  <c r="L44" i="41"/>
  <c r="K43" i="41"/>
  <c r="K42" i="41"/>
  <c r="K41" i="41"/>
  <c r="K40" i="41"/>
  <c r="L40" i="41"/>
  <c r="K39" i="41"/>
  <c r="L38" i="41"/>
  <c r="K37" i="41"/>
  <c r="L36" i="41"/>
  <c r="K35" i="41"/>
  <c r="K34" i="41"/>
  <c r="K33" i="41"/>
  <c r="K32" i="41"/>
  <c r="L32" i="41"/>
  <c r="K31" i="41"/>
  <c r="L30" i="41"/>
  <c r="K29" i="41"/>
  <c r="L28" i="41"/>
  <c r="K27" i="41"/>
  <c r="K26" i="41"/>
  <c r="K25" i="41"/>
  <c r="K24" i="41"/>
  <c r="L24" i="41"/>
  <c r="K23" i="41"/>
  <c r="K21" i="41"/>
  <c r="L20" i="41"/>
  <c r="L19" i="41"/>
  <c r="L18" i="41"/>
  <c r="K18" i="41"/>
  <c r="K17" i="41"/>
  <c r="L17" i="41"/>
  <c r="L16" i="41"/>
  <c r="L15" i="41"/>
  <c r="L14" i="41"/>
  <c r="K14" i="41"/>
  <c r="L13" i="41"/>
  <c r="L11" i="41"/>
  <c r="L10" i="41"/>
  <c r="K10" i="41"/>
  <c r="M10" i="41" s="1"/>
  <c r="L9" i="41"/>
  <c r="M239" i="41" l="1"/>
  <c r="M110" i="41"/>
  <c r="M149" i="41"/>
  <c r="M159" i="41"/>
  <c r="M151" i="41"/>
  <c r="M161" i="41"/>
  <c r="M14" i="41"/>
  <c r="M104" i="41"/>
  <c r="M232" i="41"/>
  <c r="M111" i="41"/>
  <c r="M160" i="41"/>
  <c r="M210" i="41"/>
  <c r="M145" i="41"/>
  <c r="M156" i="41"/>
  <c r="M178" i="41"/>
  <c r="M141" i="41"/>
  <c r="M170" i="41"/>
  <c r="M188" i="41"/>
  <c r="M205" i="41"/>
  <c r="M216" i="41"/>
  <c r="M154" i="41"/>
  <c r="K28" i="41"/>
  <c r="L84" i="41"/>
  <c r="K84" i="41"/>
  <c r="M87" i="41"/>
  <c r="K9" i="41"/>
  <c r="M9" i="41" s="1"/>
  <c r="K13" i="41"/>
  <c r="M13" i="41" s="1"/>
  <c r="L22" i="41"/>
  <c r="K22" i="41"/>
  <c r="M67" i="41"/>
  <c r="L85" i="41"/>
  <c r="K85" i="41"/>
  <c r="K36" i="41"/>
  <c r="L74" i="41"/>
  <c r="L12" i="41"/>
  <c r="K12" i="41"/>
  <c r="M12" i="41" s="1"/>
  <c r="K44" i="41"/>
  <c r="M44" i="41" s="1"/>
  <c r="L71" i="41"/>
  <c r="K71" i="41"/>
  <c r="M75" i="41"/>
  <c r="L80" i="41"/>
  <c r="K80" i="41"/>
  <c r="L93" i="41"/>
  <c r="K93" i="41"/>
  <c r="L114" i="41"/>
  <c r="L136" i="41"/>
  <c r="K136" i="41"/>
  <c r="K191" i="41"/>
  <c r="L203" i="41"/>
  <c r="K203" i="41"/>
  <c r="M203" i="41" s="1"/>
  <c r="K16" i="41"/>
  <c r="M16" i="41" s="1"/>
  <c r="L26" i="41"/>
  <c r="M26" i="41" s="1"/>
  <c r="M32" i="41"/>
  <c r="L34" i="41"/>
  <c r="M34" i="41" s="1"/>
  <c r="M40" i="41"/>
  <c r="L42" i="41"/>
  <c r="M42" i="41" s="1"/>
  <c r="K73" i="41"/>
  <c r="M73" i="41" s="1"/>
  <c r="K79" i="41"/>
  <c r="M79" i="41" s="1"/>
  <c r="K83" i="41"/>
  <c r="M83" i="41" s="1"/>
  <c r="M89" i="41"/>
  <c r="K90" i="41"/>
  <c r="M90" i="41" s="1"/>
  <c r="K91" i="41"/>
  <c r="M91" i="41" s="1"/>
  <c r="M97" i="41"/>
  <c r="K98" i="41"/>
  <c r="M98" i="41" s="1"/>
  <c r="K99" i="41"/>
  <c r="M99" i="41" s="1"/>
  <c r="M105" i="41"/>
  <c r="L106" i="41"/>
  <c r="M106" i="41" s="1"/>
  <c r="M112" i="41"/>
  <c r="K114" i="41"/>
  <c r="L119" i="41"/>
  <c r="L121" i="41"/>
  <c r="L124" i="41"/>
  <c r="L137" i="41"/>
  <c r="K137" i="41"/>
  <c r="K142" i="41"/>
  <c r="L142" i="41"/>
  <c r="L146" i="41"/>
  <c r="K146" i="41"/>
  <c r="M155" i="41"/>
  <c r="L168" i="41"/>
  <c r="K168" i="41"/>
  <c r="L191" i="41"/>
  <c r="L212" i="41"/>
  <c r="K212" i="41"/>
  <c r="M212" i="41" s="1"/>
  <c r="M95" i="41"/>
  <c r="M103" i="41"/>
  <c r="L116" i="41"/>
  <c r="M116" i="41" s="1"/>
  <c r="L129" i="41"/>
  <c r="K129" i="41"/>
  <c r="L195" i="41"/>
  <c r="K195" i="41"/>
  <c r="L199" i="41"/>
  <c r="K199" i="41"/>
  <c r="M199" i="41" s="1"/>
  <c r="K20" i="41"/>
  <c r="M20" i="41" s="1"/>
  <c r="M24" i="41"/>
  <c r="K11" i="41"/>
  <c r="M11" i="41" s="1"/>
  <c r="K15" i="41"/>
  <c r="K19" i="41"/>
  <c r="M19" i="41" s="1"/>
  <c r="K30" i="41"/>
  <c r="M30" i="41" s="1"/>
  <c r="K38" i="41"/>
  <c r="M38" i="41" s="1"/>
  <c r="K92" i="41"/>
  <c r="M92" i="41" s="1"/>
  <c r="K100" i="41"/>
  <c r="M100" i="41" s="1"/>
  <c r="K101" i="41"/>
  <c r="M101" i="41" s="1"/>
  <c r="L113" i="41"/>
  <c r="M113" i="41" s="1"/>
  <c r="L115" i="41"/>
  <c r="M115" i="41" s="1"/>
  <c r="L117" i="41"/>
  <c r="M117" i="41" s="1"/>
  <c r="K119" i="41"/>
  <c r="K121" i="41"/>
  <c r="K124" i="41"/>
  <c r="L127" i="41"/>
  <c r="K127" i="41"/>
  <c r="M130" i="41"/>
  <c r="K143" i="41"/>
  <c r="M143" i="41" s="1"/>
  <c r="K147" i="41"/>
  <c r="M147" i="41" s="1"/>
  <c r="K171" i="41"/>
  <c r="L171" i="41"/>
  <c r="M189" i="41"/>
  <c r="L197" i="41"/>
  <c r="K197" i="41"/>
  <c r="L201" i="41"/>
  <c r="K201" i="41"/>
  <c r="M207" i="41"/>
  <c r="L214" i="41"/>
  <c r="K214" i="41"/>
  <c r="K241" i="41"/>
  <c r="L241" i="41"/>
  <c r="M18" i="41"/>
  <c r="M69" i="41"/>
  <c r="M77" i="41"/>
  <c r="M81" i="41"/>
  <c r="M86" i="41"/>
  <c r="M94" i="41"/>
  <c r="M102" i="41"/>
  <c r="M118" i="41"/>
  <c r="L120" i="41"/>
  <c r="M120" i="41" s="1"/>
  <c r="L123" i="41"/>
  <c r="M123" i="41" s="1"/>
  <c r="L125" i="41"/>
  <c r="M125" i="41" s="1"/>
  <c r="L128" i="41"/>
  <c r="K128" i="41"/>
  <c r="L135" i="41"/>
  <c r="K135" i="41"/>
  <c r="L172" i="41"/>
  <c r="K172" i="41"/>
  <c r="L176" i="41"/>
  <c r="K176" i="41"/>
  <c r="M176" i="41" s="1"/>
  <c r="L181" i="41"/>
  <c r="L186" i="41"/>
  <c r="K186" i="41"/>
  <c r="M186" i="41" s="1"/>
  <c r="K215" i="41"/>
  <c r="L215" i="41"/>
  <c r="L218" i="41"/>
  <c r="K218" i="41"/>
  <c r="M231" i="41"/>
  <c r="K233" i="41"/>
  <c r="L233" i="41"/>
  <c r="L131" i="41"/>
  <c r="M131" i="41" s="1"/>
  <c r="L132" i="41"/>
  <c r="M132" i="41" s="1"/>
  <c r="L133" i="41"/>
  <c r="M133" i="41" s="1"/>
  <c r="L139" i="41"/>
  <c r="M139" i="41" s="1"/>
  <c r="M153" i="41"/>
  <c r="L165" i="41"/>
  <c r="M165" i="41" s="1"/>
  <c r="M167" i="41"/>
  <c r="L173" i="41"/>
  <c r="M173" i="41" s="1"/>
  <c r="M175" i="41"/>
  <c r="L179" i="41"/>
  <c r="M179" i="41" s="1"/>
  <c r="K184" i="41"/>
  <c r="M184" i="41" s="1"/>
  <c r="L185" i="41"/>
  <c r="M185" i="41" s="1"/>
  <c r="L221" i="41"/>
  <c r="M221" i="41" s="1"/>
  <c r="L229" i="41"/>
  <c r="M229" i="41" s="1"/>
  <c r="M140" i="41"/>
  <c r="M144" i="41"/>
  <c r="M169" i="41"/>
  <c r="M183" i="41"/>
  <c r="K162" i="41"/>
  <c r="M162" i="41" s="1"/>
  <c r="L163" i="41"/>
  <c r="M163" i="41" s="1"/>
  <c r="K166" i="41"/>
  <c r="M166" i="41" s="1"/>
  <c r="K174" i="41"/>
  <c r="M174" i="41" s="1"/>
  <c r="K180" i="41"/>
  <c r="M180" i="41" s="1"/>
  <c r="L194" i="41"/>
  <c r="M194" i="41" s="1"/>
  <c r="M209" i="41"/>
  <c r="L217" i="41"/>
  <c r="M217" i="41" s="1"/>
  <c r="K224" i="41"/>
  <c r="M224" i="41" s="1"/>
  <c r="K230" i="41"/>
  <c r="M230" i="41" s="1"/>
  <c r="K234" i="41"/>
  <c r="M234" i="41" s="1"/>
  <c r="K236" i="41"/>
  <c r="M236" i="41" s="1"/>
  <c r="K238" i="41"/>
  <c r="M238" i="41" s="1"/>
  <c r="K242" i="41"/>
  <c r="M242" i="41" s="1"/>
  <c r="M15" i="41"/>
  <c r="M28" i="41"/>
  <c r="M36" i="41"/>
  <c r="M17" i="41"/>
  <c r="L46" i="41"/>
  <c r="K46" i="41"/>
  <c r="L50" i="41"/>
  <c r="K50" i="41"/>
  <c r="M50" i="41" s="1"/>
  <c r="L54" i="41"/>
  <c r="K54" i="41"/>
  <c r="L21" i="41"/>
  <c r="M21" i="41" s="1"/>
  <c r="L23" i="41"/>
  <c r="M23" i="41" s="1"/>
  <c r="L25" i="41"/>
  <c r="M25" i="41" s="1"/>
  <c r="L27" i="41"/>
  <c r="M27" i="41" s="1"/>
  <c r="L29" i="41"/>
  <c r="M29" i="41" s="1"/>
  <c r="L31" i="41"/>
  <c r="M31" i="41" s="1"/>
  <c r="L33" i="41"/>
  <c r="M33" i="41" s="1"/>
  <c r="L35" i="41"/>
  <c r="M35" i="41" s="1"/>
  <c r="L37" i="41"/>
  <c r="M37" i="41" s="1"/>
  <c r="L39" i="41"/>
  <c r="M39" i="41" s="1"/>
  <c r="L41" i="41"/>
  <c r="M41" i="41" s="1"/>
  <c r="L43" i="41"/>
  <c r="M43" i="41" s="1"/>
  <c r="L45" i="41"/>
  <c r="M45" i="41" s="1"/>
  <c r="K47" i="41"/>
  <c r="L47" i="41"/>
  <c r="K51" i="41"/>
  <c r="L51" i="41"/>
  <c r="K55" i="41"/>
  <c r="L55" i="41"/>
  <c r="K61" i="41"/>
  <c r="L61" i="41"/>
  <c r="K65" i="41"/>
  <c r="L65" i="41"/>
  <c r="M78" i="41"/>
  <c r="M82" i="41"/>
  <c r="L48" i="41"/>
  <c r="K48" i="41"/>
  <c r="L52" i="41"/>
  <c r="K52" i="41"/>
  <c r="L56" i="41"/>
  <c r="K56" i="41"/>
  <c r="K49" i="41"/>
  <c r="L49" i="41"/>
  <c r="K53" i="41"/>
  <c r="L53" i="41"/>
  <c r="K57" i="41"/>
  <c r="L57" i="41"/>
  <c r="K59" i="41"/>
  <c r="L59" i="41"/>
  <c r="K63" i="41"/>
  <c r="L63" i="41"/>
  <c r="M80" i="41"/>
  <c r="K58" i="41"/>
  <c r="M58" i="41" s="1"/>
  <c r="K60" i="41"/>
  <c r="M60" i="41" s="1"/>
  <c r="K62" i="41"/>
  <c r="M62" i="41" s="1"/>
  <c r="K64" i="41"/>
  <c r="M64" i="41" s="1"/>
  <c r="K66" i="41"/>
  <c r="M66" i="41" s="1"/>
  <c r="K68" i="41"/>
  <c r="M68" i="41" s="1"/>
  <c r="K70" i="41"/>
  <c r="M70" i="41" s="1"/>
  <c r="K72" i="41"/>
  <c r="M72" i="41" s="1"/>
  <c r="K74" i="41"/>
  <c r="M74" i="41" s="1"/>
  <c r="K76" i="41"/>
  <c r="M76" i="41" s="1"/>
  <c r="M148" i="41"/>
  <c r="M152" i="41"/>
  <c r="M150" i="41"/>
  <c r="M177" i="41"/>
  <c r="M192" i="41"/>
  <c r="M193" i="41"/>
  <c r="K196" i="41"/>
  <c r="L196" i="41"/>
  <c r="K204" i="41"/>
  <c r="L204" i="41"/>
  <c r="K202" i="41"/>
  <c r="L202" i="41"/>
  <c r="K227" i="41"/>
  <c r="L227" i="41"/>
  <c r="K181" i="41"/>
  <c r="M181" i="41" s="1"/>
  <c r="K200" i="41"/>
  <c r="L200" i="41"/>
  <c r="K208" i="41"/>
  <c r="L208" i="41"/>
  <c r="K211" i="41"/>
  <c r="L211" i="41"/>
  <c r="M223" i="41"/>
  <c r="M240" i="41"/>
  <c r="L190" i="41"/>
  <c r="M190" i="41" s="1"/>
  <c r="K198" i="41"/>
  <c r="L198" i="41"/>
  <c r="K206" i="41"/>
  <c r="L206" i="41"/>
  <c r="K219" i="41"/>
  <c r="L219" i="41"/>
  <c r="M225" i="41"/>
  <c r="K235" i="41"/>
  <c r="L235" i="41"/>
  <c r="M214" i="41"/>
  <c r="M222" i="41"/>
  <c r="M129" i="41" l="1"/>
  <c r="M241" i="41"/>
  <c r="M135" i="41"/>
  <c r="M201" i="41"/>
  <c r="M127" i="41"/>
  <c r="M195" i="41"/>
  <c r="M168" i="41"/>
  <c r="M119" i="41"/>
  <c r="M121" i="41"/>
  <c r="M172" i="41"/>
  <c r="M218" i="41"/>
  <c r="M146" i="41"/>
  <c r="M71" i="41"/>
  <c r="M22" i="41"/>
  <c r="M215" i="41"/>
  <c r="M61" i="41"/>
  <c r="M53" i="41"/>
  <c r="M124" i="41"/>
  <c r="M196" i="41"/>
  <c r="M137" i="41"/>
  <c r="M59" i="41"/>
  <c r="M51" i="41"/>
  <c r="M171" i="41"/>
  <c r="M142" i="41"/>
  <c r="M191" i="41"/>
  <c r="M206" i="41"/>
  <c r="M198" i="41"/>
  <c r="M208" i="41"/>
  <c r="M200" i="41"/>
  <c r="M227" i="41"/>
  <c r="M85" i="41"/>
  <c r="M56" i="41"/>
  <c r="M46" i="41"/>
  <c r="M233" i="41"/>
  <c r="M128" i="41"/>
  <c r="M197" i="41"/>
  <c r="M136" i="41"/>
  <c r="M114" i="41"/>
  <c r="M93" i="41"/>
  <c r="M84" i="41"/>
  <c r="M202" i="41"/>
  <c r="M204" i="41"/>
  <c r="M57" i="41"/>
  <c r="M65" i="41"/>
  <c r="M47" i="41"/>
  <c r="M48" i="41"/>
  <c r="M54" i="41"/>
  <c r="M235" i="41"/>
  <c r="M219" i="41"/>
  <c r="M211" i="41"/>
  <c r="M63" i="41"/>
  <c r="M49" i="41"/>
  <c r="M52" i="41"/>
  <c r="M55" i="41"/>
  <c r="E34" i="39" l="1" a="1"/>
  <c r="E34" i="39" s="1"/>
  <c r="E33" i="39" a="1"/>
  <c r="E33" i="39" s="1"/>
  <c r="E35" i="39" s="1"/>
  <c r="E28" i="39" a="1"/>
  <c r="E28" i="39" s="1"/>
  <c r="E27" i="39" a="1"/>
  <c r="E27" i="39" s="1"/>
  <c r="E26" i="39" a="1"/>
  <c r="E26" i="39" s="1"/>
  <c r="E25" i="39" a="1"/>
  <c r="E25" i="39" s="1"/>
  <c r="E24" i="39" a="1"/>
  <c r="E24" i="39" s="1"/>
  <c r="E23" i="39" a="1"/>
  <c r="E23" i="39" s="1"/>
  <c r="E22" i="39" a="1"/>
  <c r="E22" i="39" s="1"/>
  <c r="E21" i="39" a="1"/>
  <c r="E21" i="39" s="1"/>
  <c r="E20" i="39" a="1"/>
  <c r="E20" i="39" s="1"/>
  <c r="E19" i="39" a="1"/>
  <c r="E19" i="39" s="1"/>
  <c r="E72" i="38"/>
  <c r="E66" i="38"/>
  <c r="E60" i="38"/>
  <c r="E55" i="38"/>
  <c r="E49" i="38"/>
  <c r="E48" i="38"/>
  <c r="E42" i="38"/>
  <c r="E41" i="38"/>
  <c r="E40" i="38"/>
  <c r="E39" i="38"/>
  <c r="E38" i="38"/>
  <c r="E37" i="38"/>
  <c r="E35" i="37"/>
  <c r="L262" i="35" a="1"/>
  <c r="L262" i="35" s="1"/>
  <c r="K262" i="35" a="1"/>
  <c r="K262" i="35" s="1"/>
  <c r="J262" i="35" a="1"/>
  <c r="J262" i="35" s="1"/>
  <c r="L261" i="35" a="1"/>
  <c r="L261" i="35" s="1"/>
  <c r="K261" i="35" a="1"/>
  <c r="K261" i="35" s="1"/>
  <c r="J261" i="35" a="1"/>
  <c r="J261" i="35" s="1"/>
  <c r="L260" i="35" a="1"/>
  <c r="L260" i="35" s="1"/>
  <c r="K260" i="35" a="1"/>
  <c r="K260" i="35" s="1"/>
  <c r="J260" i="35" a="1"/>
  <c r="J260" i="35" s="1"/>
  <c r="J254" i="35" a="1"/>
  <c r="J254" i="35" s="1"/>
  <c r="J253" i="35" a="1"/>
  <c r="J253" i="35" s="1"/>
  <c r="J252" i="35" a="1"/>
  <c r="J252" i="35" s="1"/>
  <c r="I249" i="35" a="1"/>
  <c r="I249" i="35" s="1"/>
  <c r="L239" i="35"/>
  <c r="K239" i="35"/>
  <c r="J239" i="35"/>
  <c r="M238" i="35"/>
  <c r="M237" i="35"/>
  <c r="M236" i="35"/>
  <c r="J231" i="35"/>
  <c r="J232" i="35" s="1"/>
  <c r="M148" i="35" a="1"/>
  <c r="M148" i="35" s="1"/>
  <c r="L148" i="35" a="1"/>
  <c r="L148" i="35" s="1"/>
  <c r="K148" i="35" a="1"/>
  <c r="K148" i="35" s="1"/>
  <c r="M147" i="35" a="1"/>
  <c r="M147" i="35" s="1"/>
  <c r="L147" i="35" a="1"/>
  <c r="L147" i="35" s="1"/>
  <c r="K147" i="35" a="1"/>
  <c r="K147" i="35" s="1"/>
  <c r="M146" i="35" a="1"/>
  <c r="M146" i="35" s="1"/>
  <c r="L146" i="35" a="1"/>
  <c r="L146" i="35" s="1"/>
  <c r="K146" i="35" a="1"/>
  <c r="K146" i="35" s="1"/>
  <c r="L112" i="35" a="1"/>
  <c r="L112" i="35" s="1"/>
  <c r="L111" i="35" a="1"/>
  <c r="L111" i="35" s="1"/>
  <c r="N106" i="35" a="1"/>
  <c r="N106" i="35" s="1"/>
  <c r="M106" i="35" a="1"/>
  <c r="M106" i="35" s="1"/>
  <c r="L106" i="35" a="1"/>
  <c r="L106" i="35" s="1"/>
  <c r="N105" i="35" a="1"/>
  <c r="N105" i="35" s="1"/>
  <c r="M105" i="35" a="1"/>
  <c r="M105" i="35" s="1"/>
  <c r="L105" i="35" a="1"/>
  <c r="L105" i="35" s="1"/>
  <c r="N104" i="35" a="1"/>
  <c r="N104" i="35" s="1"/>
  <c r="M104" i="35" a="1"/>
  <c r="M104" i="35" s="1"/>
  <c r="L104" i="35" a="1"/>
  <c r="L104" i="35" s="1"/>
  <c r="N98" i="35" a="1"/>
  <c r="N98" i="35" s="1"/>
  <c r="N97" i="35" a="1"/>
  <c r="N97" i="35" s="1"/>
  <c r="N96" i="35" a="1"/>
  <c r="N96" i="35" s="1"/>
  <c r="N90" i="35" a="1"/>
  <c r="N90" i="35" s="1"/>
  <c r="N89" i="35" a="1"/>
  <c r="N89" i="35" s="1"/>
  <c r="N88" i="35" a="1"/>
  <c r="N88" i="35" s="1"/>
  <c r="N85" i="35" a="1"/>
  <c r="N85" i="35" s="1"/>
  <c r="K25" i="35" a="1"/>
  <c r="K25" i="35" s="1"/>
  <c r="K22" i="35"/>
  <c r="G244" i="34"/>
  <c r="F244" i="34"/>
  <c r="G243" i="34"/>
  <c r="F243" i="34"/>
  <c r="E243" i="34"/>
  <c r="G242" i="34"/>
  <c r="F242" i="34"/>
  <c r="E242" i="34"/>
  <c r="G185" i="34"/>
  <c r="F185" i="34"/>
  <c r="E185" i="34"/>
  <c r="G184" i="34"/>
  <c r="F184" i="34"/>
  <c r="E184" i="34"/>
  <c r="G183" i="34"/>
  <c r="F183" i="34"/>
  <c r="E183" i="34"/>
  <c r="F165" i="34"/>
  <c r="G151" i="34"/>
  <c r="F151" i="34"/>
  <c r="E151" i="34"/>
  <c r="G150" i="34"/>
  <c r="F150" i="34"/>
  <c r="E150" i="34"/>
  <c r="G149" i="34"/>
  <c r="F149" i="34"/>
  <c r="E149" i="34"/>
  <c r="F134" i="34"/>
  <c r="F118" i="34"/>
  <c r="F117" i="34"/>
  <c r="F116" i="34"/>
  <c r="F110" i="34"/>
  <c r="F109" i="34"/>
  <c r="F108" i="34"/>
  <c r="F103" i="34"/>
  <c r="F102" i="34"/>
  <c r="F101" i="34"/>
  <c r="F100" i="34"/>
  <c r="F99" i="34"/>
  <c r="F98" i="34"/>
  <c r="F86" i="34"/>
  <c r="F77" i="34"/>
  <c r="G287" i="33"/>
  <c r="F287" i="33"/>
  <c r="E287" i="33"/>
  <c r="G286" i="33"/>
  <c r="F286" i="33"/>
  <c r="E286" i="33"/>
  <c r="G285" i="33"/>
  <c r="F285" i="33"/>
  <c r="E285" i="33"/>
  <c r="G221" i="33"/>
  <c r="F221" i="33"/>
  <c r="E221" i="33"/>
  <c r="G220" i="33"/>
  <c r="F220" i="33"/>
  <c r="E220" i="33"/>
  <c r="G219" i="33"/>
  <c r="F219" i="33"/>
  <c r="E219" i="33"/>
  <c r="F200" i="33"/>
  <c r="G186" i="33"/>
  <c r="F186" i="33"/>
  <c r="E186" i="33"/>
  <c r="G185" i="33"/>
  <c r="F185" i="33"/>
  <c r="E185" i="33"/>
  <c r="G184" i="33"/>
  <c r="F184" i="33"/>
  <c r="E184" i="33"/>
  <c r="F168" i="33"/>
  <c r="F120" i="33"/>
  <c r="F119" i="33"/>
  <c r="F118" i="33"/>
  <c r="F112" i="33"/>
  <c r="F111" i="33"/>
  <c r="F110" i="33"/>
  <c r="F105" i="33"/>
  <c r="F104" i="33"/>
  <c r="F103" i="33"/>
  <c r="F102" i="33"/>
  <c r="F101" i="33"/>
  <c r="F100" i="33"/>
  <c r="F87" i="33"/>
  <c r="F78" i="33"/>
  <c r="H77" i="34"/>
  <c r="H111" i="33"/>
  <c r="H105" i="33"/>
  <c r="H101" i="34"/>
  <c r="H118" i="33"/>
  <c r="H108" i="34"/>
  <c r="H101" i="33"/>
  <c r="H116" i="34"/>
  <c r="H78" i="33"/>
  <c r="H87" i="33"/>
  <c r="H110" i="33"/>
  <c r="H86" i="34"/>
  <c r="H98" i="34"/>
  <c r="L25" i="35"/>
  <c r="H165" i="34"/>
  <c r="H100" i="34"/>
  <c r="L22" i="35"/>
  <c r="H103" i="33"/>
  <c r="K151" i="35"/>
  <c r="K152" i="35"/>
  <c r="H99" i="34"/>
  <c r="H104" i="34"/>
  <c r="H120" i="33"/>
  <c r="H200" i="33"/>
  <c r="H106" i="33"/>
  <c r="H100" i="33"/>
  <c r="H134" i="34"/>
  <c r="H119" i="33"/>
  <c r="H118" i="34"/>
  <c r="H102" i="34"/>
  <c r="H103" i="34"/>
  <c r="H104" i="33"/>
  <c r="H110" i="34"/>
  <c r="H168" i="33"/>
  <c r="H109" i="34"/>
  <c r="H102" i="33"/>
  <c r="H112" i="33"/>
  <c r="K153" i="35"/>
  <c r="H117" i="34"/>
  <c r="H185" i="33" l="1"/>
  <c r="H219" i="33"/>
  <c r="H287" i="33"/>
  <c r="F121" i="33"/>
  <c r="H221" i="33"/>
  <c r="F113" i="33"/>
  <c r="G186" i="34"/>
  <c r="F152" i="34"/>
  <c r="F186" i="34"/>
  <c r="H243" i="34"/>
  <c r="H184" i="34"/>
  <c r="G245" i="34"/>
  <c r="H149" i="34"/>
  <c r="F106" i="33"/>
  <c r="F111" i="34"/>
  <c r="H186" i="33"/>
  <c r="H150" i="34"/>
  <c r="H244" i="34"/>
  <c r="J255" i="35"/>
  <c r="J256" i="35" s="1"/>
  <c r="H285" i="33"/>
  <c r="F119" i="34"/>
  <c r="H185" i="34"/>
  <c r="E187" i="33"/>
  <c r="F288" i="33"/>
  <c r="F104" i="34"/>
  <c r="F222" i="33"/>
  <c r="G187" i="33"/>
  <c r="G222" i="33"/>
  <c r="H286" i="33"/>
  <c r="H242" i="34"/>
  <c r="F187" i="33"/>
  <c r="G288" i="33"/>
  <c r="H151" i="34"/>
  <c r="H220" i="33"/>
  <c r="E152" i="34"/>
  <c r="H183" i="34"/>
  <c r="F245" i="34"/>
  <c r="M239" i="35"/>
  <c r="E29" i="39"/>
  <c r="L263" i="35"/>
  <c r="M261" i="35"/>
  <c r="M262" i="35"/>
  <c r="L113" i="35"/>
  <c r="L114" i="35" s="1"/>
  <c r="K263" i="35"/>
  <c r="J263" i="35"/>
  <c r="E222" i="33"/>
  <c r="G152" i="34"/>
  <c r="E186" i="34"/>
  <c r="M260" i="35"/>
  <c r="E288" i="33"/>
  <c r="H184" i="33"/>
  <c r="E245" i="34"/>
  <c r="H187" i="33" l="1"/>
  <c r="H152" i="34"/>
  <c r="H186" i="34"/>
  <c r="H245" i="34"/>
  <c r="H222" i="33"/>
  <c r="H288" i="33"/>
  <c r="M263" i="35"/>
  <c r="K126" i="21" l="1"/>
  <c r="K127" i="21" s="1" a="1"/>
  <c r="K127" i="21" s="1"/>
  <c r="K124" i="21"/>
  <c r="L123" i="21" s="1"/>
  <c r="L124" i="21" s="1"/>
  <c r="M123" i="21" s="1"/>
  <c r="M124" i="21" s="1"/>
  <c r="N123" i="21" s="1"/>
  <c r="N124" i="21" s="1"/>
  <c r="O123" i="21" s="1"/>
  <c r="O124" i="21" s="1"/>
  <c r="P123" i="21" s="1"/>
  <c r="P124" i="21" s="1"/>
  <c r="Q123" i="21" s="1"/>
  <c r="Q124" i="21" s="1"/>
  <c r="R123" i="21" s="1"/>
  <c r="R124" i="21" s="1"/>
  <c r="S123" i="21" s="1"/>
  <c r="S124" i="21" s="1"/>
  <c r="T123" i="21" s="1"/>
  <c r="T124" i="21" s="1"/>
  <c r="U123" i="21" s="1"/>
  <c r="U124" i="21" s="1"/>
  <c r="V123" i="21" s="1"/>
  <c r="V124" i="21" s="1"/>
  <c r="W123" i="21" s="1"/>
  <c r="G243" i="31" a="1"/>
  <c r="K243" i="31" s="1"/>
  <c r="G242" i="31" a="1"/>
  <c r="K242" i="31" s="1"/>
  <c r="G241" i="31" a="1"/>
  <c r="K241" i="31" s="1"/>
  <c r="G240" i="31" a="1"/>
  <c r="G239" i="31" a="1"/>
  <c r="K239" i="31" s="1"/>
  <c r="G238" i="31" a="1"/>
  <c r="K238" i="31" s="1"/>
  <c r="G237" i="31" a="1"/>
  <c r="K237" i="31" s="1"/>
  <c r="G236" i="31" a="1"/>
  <c r="G235" i="31" a="1"/>
  <c r="K235" i="31" s="1"/>
  <c r="G234" i="31" a="1"/>
  <c r="K234" i="31" s="1"/>
  <c r="G233" i="31" a="1"/>
  <c r="K233" i="31" s="1"/>
  <c r="G232" i="31" a="1"/>
  <c r="G231" i="31" a="1"/>
  <c r="K231" i="31" s="1"/>
  <c r="G230" i="31" a="1"/>
  <c r="K230" i="31" s="1"/>
  <c r="G229" i="31" a="1"/>
  <c r="K229" i="31" s="1"/>
  <c r="G228" i="31" a="1"/>
  <c r="G227" i="31" a="1"/>
  <c r="K227" i="31" s="1"/>
  <c r="G226" i="31" a="1"/>
  <c r="K226" i="31" s="1"/>
  <c r="G225" i="31" a="1"/>
  <c r="G225" i="31" s="1"/>
  <c r="G224" i="31" a="1"/>
  <c r="G223" i="31"/>
  <c r="G223" i="31" a="1"/>
  <c r="K223" i="31" s="1"/>
  <c r="J222" i="31"/>
  <c r="G222" i="31" a="1"/>
  <c r="K222" i="31" s="1"/>
  <c r="K221" i="31"/>
  <c r="G221" i="31" a="1"/>
  <c r="J221" i="31" s="1"/>
  <c r="G220" i="31" a="1"/>
  <c r="G219" i="31"/>
  <c r="G219" i="31" a="1"/>
  <c r="K219" i="31" s="1"/>
  <c r="J218" i="31"/>
  <c r="G218" i="31" a="1"/>
  <c r="K218" i="31" s="1"/>
  <c r="K217" i="31"/>
  <c r="G217" i="31" a="1"/>
  <c r="J217" i="31" s="1"/>
  <c r="G216" i="31" a="1"/>
  <c r="G215" i="31"/>
  <c r="G215" i="31" a="1"/>
  <c r="K215" i="31" s="1"/>
  <c r="J214" i="31"/>
  <c r="L214" i="31" s="1"/>
  <c r="G214" i="31" a="1"/>
  <c r="K214" i="31" s="1"/>
  <c r="G213" i="31" a="1"/>
  <c r="G213" i="31" s="1"/>
  <c r="G212" i="31" a="1"/>
  <c r="G211" i="31" a="1"/>
  <c r="K211" i="31" s="1"/>
  <c r="J210" i="31"/>
  <c r="G210" i="31"/>
  <c r="G210" i="31" a="1"/>
  <c r="K210" i="31" s="1"/>
  <c r="G209" i="31" a="1"/>
  <c r="K209" i="31" s="1"/>
  <c r="G208" i="31" a="1"/>
  <c r="G207" i="31" a="1"/>
  <c r="K207" i="31" s="1"/>
  <c r="J206" i="31"/>
  <c r="G206" i="31"/>
  <c r="G206" i="31" a="1"/>
  <c r="K206" i="31" s="1"/>
  <c r="J205" i="31"/>
  <c r="G205" i="31" a="1"/>
  <c r="G205" i="31" s="1"/>
  <c r="G204" i="31" a="1"/>
  <c r="G203" i="31" a="1"/>
  <c r="K203" i="31" s="1"/>
  <c r="G202" i="31" a="1"/>
  <c r="K202" i="31" s="1"/>
  <c r="G201" i="31" a="1"/>
  <c r="G201" i="31" s="1"/>
  <c r="G200" i="31" a="1"/>
  <c r="G199" i="31"/>
  <c r="G199" i="31" a="1"/>
  <c r="K199" i="31" s="1"/>
  <c r="G198" i="31" a="1"/>
  <c r="K198" i="31" s="1"/>
  <c r="K197" i="31"/>
  <c r="G197" i="31" a="1"/>
  <c r="J197" i="31" s="1"/>
  <c r="G196" i="31" a="1"/>
  <c r="G195" i="31"/>
  <c r="G195" i="31" a="1"/>
  <c r="K195" i="31" s="1"/>
  <c r="G194" i="31" a="1"/>
  <c r="K194" i="31" s="1"/>
  <c r="K193" i="31"/>
  <c r="J193" i="31"/>
  <c r="G193" i="31" a="1"/>
  <c r="G193" i="31" s="1"/>
  <c r="G192" i="31" a="1"/>
  <c r="G191" i="31" a="1"/>
  <c r="K191" i="31" s="1"/>
  <c r="G190" i="31" a="1"/>
  <c r="K190" i="31" s="1"/>
  <c r="K189" i="31"/>
  <c r="J189" i="31"/>
  <c r="G189" i="31" a="1"/>
  <c r="G189" i="31" s="1"/>
  <c r="G188" i="31" a="1"/>
  <c r="G187" i="31"/>
  <c r="G187" i="31" a="1"/>
  <c r="K187" i="31" s="1"/>
  <c r="J186" i="31"/>
  <c r="L186" i="31" s="1"/>
  <c r="G186" i="31"/>
  <c r="G186" i="31" a="1"/>
  <c r="K186" i="31" s="1"/>
  <c r="J185" i="31"/>
  <c r="G185" i="31" a="1"/>
  <c r="G185" i="31" s="1"/>
  <c r="G184" i="31" a="1"/>
  <c r="G183" i="31" a="1"/>
  <c r="K183" i="31" s="1"/>
  <c r="G182" i="31"/>
  <c r="G182" i="31" a="1"/>
  <c r="K182" i="31" s="1"/>
  <c r="G181" i="31" a="1"/>
  <c r="G181" i="31" s="1"/>
  <c r="G180" i="31" a="1"/>
  <c r="G179" i="31"/>
  <c r="G179" i="31" a="1"/>
  <c r="K179" i="31" s="1"/>
  <c r="G178" i="31" a="1"/>
  <c r="K178" i="31" s="1"/>
  <c r="G177" i="31" a="1"/>
  <c r="G177" i="31" s="1"/>
  <c r="G176" i="31" a="1"/>
  <c r="G175" i="31"/>
  <c r="G175" i="31" a="1"/>
  <c r="K175" i="31" s="1"/>
  <c r="G174" i="31"/>
  <c r="G174" i="31" a="1"/>
  <c r="K174" i="31" s="1"/>
  <c r="K173" i="31"/>
  <c r="G173" i="31" a="1"/>
  <c r="J173" i="31" s="1"/>
  <c r="G172" i="31" a="1"/>
  <c r="G171" i="31"/>
  <c r="G171" i="31" a="1"/>
  <c r="K171" i="31" s="1"/>
  <c r="G170" i="31"/>
  <c r="G170" i="31" a="1"/>
  <c r="K170" i="31" s="1"/>
  <c r="K169" i="31"/>
  <c r="G169" i="31" a="1"/>
  <c r="J169" i="31" s="1"/>
  <c r="L169" i="31" s="1"/>
  <c r="K168" i="31"/>
  <c r="G168" i="31" a="1"/>
  <c r="G167" i="31" a="1"/>
  <c r="G166" i="31"/>
  <c r="G166" i="31" a="1"/>
  <c r="K166" i="31" s="1"/>
  <c r="K165" i="31"/>
  <c r="G165" i="31" a="1"/>
  <c r="G165" i="31" s="1"/>
  <c r="G164" i="31" a="1"/>
  <c r="K164" i="31" s="1"/>
  <c r="G163" i="31" a="1"/>
  <c r="J162" i="31"/>
  <c r="G162" i="31" a="1"/>
  <c r="K162" i="31" s="1"/>
  <c r="K161" i="31"/>
  <c r="J161" i="31"/>
  <c r="G161" i="31" a="1"/>
  <c r="G161" i="31" s="1"/>
  <c r="G160" i="31" a="1"/>
  <c r="G159" i="31"/>
  <c r="G159" i="31" a="1"/>
  <c r="K158" i="31"/>
  <c r="G158" i="31"/>
  <c r="G158" i="31" a="1"/>
  <c r="J158" i="31" s="1"/>
  <c r="L158" i="31" s="1"/>
  <c r="K157" i="31"/>
  <c r="G157" i="31" a="1"/>
  <c r="G157" i="31" s="1"/>
  <c r="G156" i="31" a="1"/>
  <c r="J156" i="31" s="1"/>
  <c r="L155" i="31"/>
  <c r="J155" i="31"/>
  <c r="G155" i="31" a="1"/>
  <c r="K155" i="31" s="1"/>
  <c r="G154" i="31" a="1"/>
  <c r="K154" i="31" s="1"/>
  <c r="G153" i="31" a="1"/>
  <c r="G153" i="31" s="1"/>
  <c r="G152" i="31" a="1"/>
  <c r="J152" i="31" s="1"/>
  <c r="J151" i="31"/>
  <c r="L151" i="31" s="1"/>
  <c r="G151" i="31" a="1"/>
  <c r="K151" i="31" s="1"/>
  <c r="G150" i="31" a="1"/>
  <c r="K150" i="31" s="1"/>
  <c r="G149" i="31" a="1"/>
  <c r="G149" i="31" s="1"/>
  <c r="G148" i="31" a="1"/>
  <c r="J148" i="31" s="1"/>
  <c r="J147" i="31"/>
  <c r="L147" i="31" s="1"/>
  <c r="G147" i="31" a="1"/>
  <c r="K147" i="31" s="1"/>
  <c r="G146" i="31" a="1"/>
  <c r="K146" i="31" s="1"/>
  <c r="G145" i="31" a="1"/>
  <c r="G145" i="31" s="1"/>
  <c r="K144" i="31"/>
  <c r="G144" i="31" a="1"/>
  <c r="J144" i="31" s="1"/>
  <c r="L144" i="31" s="1"/>
  <c r="J143" i="31"/>
  <c r="L143" i="31" s="1"/>
  <c r="G143" i="31" a="1"/>
  <c r="K143" i="31" s="1"/>
  <c r="K142" i="31"/>
  <c r="J142" i="31"/>
  <c r="G142" i="31"/>
  <c r="G142" i="31" a="1"/>
  <c r="G141" i="31" a="1"/>
  <c r="G141" i="31" s="1"/>
  <c r="K140" i="31"/>
  <c r="L140" i="31" s="1"/>
  <c r="G140" i="31" a="1"/>
  <c r="J140" i="31" s="1"/>
  <c r="G139" i="31" a="1"/>
  <c r="K139" i="31" s="1"/>
  <c r="K138" i="31"/>
  <c r="J138" i="31"/>
  <c r="L138" i="31" s="1"/>
  <c r="G138" i="31" a="1"/>
  <c r="G138" i="31" s="1"/>
  <c r="G137" i="31" a="1"/>
  <c r="G137" i="31" s="1"/>
  <c r="K136" i="31"/>
  <c r="L136" i="31" s="1"/>
  <c r="G136" i="31" a="1"/>
  <c r="J136" i="31" s="1"/>
  <c r="G135" i="31" a="1"/>
  <c r="K135" i="31" s="1"/>
  <c r="K134" i="31"/>
  <c r="J134" i="31"/>
  <c r="G134" i="31" a="1"/>
  <c r="G134" i="31" s="1"/>
  <c r="G133" i="31" a="1"/>
  <c r="G133" i="31" s="1"/>
  <c r="K132" i="31"/>
  <c r="L132" i="31" s="1"/>
  <c r="G132" i="31" a="1"/>
  <c r="J132" i="31" s="1"/>
  <c r="G131" i="31" a="1"/>
  <c r="K131" i="31" s="1"/>
  <c r="K130" i="31"/>
  <c r="J130" i="31"/>
  <c r="L130" i="31" s="1"/>
  <c r="G130" i="31" a="1"/>
  <c r="G130" i="31" s="1"/>
  <c r="G129" i="31" a="1"/>
  <c r="G129" i="31" s="1"/>
  <c r="L128" i="31"/>
  <c r="K128" i="31"/>
  <c r="G128" i="31" a="1"/>
  <c r="J128" i="31" s="1"/>
  <c r="J127" i="31"/>
  <c r="L127" i="31" s="1"/>
  <c r="G127" i="31" a="1"/>
  <c r="K127" i="31" s="1"/>
  <c r="K126" i="31"/>
  <c r="G126" i="31" a="1"/>
  <c r="J126" i="31" s="1"/>
  <c r="L126" i="31" s="1"/>
  <c r="K125" i="31"/>
  <c r="G125" i="31" a="1"/>
  <c r="G125" i="31" s="1"/>
  <c r="K124" i="31"/>
  <c r="L124" i="31" s="1"/>
  <c r="G124" i="31" a="1"/>
  <c r="J124" i="31" s="1"/>
  <c r="G123" i="31" a="1"/>
  <c r="K123" i="31" s="1"/>
  <c r="G122" i="31" a="1"/>
  <c r="K122" i="31" s="1"/>
  <c r="K121" i="31"/>
  <c r="G121" i="31" a="1"/>
  <c r="G121" i="31" s="1"/>
  <c r="G120" i="31" a="1"/>
  <c r="J120" i="31" s="1"/>
  <c r="G119" i="31" a="1"/>
  <c r="K119" i="31" s="1"/>
  <c r="G118" i="31" a="1"/>
  <c r="K118" i="31" s="1"/>
  <c r="K117" i="31"/>
  <c r="G117" i="31" a="1"/>
  <c r="G117" i="31" s="1"/>
  <c r="G116" i="31" a="1"/>
  <c r="J116" i="31" s="1"/>
  <c r="G115" i="31" a="1"/>
  <c r="K115" i="31" s="1"/>
  <c r="G114" i="31" a="1"/>
  <c r="K114" i="31" s="1"/>
  <c r="K113" i="31"/>
  <c r="G113" i="31" a="1"/>
  <c r="G113" i="31" s="1"/>
  <c r="K112" i="31"/>
  <c r="G112" i="31" a="1"/>
  <c r="J112" i="31" s="1"/>
  <c r="L112" i="31" s="1"/>
  <c r="J111" i="31"/>
  <c r="L111" i="31" s="1"/>
  <c r="G111" i="31" a="1"/>
  <c r="K111" i="31" s="1"/>
  <c r="G110" i="31" a="1"/>
  <c r="K110" i="31" s="1"/>
  <c r="K109" i="31"/>
  <c r="G109" i="31" a="1"/>
  <c r="G109" i="31" s="1"/>
  <c r="K108" i="31"/>
  <c r="L108" i="31" s="1"/>
  <c r="G108" i="31" a="1"/>
  <c r="J108" i="31" s="1"/>
  <c r="G107" i="31" a="1"/>
  <c r="K107" i="31" s="1"/>
  <c r="J106" i="31"/>
  <c r="G106" i="31"/>
  <c r="G106" i="31" a="1"/>
  <c r="K106" i="31" s="1"/>
  <c r="G105" i="31" a="1"/>
  <c r="G105" i="31" s="1"/>
  <c r="G104" i="31" a="1"/>
  <c r="J104" i="31" s="1"/>
  <c r="G103" i="31" a="1"/>
  <c r="K103" i="31" s="1"/>
  <c r="J102" i="31"/>
  <c r="G102" i="31"/>
  <c r="G102" i="31" a="1"/>
  <c r="K102" i="31" s="1"/>
  <c r="G101" i="31" a="1"/>
  <c r="G101" i="31" s="1"/>
  <c r="G100" i="31" a="1"/>
  <c r="J100" i="31" s="1"/>
  <c r="G99" i="31" a="1"/>
  <c r="K99" i="31" s="1"/>
  <c r="G98" i="31" a="1"/>
  <c r="G97" i="31" a="1"/>
  <c r="K96" i="31"/>
  <c r="J96" i="31"/>
  <c r="G96" i="31" a="1"/>
  <c r="G96" i="31" s="1"/>
  <c r="K95" i="31"/>
  <c r="J95" i="31"/>
  <c r="L95" i="31" s="1"/>
  <c r="G95" i="31" a="1"/>
  <c r="G95" i="31" s="1"/>
  <c r="G94" i="31" a="1"/>
  <c r="K94" i="31" s="1"/>
  <c r="G93" i="31" a="1"/>
  <c r="K92" i="31"/>
  <c r="J92" i="31"/>
  <c r="L92" i="31" s="1"/>
  <c r="G92" i="31"/>
  <c r="G92" i="31" a="1"/>
  <c r="G91" i="31" a="1"/>
  <c r="G91" i="31" s="1"/>
  <c r="G90" i="31" a="1"/>
  <c r="K90" i="31" s="1"/>
  <c r="G89" i="31" a="1"/>
  <c r="G89" i="31" s="1"/>
  <c r="K88" i="31"/>
  <c r="J88" i="31"/>
  <c r="L88" i="31" s="1"/>
  <c r="G88" i="31"/>
  <c r="G88" i="31" a="1"/>
  <c r="G87" i="31" a="1"/>
  <c r="G87" i="31" s="1"/>
  <c r="G86" i="31" a="1"/>
  <c r="G85" i="31" a="1"/>
  <c r="G85" i="31" s="1"/>
  <c r="K84" i="31"/>
  <c r="J84" i="31"/>
  <c r="L84" i="31" s="1"/>
  <c r="G84" i="31"/>
  <c r="G84" i="31" a="1"/>
  <c r="G83" i="31" a="1"/>
  <c r="G83" i="31" s="1"/>
  <c r="G82" i="31" a="1"/>
  <c r="G81" i="31" a="1"/>
  <c r="J80" i="31"/>
  <c r="G80" i="31"/>
  <c r="G80" i="31" a="1"/>
  <c r="K80" i="31" s="1"/>
  <c r="J79" i="31"/>
  <c r="G79" i="31" a="1"/>
  <c r="G79" i="31" s="1"/>
  <c r="G78" i="31" a="1"/>
  <c r="K78" i="31" s="1"/>
  <c r="G77" i="31" a="1"/>
  <c r="G76" i="31" a="1"/>
  <c r="K76" i="31" s="1"/>
  <c r="K75" i="31"/>
  <c r="G75" i="31" a="1"/>
  <c r="G75" i="31" s="1"/>
  <c r="G74" i="31" a="1"/>
  <c r="K74" i="31" s="1"/>
  <c r="G73" i="31" a="1"/>
  <c r="G73" i="31" s="1"/>
  <c r="G72" i="31" a="1"/>
  <c r="K72" i="31" s="1"/>
  <c r="K71" i="31"/>
  <c r="G71" i="31" a="1"/>
  <c r="G71" i="31" s="1"/>
  <c r="G70" i="31" a="1"/>
  <c r="G69" i="31"/>
  <c r="G69" i="31" a="1"/>
  <c r="G68" i="31" a="1"/>
  <c r="K68" i="31" s="1"/>
  <c r="K67" i="31"/>
  <c r="G67" i="31" a="1"/>
  <c r="G67" i="31" s="1"/>
  <c r="G66" i="31" a="1"/>
  <c r="G65" i="31" a="1"/>
  <c r="G64" i="31" a="1"/>
  <c r="K64" i="31" s="1"/>
  <c r="K63" i="31"/>
  <c r="J63" i="31"/>
  <c r="G63" i="31" a="1"/>
  <c r="G63" i="31" s="1"/>
  <c r="G62" i="31" a="1"/>
  <c r="G61" i="31" a="1"/>
  <c r="K60" i="31"/>
  <c r="G60" i="31" a="1"/>
  <c r="J60" i="31" s="1"/>
  <c r="L60" i="31" s="1"/>
  <c r="K59" i="31"/>
  <c r="J59" i="31"/>
  <c r="G59" i="31" a="1"/>
  <c r="G59" i="31" s="1"/>
  <c r="G58" i="31" a="1"/>
  <c r="K58" i="31" s="1"/>
  <c r="G57" i="31" a="1"/>
  <c r="G57" i="31" s="1"/>
  <c r="K56" i="31"/>
  <c r="G56" i="31" a="1"/>
  <c r="J56" i="31" s="1"/>
  <c r="L56" i="31" s="1"/>
  <c r="K55" i="31"/>
  <c r="J55" i="31"/>
  <c r="G55" i="31" a="1"/>
  <c r="G55" i="31" s="1"/>
  <c r="G54" i="31" a="1"/>
  <c r="K54" i="31" s="1"/>
  <c r="G53" i="31" a="1"/>
  <c r="G53" i="31" s="1"/>
  <c r="G52" i="31" a="1"/>
  <c r="K52" i="31" s="1"/>
  <c r="K51" i="31"/>
  <c r="J51" i="31"/>
  <c r="G51" i="31" a="1"/>
  <c r="G51" i="31" s="1"/>
  <c r="G50" i="31" a="1"/>
  <c r="G49" i="31" a="1"/>
  <c r="G49" i="31" s="1"/>
  <c r="G48" i="31" a="1"/>
  <c r="K48" i="31" s="1"/>
  <c r="K47" i="31"/>
  <c r="J47" i="31"/>
  <c r="G47" i="31" a="1"/>
  <c r="G47" i="31" s="1"/>
  <c r="G46" i="31" a="1"/>
  <c r="K46" i="31" s="1"/>
  <c r="G45" i="31" a="1"/>
  <c r="K44" i="31"/>
  <c r="G44" i="31" a="1"/>
  <c r="J44" i="31" s="1"/>
  <c r="L44" i="31" s="1"/>
  <c r="K43" i="31"/>
  <c r="J43" i="31"/>
  <c r="G43" i="31" a="1"/>
  <c r="G43" i="31" s="1"/>
  <c r="G42" i="31" a="1"/>
  <c r="K42" i="31" s="1"/>
  <c r="G41" i="31" a="1"/>
  <c r="G41" i="31" s="1"/>
  <c r="J40" i="31"/>
  <c r="G40" i="31" a="1"/>
  <c r="K40" i="31" s="1"/>
  <c r="J39" i="31"/>
  <c r="G39" i="31"/>
  <c r="G39" i="31" a="1"/>
  <c r="K39" i="31" s="1"/>
  <c r="G38" i="31" a="1"/>
  <c r="G38" i="31" s="1"/>
  <c r="G37" i="31" a="1"/>
  <c r="J37" i="31" s="1"/>
  <c r="G36" i="31" a="1"/>
  <c r="K36" i="31" s="1"/>
  <c r="K35" i="31"/>
  <c r="G35" i="31" a="1"/>
  <c r="J35" i="31" s="1"/>
  <c r="G34" i="31" a="1"/>
  <c r="G34" i="31" s="1"/>
  <c r="G33" i="31" a="1"/>
  <c r="J33" i="31" s="1"/>
  <c r="G32" i="31" a="1"/>
  <c r="K32" i="31" s="1"/>
  <c r="G31" i="31" a="1"/>
  <c r="K31" i="31" s="1"/>
  <c r="G30" i="31" a="1"/>
  <c r="G30" i="31" s="1"/>
  <c r="G29" i="31" a="1"/>
  <c r="J29" i="31" s="1"/>
  <c r="G28" i="31" a="1"/>
  <c r="K28" i="31" s="1"/>
  <c r="K27" i="31"/>
  <c r="J27" i="31"/>
  <c r="G27" i="31"/>
  <c r="G27" i="31" a="1"/>
  <c r="G26" i="31" a="1"/>
  <c r="G26" i="31" s="1"/>
  <c r="G25" i="31" a="1"/>
  <c r="J25" i="31" s="1"/>
  <c r="G24" i="31" a="1"/>
  <c r="K24" i="31" s="1"/>
  <c r="G23" i="31" a="1"/>
  <c r="K23" i="31" s="1"/>
  <c r="G22" i="31" a="1"/>
  <c r="G22" i="31" s="1"/>
  <c r="G21" i="31" a="1"/>
  <c r="J21" i="31" s="1"/>
  <c r="G20" i="31" a="1"/>
  <c r="K20" i="31" s="1"/>
  <c r="K19" i="31"/>
  <c r="J19" i="31"/>
  <c r="G19" i="31"/>
  <c r="G19" i="31" a="1"/>
  <c r="G18" i="31" a="1"/>
  <c r="G18" i="31" s="1"/>
  <c r="G17" i="31" a="1"/>
  <c r="J17" i="31" s="1"/>
  <c r="G16" i="31" a="1"/>
  <c r="K16" i="31" s="1"/>
  <c r="K15" i="31"/>
  <c r="J15" i="31"/>
  <c r="G15" i="31" a="1"/>
  <c r="G15" i="31" s="1"/>
  <c r="G14" i="31" a="1"/>
  <c r="G14" i="31" s="1"/>
  <c r="G13" i="31" a="1"/>
  <c r="J13" i="31" s="1"/>
  <c r="G12" i="31" a="1"/>
  <c r="K12" i="31" s="1"/>
  <c r="G11" i="31" a="1"/>
  <c r="K11" i="31" s="1"/>
  <c r="K10" i="31"/>
  <c r="J10" i="31"/>
  <c r="G10" i="31" a="1"/>
  <c r="G10" i="31" s="1"/>
  <c r="G13" i="29"/>
  <c r="D28" i="27"/>
  <c r="D21" i="27"/>
  <c r="D15" i="27"/>
  <c r="I65" i="25"/>
  <c r="F65" i="25"/>
  <c r="E65" i="25"/>
  <c r="I36" i="25"/>
  <c r="G36" i="25" a="1"/>
  <c r="G36" i="25" s="1"/>
  <c r="F36" i="25"/>
  <c r="E36" i="25"/>
  <c r="I35" i="25"/>
  <c r="F35" i="25"/>
  <c r="E35" i="25"/>
  <c r="G35" i="25" s="1" a="1"/>
  <c r="G35" i="25" s="1"/>
  <c r="I34" i="25"/>
  <c r="F34" i="25"/>
  <c r="E34" i="25"/>
  <c r="G34" i="25" s="1" a="1"/>
  <c r="G34" i="25" s="1"/>
  <c r="C28" i="25"/>
  <c r="I23" i="25"/>
  <c r="G36" i="24" a="1"/>
  <c r="G36" i="24" s="1"/>
  <c r="G25" i="24"/>
  <c r="D160" i="23"/>
  <c r="G159" i="23"/>
  <c r="G160" i="23" s="1" a="1"/>
  <c r="G160" i="23" s="1"/>
  <c r="G153" i="23"/>
  <c r="G150" i="23"/>
  <c r="G151" i="23" s="1" a="1"/>
  <c r="G151" i="23" s="1"/>
  <c r="M71" i="23"/>
  <c r="L71" i="23"/>
  <c r="K71" i="23"/>
  <c r="I71" i="23" a="1"/>
  <c r="I71" i="23" s="1"/>
  <c r="H71" i="23" a="1"/>
  <c r="H71" i="23" s="1"/>
  <c r="G71" i="23"/>
  <c r="G71" i="23" a="1"/>
  <c r="F71" i="23"/>
  <c r="M70" i="23"/>
  <c r="L70" i="23"/>
  <c r="K70" i="23"/>
  <c r="F70" i="23"/>
  <c r="H70" i="23" s="1" a="1"/>
  <c r="H70" i="23" s="1"/>
  <c r="M69" i="23"/>
  <c r="L69" i="23"/>
  <c r="K69" i="23"/>
  <c r="F69" i="23"/>
  <c r="I69" i="23" s="1" a="1"/>
  <c r="I69" i="23" s="1"/>
  <c r="M68" i="23"/>
  <c r="L68" i="23"/>
  <c r="K68" i="23"/>
  <c r="F68" i="23"/>
  <c r="H68" i="23" s="1" a="1"/>
  <c r="H68" i="23" s="1"/>
  <c r="M67" i="23"/>
  <c r="L67" i="23"/>
  <c r="K67" i="23"/>
  <c r="H67" i="23" a="1"/>
  <c r="H67" i="23" s="1"/>
  <c r="F67" i="23"/>
  <c r="I67" i="23" s="1" a="1"/>
  <c r="I67" i="23" s="1"/>
  <c r="M66" i="23"/>
  <c r="L66" i="23"/>
  <c r="K66" i="23"/>
  <c r="F66" i="23"/>
  <c r="H66" i="23" s="1" a="1"/>
  <c r="H66" i="23" s="1"/>
  <c r="M65" i="23"/>
  <c r="L65" i="23"/>
  <c r="K65" i="23"/>
  <c r="G65" i="23" a="1"/>
  <c r="G65" i="23" s="1"/>
  <c r="F65" i="23"/>
  <c r="I65" i="23" s="1" a="1"/>
  <c r="I65" i="23" s="1"/>
  <c r="M64" i="23"/>
  <c r="L64" i="23"/>
  <c r="K64" i="23"/>
  <c r="F64" i="23"/>
  <c r="H64" i="23" s="1" a="1"/>
  <c r="H64" i="23" s="1"/>
  <c r="M63" i="23"/>
  <c r="L63" i="23"/>
  <c r="K63" i="23"/>
  <c r="I63" i="23" a="1"/>
  <c r="I63" i="23" s="1"/>
  <c r="H63" i="23" a="1"/>
  <c r="H63" i="23" s="1"/>
  <c r="G63" i="23" a="1"/>
  <c r="G63" i="23" s="1"/>
  <c r="F63" i="23"/>
  <c r="M62" i="23"/>
  <c r="L62" i="23"/>
  <c r="K62" i="23"/>
  <c r="F62" i="23"/>
  <c r="H62" i="23" s="1" a="1"/>
  <c r="H62" i="23" s="1"/>
  <c r="M61" i="23"/>
  <c r="L61" i="23"/>
  <c r="K61" i="23"/>
  <c r="G61" i="23" a="1"/>
  <c r="G61" i="23" s="1"/>
  <c r="F61" i="23"/>
  <c r="I61" i="23" s="1" a="1"/>
  <c r="I61" i="23" s="1"/>
  <c r="G28" i="23"/>
  <c r="G30" i="23" s="1" a="1"/>
  <c r="G30" i="23" s="1"/>
  <c r="C28" i="23"/>
  <c r="C23" i="23"/>
  <c r="G20" i="23"/>
  <c r="G131" i="22"/>
  <c r="G100" i="22"/>
  <c r="G99" i="22"/>
  <c r="G76" i="22"/>
  <c r="G74" i="22"/>
  <c r="G72" i="22"/>
  <c r="G70" i="22"/>
  <c r="G42" i="22"/>
  <c r="G28" i="22"/>
  <c r="D159" i="21" a="1"/>
  <c r="D159" i="21" s="1"/>
  <c r="G95" i="21"/>
  <c r="G82" i="21" a="1"/>
  <c r="G82" i="21" s="1"/>
  <c r="G62" i="21" a="1"/>
  <c r="G62" i="21" s="1"/>
  <c r="G61" i="21" a="1"/>
  <c r="G61" i="21" s="1"/>
  <c r="G48" i="21" a="1"/>
  <c r="G48" i="21" s="1"/>
  <c r="G46" i="21" a="1"/>
  <c r="G46" i="21" s="1"/>
  <c r="G44" i="21"/>
  <c r="G33" i="21" a="1"/>
  <c r="G33" i="21" s="1"/>
  <c r="G26" i="21"/>
  <c r="I95" i="21"/>
  <c r="I28" i="23"/>
  <c r="K34" i="25"/>
  <c r="I62" i="21"/>
  <c r="K36" i="25"/>
  <c r="I25" i="24"/>
  <c r="I61" i="21"/>
  <c r="I20" i="23"/>
  <c r="I28" i="22"/>
  <c r="I26" i="21"/>
  <c r="I46" i="21"/>
  <c r="K23" i="25"/>
  <c r="I74" i="22"/>
  <c r="I100" i="22"/>
  <c r="K35" i="25"/>
  <c r="I44" i="21"/>
  <c r="I99" i="22"/>
  <c r="I76" i="22"/>
  <c r="I70" i="22"/>
  <c r="I82" i="21"/>
  <c r="I42" i="22"/>
  <c r="I48" i="21"/>
  <c r="I30" i="23"/>
  <c r="I72" i="22"/>
  <c r="I33" i="21"/>
  <c r="W126" i="21" l="1"/>
  <c r="W127" i="21" s="1" a="1"/>
  <c r="W127" i="21" s="1"/>
  <c r="W124" i="21"/>
  <c r="G202" i="31"/>
  <c r="G227" i="31"/>
  <c r="G231" i="31"/>
  <c r="G235" i="31"/>
  <c r="G239" i="31"/>
  <c r="G243" i="31"/>
  <c r="Q126" i="21"/>
  <c r="Q127" i="21" s="1" a="1"/>
  <c r="Q127" i="21" s="1"/>
  <c r="L106" i="31"/>
  <c r="H65" i="23" a="1"/>
  <c r="H65" i="23" s="1"/>
  <c r="G114" i="31"/>
  <c r="R126" i="21"/>
  <c r="R127" i="21" s="1" a="1"/>
  <c r="R127" i="21" s="1"/>
  <c r="G68" i="31"/>
  <c r="G72" i="31"/>
  <c r="G76" i="31"/>
  <c r="L80" i="31"/>
  <c r="G110" i="31"/>
  <c r="G11" i="31"/>
  <c r="G23" i="31"/>
  <c r="G48" i="31"/>
  <c r="G52" i="31"/>
  <c r="G64" i="31"/>
  <c r="J68" i="31"/>
  <c r="L68" i="31" s="1"/>
  <c r="J72" i="31"/>
  <c r="L72" i="31" s="1"/>
  <c r="J76" i="31"/>
  <c r="L76" i="31" s="1"/>
  <c r="J110" i="31"/>
  <c r="L110" i="31" s="1"/>
  <c r="G118" i="31"/>
  <c r="G122" i="31"/>
  <c r="K129" i="31"/>
  <c r="K133" i="31"/>
  <c r="K137" i="31"/>
  <c r="K148" i="31"/>
  <c r="L148" i="31" s="1"/>
  <c r="K152" i="31"/>
  <c r="L152" i="31" s="1"/>
  <c r="J181" i="31"/>
  <c r="K185" i="31"/>
  <c r="L185" i="31" s="1"/>
  <c r="G194" i="31"/>
  <c r="G198" i="31"/>
  <c r="J202" i="31"/>
  <c r="L202" i="31" s="1"/>
  <c r="G67" i="23" a="1"/>
  <c r="G67" i="23" s="1"/>
  <c r="J11" i="31"/>
  <c r="J23" i="31"/>
  <c r="G35" i="31"/>
  <c r="G44" i="31"/>
  <c r="J48" i="31"/>
  <c r="L48" i="31" s="1"/>
  <c r="J52" i="31"/>
  <c r="L52" i="31" s="1"/>
  <c r="G56" i="31"/>
  <c r="G60" i="31"/>
  <c r="J64" i="31"/>
  <c r="L64" i="31" s="1"/>
  <c r="J114" i="31"/>
  <c r="L114" i="31" s="1"/>
  <c r="J118" i="31"/>
  <c r="J122" i="31"/>
  <c r="L122" i="31" s="1"/>
  <c r="G126" i="31"/>
  <c r="K141" i="31"/>
  <c r="K156" i="31"/>
  <c r="L156" i="31" s="1"/>
  <c r="G169" i="31"/>
  <c r="G173" i="31"/>
  <c r="J177" i="31"/>
  <c r="K181" i="31"/>
  <c r="G190" i="31"/>
  <c r="J194" i="31"/>
  <c r="L194" i="31" s="1"/>
  <c r="J198" i="31"/>
  <c r="G207" i="31"/>
  <c r="G211" i="31"/>
  <c r="S126" i="21"/>
  <c r="S127" i="21" s="1" a="1"/>
  <c r="S127" i="21" s="1"/>
  <c r="G40" i="31"/>
  <c r="J99" i="31"/>
  <c r="L99" i="31" s="1"/>
  <c r="J103" i="31"/>
  <c r="L103" i="31" s="1"/>
  <c r="J107" i="31"/>
  <c r="L107" i="31" s="1"/>
  <c r="K145" i="31"/>
  <c r="K149" i="31"/>
  <c r="K153" i="31"/>
  <c r="J165" i="31"/>
  <c r="K177" i="31"/>
  <c r="J190" i="31"/>
  <c r="G203" i="31"/>
  <c r="G229" i="31"/>
  <c r="G233" i="31"/>
  <c r="G237" i="31"/>
  <c r="G241" i="31"/>
  <c r="T126" i="21"/>
  <c r="T127" i="21" s="1" a="1"/>
  <c r="T127" i="21" s="1"/>
  <c r="G217" i="31"/>
  <c r="G221" i="31"/>
  <c r="J225" i="31"/>
  <c r="J229" i="31"/>
  <c r="L229" i="31" s="1"/>
  <c r="J233" i="31"/>
  <c r="J237" i="31"/>
  <c r="L237" i="31" s="1"/>
  <c r="J241" i="31"/>
  <c r="L241" i="31" s="1"/>
  <c r="U126" i="21"/>
  <c r="U127" i="21" s="1" a="1"/>
  <c r="U127" i="21" s="1"/>
  <c r="H61" i="23" a="1"/>
  <c r="H61" i="23" s="1"/>
  <c r="G69" i="23" a="1"/>
  <c r="G69" i="23" s="1"/>
  <c r="G31" i="31"/>
  <c r="J83" i="31"/>
  <c r="J87" i="31"/>
  <c r="J91" i="31"/>
  <c r="K100" i="31"/>
  <c r="L100" i="31" s="1"/>
  <c r="K104" i="31"/>
  <c r="L104" i="31" s="1"/>
  <c r="J115" i="31"/>
  <c r="L115" i="31" s="1"/>
  <c r="J119" i="31"/>
  <c r="L119" i="31" s="1"/>
  <c r="J123" i="31"/>
  <c r="L123" i="31" s="1"/>
  <c r="L142" i="31"/>
  <c r="G146" i="31"/>
  <c r="G150" i="31"/>
  <c r="G154" i="31"/>
  <c r="G178" i="31"/>
  <c r="J182" i="31"/>
  <c r="G191" i="31"/>
  <c r="G209" i="31"/>
  <c r="J213" i="31"/>
  <c r="K225" i="31"/>
  <c r="L225" i="31" s="1"/>
  <c r="L126" i="21"/>
  <c r="L127" i="21" s="1" a="1"/>
  <c r="L127" i="21" s="1"/>
  <c r="V126" i="21"/>
  <c r="V127" i="21" s="1" a="1"/>
  <c r="V127" i="21" s="1"/>
  <c r="J31" i="31"/>
  <c r="L31" i="31" s="1"/>
  <c r="K91" i="31"/>
  <c r="J178" i="31"/>
  <c r="L178" i="31" s="1"/>
  <c r="K213" i="31"/>
  <c r="M126" i="21"/>
  <c r="M127" i="21" s="1" a="1"/>
  <c r="M127" i="21" s="1"/>
  <c r="K83" i="31"/>
  <c r="K87" i="31"/>
  <c r="J146" i="31"/>
  <c r="L146" i="31" s="1"/>
  <c r="J150" i="31"/>
  <c r="J154" i="31"/>
  <c r="L154" i="31" s="1"/>
  <c r="J209" i="31"/>
  <c r="H69" i="23" a="1"/>
  <c r="H69" i="23" s="1"/>
  <c r="G65" i="25" a="1"/>
  <c r="G65" i="25" s="1"/>
  <c r="J67" i="31"/>
  <c r="L67" i="31" s="1"/>
  <c r="J71" i="31"/>
  <c r="L71" i="31" s="1"/>
  <c r="J75" i="31"/>
  <c r="L75" i="31" s="1"/>
  <c r="K79" i="31"/>
  <c r="L79" i="31" s="1"/>
  <c r="K101" i="31"/>
  <c r="K105" i="31"/>
  <c r="K116" i="31"/>
  <c r="L116" i="31" s="1"/>
  <c r="K120" i="31"/>
  <c r="L120" i="31" s="1"/>
  <c r="J131" i="31"/>
  <c r="L131" i="31" s="1"/>
  <c r="J135" i="31"/>
  <c r="L135" i="31" s="1"/>
  <c r="J139" i="31"/>
  <c r="L139" i="31" s="1"/>
  <c r="G162" i="31"/>
  <c r="J166" i="31"/>
  <c r="L166" i="31" s="1"/>
  <c r="J170" i="31"/>
  <c r="L170" i="31" s="1"/>
  <c r="J174" i="31"/>
  <c r="G183" i="31"/>
  <c r="G197" i="31"/>
  <c r="J201" i="31"/>
  <c r="K205" i="31"/>
  <c r="G226" i="31"/>
  <c r="G230" i="31"/>
  <c r="G234" i="31"/>
  <c r="G238" i="31"/>
  <c r="G242" i="31"/>
  <c r="N126" i="21"/>
  <c r="N127" i="21" s="1" a="1"/>
  <c r="N127" i="21" s="1"/>
  <c r="L10" i="31"/>
  <c r="L47" i="31"/>
  <c r="L51" i="31"/>
  <c r="L63" i="31"/>
  <c r="L96" i="31"/>
  <c r="L193" i="31"/>
  <c r="K201" i="31"/>
  <c r="G214" i="31"/>
  <c r="G218" i="31"/>
  <c r="G222" i="31"/>
  <c r="J226" i="31"/>
  <c r="L226" i="31" s="1"/>
  <c r="J230" i="31"/>
  <c r="L230" i="31" s="1"/>
  <c r="J234" i="31"/>
  <c r="J238" i="31"/>
  <c r="J242" i="31"/>
  <c r="L242" i="31" s="1"/>
  <c r="O126" i="21"/>
  <c r="O127" i="21" s="1" a="1"/>
  <c r="O127" i="21" s="1"/>
  <c r="P126" i="21"/>
  <c r="P127" i="21" s="1" a="1"/>
  <c r="P127" i="21" s="1"/>
  <c r="L11" i="31"/>
  <c r="K212" i="31"/>
  <c r="J212" i="31"/>
  <c r="G212" i="31"/>
  <c r="J62" i="31"/>
  <c r="G62" i="31"/>
  <c r="G12" i="31"/>
  <c r="K45" i="31"/>
  <c r="J45" i="31"/>
  <c r="J50" i="31"/>
  <c r="G50" i="31"/>
  <c r="K61" i="31"/>
  <c r="J61" i="31"/>
  <c r="K62" i="31"/>
  <c r="J66" i="31"/>
  <c r="G66" i="31"/>
  <c r="K77" i="31"/>
  <c r="J77" i="31"/>
  <c r="J82" i="31"/>
  <c r="G82" i="31"/>
  <c r="K93" i="31"/>
  <c r="J93" i="31"/>
  <c r="L93" i="31" s="1"/>
  <c r="J98" i="31"/>
  <c r="G98" i="31"/>
  <c r="K204" i="31"/>
  <c r="J204" i="31"/>
  <c r="G204" i="31"/>
  <c r="J12" i="31"/>
  <c r="L12" i="31" s="1"/>
  <c r="G13" i="31"/>
  <c r="J14" i="31"/>
  <c r="G16" i="31"/>
  <c r="G17" i="31"/>
  <c r="J18" i="31"/>
  <c r="G20" i="31"/>
  <c r="G21" i="31"/>
  <c r="J22" i="31"/>
  <c r="G24" i="31"/>
  <c r="G25" i="31"/>
  <c r="J26" i="31"/>
  <c r="G28" i="31"/>
  <c r="G29" i="31"/>
  <c r="J30" i="31"/>
  <c r="G32" i="31"/>
  <c r="G33" i="31"/>
  <c r="J34" i="31"/>
  <c r="G36" i="31"/>
  <c r="G37" i="31"/>
  <c r="J38" i="31"/>
  <c r="L38" i="31" s="1"/>
  <c r="G45" i="31"/>
  <c r="K49" i="31"/>
  <c r="J49" i="31"/>
  <c r="L49" i="31" s="1"/>
  <c r="K50" i="31"/>
  <c r="J54" i="31"/>
  <c r="L54" i="31" s="1"/>
  <c r="G54" i="31"/>
  <c r="L55" i="31"/>
  <c r="G61" i="31"/>
  <c r="K65" i="31"/>
  <c r="J65" i="31"/>
  <c r="K66" i="31"/>
  <c r="J70" i="31"/>
  <c r="G70" i="31"/>
  <c r="G77" i="31"/>
  <c r="K81" i="31"/>
  <c r="J81" i="31"/>
  <c r="K82" i="31"/>
  <c r="J86" i="31"/>
  <c r="G86" i="31"/>
  <c r="G93" i="31"/>
  <c r="K97" i="31"/>
  <c r="J97" i="31"/>
  <c r="L97" i="31" s="1"/>
  <c r="K98" i="31"/>
  <c r="J160" i="31"/>
  <c r="L160" i="31" s="1"/>
  <c r="G160" i="31"/>
  <c r="K160" i="31"/>
  <c r="K188" i="31"/>
  <c r="J188" i="31"/>
  <c r="G188" i="31"/>
  <c r="K224" i="31"/>
  <c r="J224" i="31"/>
  <c r="L224" i="31" s="1"/>
  <c r="G224" i="31"/>
  <c r="K240" i="31"/>
  <c r="J240" i="31"/>
  <c r="L240" i="31" s="1"/>
  <c r="G240" i="31"/>
  <c r="K41" i="31"/>
  <c r="J41" i="31"/>
  <c r="J46" i="31"/>
  <c r="L46" i="31" s="1"/>
  <c r="G46" i="31"/>
  <c r="K57" i="31"/>
  <c r="J57" i="31"/>
  <c r="K73" i="31"/>
  <c r="J73" i="31"/>
  <c r="L73" i="31" s="1"/>
  <c r="J78" i="31"/>
  <c r="L78" i="31" s="1"/>
  <c r="G78" i="31"/>
  <c r="K89" i="31"/>
  <c r="J89" i="31"/>
  <c r="L89" i="31" s="1"/>
  <c r="J94" i="31"/>
  <c r="L94" i="31" s="1"/>
  <c r="G94" i="31"/>
  <c r="K180" i="31"/>
  <c r="J180" i="31"/>
  <c r="L180" i="31" s="1"/>
  <c r="G180" i="31"/>
  <c r="K13" i="31"/>
  <c r="L13" i="31" s="1"/>
  <c r="K14" i="31"/>
  <c r="L15" i="31"/>
  <c r="J16" i="31"/>
  <c r="L16" i="31" s="1"/>
  <c r="K17" i="31"/>
  <c r="L17" i="31" s="1"/>
  <c r="K18" i="31"/>
  <c r="L19" i="31"/>
  <c r="J20" i="31"/>
  <c r="L20" i="31" s="1"/>
  <c r="K21" i="31"/>
  <c r="L21" i="31" s="1"/>
  <c r="K22" i="31"/>
  <c r="L23" i="31"/>
  <c r="J24" i="31"/>
  <c r="L24" i="31" s="1"/>
  <c r="K25" i="31"/>
  <c r="L25" i="31" s="1"/>
  <c r="K26" i="31"/>
  <c r="L27" i="31"/>
  <c r="J28" i="31"/>
  <c r="L28" i="31" s="1"/>
  <c r="K29" i="31"/>
  <c r="L29" i="31" s="1"/>
  <c r="K30" i="31"/>
  <c r="J32" i="31"/>
  <c r="L32" i="31" s="1"/>
  <c r="K33" i="31"/>
  <c r="L33" i="31" s="1"/>
  <c r="K34" i="31"/>
  <c r="L35" i="31"/>
  <c r="J36" i="31"/>
  <c r="L36" i="31" s="1"/>
  <c r="K37" i="31"/>
  <c r="L37" i="31" s="1"/>
  <c r="K38" i="31"/>
  <c r="L39" i="31"/>
  <c r="L40" i="31"/>
  <c r="J42" i="31"/>
  <c r="L42" i="31" s="1"/>
  <c r="G42" i="31"/>
  <c r="L43" i="31"/>
  <c r="K53" i="31"/>
  <c r="J53" i="31"/>
  <c r="J58" i="31"/>
  <c r="L58" i="31" s="1"/>
  <c r="G58" i="31"/>
  <c r="L59" i="31"/>
  <c r="G65" i="31"/>
  <c r="K69" i="31"/>
  <c r="J69" i="31"/>
  <c r="L69" i="31" s="1"/>
  <c r="K70" i="31"/>
  <c r="J74" i="31"/>
  <c r="L74" i="31" s="1"/>
  <c r="G74" i="31"/>
  <c r="G81" i="31"/>
  <c r="K85" i="31"/>
  <c r="J85" i="31"/>
  <c r="K86" i="31"/>
  <c r="J90" i="31"/>
  <c r="L90" i="31" s="1"/>
  <c r="G90" i="31"/>
  <c r="L91" i="31"/>
  <c r="G97" i="31"/>
  <c r="L102" i="31"/>
  <c r="L118" i="31"/>
  <c r="L134" i="31"/>
  <c r="L150" i="31"/>
  <c r="K176" i="31"/>
  <c r="J176" i="31"/>
  <c r="G176" i="31"/>
  <c r="K228" i="31"/>
  <c r="J228" i="31"/>
  <c r="L228" i="31" s="1"/>
  <c r="G228" i="31"/>
  <c r="K163" i="31"/>
  <c r="J163" i="31"/>
  <c r="K167" i="31"/>
  <c r="J167" i="31"/>
  <c r="L177" i="31"/>
  <c r="K192" i="31"/>
  <c r="J192" i="31"/>
  <c r="G192" i="31"/>
  <c r="K216" i="31"/>
  <c r="J216" i="31"/>
  <c r="L216" i="31" s="1"/>
  <c r="G216" i="31"/>
  <c r="L217" i="31"/>
  <c r="L218" i="31"/>
  <c r="L238" i="31"/>
  <c r="G99" i="31"/>
  <c r="G100" i="31"/>
  <c r="J101" i="31"/>
  <c r="L101" i="31" s="1"/>
  <c r="G103" i="31"/>
  <c r="G104" i="31"/>
  <c r="J105" i="31"/>
  <c r="L105" i="31" s="1"/>
  <c r="G107" i="31"/>
  <c r="G108" i="31"/>
  <c r="J109" i="31"/>
  <c r="L109" i="31" s="1"/>
  <c r="G111" i="31"/>
  <c r="G112" i="31"/>
  <c r="J113" i="31"/>
  <c r="L113" i="31" s="1"/>
  <c r="G115" i="31"/>
  <c r="G116" i="31"/>
  <c r="J117" i="31"/>
  <c r="L117" i="31" s="1"/>
  <c r="G119" i="31"/>
  <c r="G120" i="31"/>
  <c r="J121" i="31"/>
  <c r="L121" i="31" s="1"/>
  <c r="G123" i="31"/>
  <c r="G124" i="31"/>
  <c r="J125" i="31"/>
  <c r="L125" i="31" s="1"/>
  <c r="G127" i="31"/>
  <c r="G128" i="31"/>
  <c r="J129" i="31"/>
  <c r="L129" i="31" s="1"/>
  <c r="G131" i="31"/>
  <c r="G132" i="31"/>
  <c r="J133" i="31"/>
  <c r="L133" i="31" s="1"/>
  <c r="G135" i="31"/>
  <c r="G136" i="31"/>
  <c r="J137" i="31"/>
  <c r="L137" i="31" s="1"/>
  <c r="G139" i="31"/>
  <c r="G140" i="31"/>
  <c r="J141" i="31"/>
  <c r="L141" i="31" s="1"/>
  <c r="G143" i="31"/>
  <c r="G144" i="31"/>
  <c r="J145" i="31"/>
  <c r="L145" i="31" s="1"/>
  <c r="G147" i="31"/>
  <c r="G148" i="31"/>
  <c r="J149" i="31"/>
  <c r="G151" i="31"/>
  <c r="G152" i="31"/>
  <c r="J153" i="31"/>
  <c r="L153" i="31" s="1"/>
  <c r="G155" i="31"/>
  <c r="G156" i="31"/>
  <c r="J157" i="31"/>
  <c r="L157" i="31" s="1"/>
  <c r="G163" i="31"/>
  <c r="G167" i="31"/>
  <c r="K184" i="31"/>
  <c r="J184" i="31"/>
  <c r="G184" i="31"/>
  <c r="K196" i="31"/>
  <c r="J196" i="31"/>
  <c r="G196" i="31"/>
  <c r="L197" i="31"/>
  <c r="L198" i="31"/>
  <c r="L205" i="31"/>
  <c r="L206" i="31"/>
  <c r="L213" i="31"/>
  <c r="K236" i="31"/>
  <c r="J236" i="31"/>
  <c r="G236" i="31"/>
  <c r="K159" i="31"/>
  <c r="J159" i="31"/>
  <c r="L159" i="31" s="1"/>
  <c r="L161" i="31"/>
  <c r="L162" i="31"/>
  <c r="J164" i="31"/>
  <c r="L164" i="31" s="1"/>
  <c r="G164" i="31"/>
  <c r="L165" i="31"/>
  <c r="J168" i="31"/>
  <c r="L168" i="31" s="1"/>
  <c r="G168" i="31"/>
  <c r="K172" i="31"/>
  <c r="J172" i="31"/>
  <c r="G172" i="31"/>
  <c r="L173" i="31"/>
  <c r="L174" i="31"/>
  <c r="L181" i="31"/>
  <c r="L182" i="31"/>
  <c r="L189" i="31"/>
  <c r="L190" i="31"/>
  <c r="K200" i="31"/>
  <c r="J200" i="31"/>
  <c r="L200" i="31" s="1"/>
  <c r="G200" i="31"/>
  <c r="K208" i="31"/>
  <c r="J208" i="31"/>
  <c r="L208" i="31" s="1"/>
  <c r="G208" i="31"/>
  <c r="L209" i="31"/>
  <c r="L210" i="31"/>
  <c r="K220" i="31"/>
  <c r="J220" i="31"/>
  <c r="L220" i="31" s="1"/>
  <c r="G220" i="31"/>
  <c r="L221" i="31"/>
  <c r="L222" i="31"/>
  <c r="K232" i="31"/>
  <c r="J232" i="31"/>
  <c r="L232" i="31" s="1"/>
  <c r="G232" i="31"/>
  <c r="L233" i="31"/>
  <c r="L234" i="31"/>
  <c r="J171" i="31"/>
  <c r="L171" i="31" s="1"/>
  <c r="J175" i="31"/>
  <c r="L175" i="31" s="1"/>
  <c r="J179" i="31"/>
  <c r="L179" i="31" s="1"/>
  <c r="J183" i="31"/>
  <c r="L183" i="31" s="1"/>
  <c r="J187" i="31"/>
  <c r="L187" i="31" s="1"/>
  <c r="J191" i="31"/>
  <c r="L191" i="31" s="1"/>
  <c r="J195" i="31"/>
  <c r="L195" i="31" s="1"/>
  <c r="J199" i="31"/>
  <c r="L199" i="31" s="1"/>
  <c r="J203" i="31"/>
  <c r="L203" i="31" s="1"/>
  <c r="J207" i="31"/>
  <c r="L207" i="31" s="1"/>
  <c r="J211" i="31"/>
  <c r="L211" i="31" s="1"/>
  <c r="J215" i="31"/>
  <c r="L215" i="31" s="1"/>
  <c r="J219" i="31"/>
  <c r="L219" i="31" s="1"/>
  <c r="J223" i="31"/>
  <c r="L223" i="31" s="1"/>
  <c r="J227" i="31"/>
  <c r="L227" i="31" s="1"/>
  <c r="J231" i="31"/>
  <c r="L231" i="31" s="1"/>
  <c r="J235" i="31"/>
  <c r="L235" i="31" s="1"/>
  <c r="J239" i="31"/>
  <c r="L239" i="31" s="1"/>
  <c r="J243" i="31"/>
  <c r="L243" i="31" s="1"/>
  <c r="G62" i="23" a="1"/>
  <c r="G62" i="23" s="1"/>
  <c r="I62" i="23" a="1"/>
  <c r="I62" i="23" s="1"/>
  <c r="G64" i="23" a="1"/>
  <c r="G64" i="23" s="1"/>
  <c r="I64" i="23" a="1"/>
  <c r="I64" i="23" s="1"/>
  <c r="G66" i="23" a="1"/>
  <c r="G66" i="23" s="1"/>
  <c r="I66" i="23" a="1"/>
  <c r="I66" i="23" s="1"/>
  <c r="G68" i="23" a="1"/>
  <c r="G68" i="23" s="1"/>
  <c r="I68" i="23" a="1"/>
  <c r="I68" i="23" s="1"/>
  <c r="G70" i="23" a="1"/>
  <c r="G70" i="23" s="1"/>
  <c r="I70" i="23" a="1"/>
  <c r="I70" i="23" s="1"/>
  <c r="C30" i="23"/>
  <c r="L26" i="31" l="1"/>
  <c r="L82" i="31"/>
  <c r="L65" i="31"/>
  <c r="L77" i="31"/>
  <c r="L184" i="31"/>
  <c r="L149" i="31"/>
  <c r="L188" i="31"/>
  <c r="L22" i="31"/>
  <c r="L204" i="31"/>
  <c r="L201" i="31"/>
  <c r="L87" i="31"/>
  <c r="L83" i="31"/>
  <c r="L81" i="31"/>
  <c r="L163" i="31"/>
  <c r="L212" i="31"/>
  <c r="L70" i="31"/>
  <c r="L66" i="31"/>
  <c r="L172" i="31"/>
  <c r="L85" i="31"/>
  <c r="L86" i="31"/>
  <c r="L30" i="31"/>
  <c r="L14" i="31"/>
  <c r="L50" i="31"/>
  <c r="L98" i="31"/>
  <c r="L236" i="31"/>
  <c r="L196" i="31"/>
  <c r="L192" i="31"/>
  <c r="L167" i="31"/>
  <c r="L176" i="31"/>
  <c r="L53" i="31"/>
  <c r="L57" i="31"/>
  <c r="L41" i="31"/>
  <c r="L34" i="31"/>
  <c r="L18" i="31"/>
  <c r="L61" i="31"/>
  <c r="L45" i="31"/>
  <c r="L62" i="31"/>
  <c r="L319" i="4" l="1"/>
  <c r="K319" i="4"/>
  <c r="J319" i="4"/>
  <c r="L318" i="4"/>
  <c r="K318" i="4"/>
  <c r="J318" i="4"/>
  <c r="L317" i="4"/>
  <c r="K317" i="4"/>
  <c r="J317" i="4"/>
  <c r="L316" i="4"/>
  <c r="K316" i="4"/>
  <c r="J316" i="4"/>
  <c r="L315" i="4"/>
  <c r="K315" i="4"/>
  <c r="J315" i="4"/>
  <c r="L314" i="4"/>
  <c r="K314" i="4"/>
  <c r="J314" i="4"/>
  <c r="L313" i="4"/>
  <c r="K313" i="4"/>
  <c r="J313" i="4"/>
  <c r="L312" i="4"/>
  <c r="K312" i="4"/>
  <c r="J312" i="4"/>
  <c r="L311" i="4"/>
  <c r="K311" i="4"/>
  <c r="J311" i="4"/>
  <c r="L310" i="4"/>
  <c r="K310" i="4"/>
  <c r="J310" i="4"/>
  <c r="L309" i="4"/>
  <c r="K309" i="4"/>
  <c r="J309" i="4"/>
  <c r="C236" i="4" a="1"/>
  <c r="C236" i="4" s="1"/>
  <c r="G212" i="4"/>
  <c r="G197" i="4"/>
  <c r="G182" i="4"/>
  <c r="G180" i="4"/>
  <c r="G178" i="4"/>
  <c r="G176" i="4"/>
  <c r="G174" i="4"/>
  <c r="G154" i="4"/>
  <c r="G137" i="4"/>
  <c r="G119" i="4"/>
  <c r="G92" i="4"/>
  <c r="G80" i="4"/>
  <c r="G76" i="4"/>
  <c r="G78" i="4" s="1"/>
  <c r="G67" i="4"/>
  <c r="G52" i="4"/>
  <c r="G33" i="4"/>
  <c r="I76" i="4"/>
  <c r="I212" i="4"/>
  <c r="I80" i="4"/>
  <c r="I176" i="4"/>
  <c r="I78" i="4"/>
  <c r="I119" i="4"/>
  <c r="I67" i="4"/>
  <c r="I154" i="4"/>
  <c r="I174" i="4"/>
  <c r="I236" i="4"/>
  <c r="I33" i="4"/>
  <c r="I182" i="4"/>
  <c r="I137" i="4"/>
  <c r="I52" i="4"/>
  <c r="I197" i="4"/>
  <c r="I178" i="4"/>
  <c r="I92" i="4"/>
  <c r="I180" i="4"/>
  <c r="C19" i="17"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Giles Male</author>
  </authors>
  <commentList>
    <comment ref="F4" authorId="0" shapeId="0" xr:uid="{7E1BC928-2FE7-4FF7-AFAD-3EA030083D57}">
      <text>
        <r>
          <rPr>
            <b/>
            <sz val="9"/>
            <color indexed="81"/>
            <rFont val="Tahoma"/>
            <family val="2"/>
          </rPr>
          <t>Unit Of Measure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Giles Male</author>
  </authors>
  <commentList>
    <comment ref="F4" authorId="0" shapeId="0" xr:uid="{8201E4D6-3FEA-4648-BE40-8EB4A63F2629}">
      <text>
        <r>
          <rPr>
            <b/>
            <sz val="9"/>
            <color rgb="FF000000"/>
            <rFont val="Tahoma"/>
            <family val="2"/>
          </rPr>
          <t>Unit Of Measure</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<sst xmlns="http://schemas.openxmlformats.org/spreadsheetml/2006/main" count="6089" uniqueCount="1348">
  <si>
    <t>Exercises</t>
  </si>
  <si>
    <t>Setting the scene</t>
  </si>
  <si>
    <t>Purpose</t>
  </si>
  <si>
    <t>How to use this workbook</t>
  </si>
  <si>
    <t>Format guide</t>
  </si>
  <si>
    <t>Work through each of the worksheets within this workbook from left to right.</t>
  </si>
  <si>
    <t>Cells with a yellow fill are inputs cells which you can populate with your own inputs / assumptions.</t>
  </si>
  <si>
    <t>Key points</t>
  </si>
  <si>
    <t>Let's start with a simple example</t>
  </si>
  <si>
    <t>Solution</t>
  </si>
  <si>
    <t>Exercise</t>
  </si>
  <si>
    <t>Exercise Solution</t>
  </si>
  <si>
    <t>Formulas will be found in grey fill cells like this one.  You will be expected to populate grey fill cells that are blank.</t>
  </si>
  <si>
    <t>Worksheets in blue are more comprehensive exercises for you to test the use of these functions in other ways.</t>
  </si>
  <si>
    <t>The XLOOKUP function</t>
  </si>
  <si>
    <t>Syntax = XLOOKUP (lookup, lookup_array, return_array, [not_found], [match_mode], [search_mode])</t>
  </si>
  <si>
    <t>lookup - The value that you want to match</t>
  </si>
  <si>
    <t>lookup_array - The range of cells being searched through for the match value</t>
  </si>
  <si>
    <t>return_array - The range of cells that you want to return a value from</t>
  </si>
  <si>
    <t>[not_found] - Value to return if no match is found</t>
  </si>
  <si>
    <t>[match_mode] - Defines how the match should be performed:</t>
  </si>
  <si>
    <t>1 for next lower, -1 for next higher, 0 for exact match and 2 for a wildcard match</t>
  </si>
  <si>
    <t>[search_mode] - 1 for search from first (default), -1 for search from last, 2 for binary search ascending, -2 for binary search descending.</t>
  </si>
  <si>
    <t>As with other reference functions, we are able to choose an exact or approximate match using the match_mode argument.</t>
  </si>
  <si>
    <t>XLOOKUP also includes the additional feature of defining whether the search is performed top to bottom or bottom to top using the search_mode argument.</t>
  </si>
  <si>
    <t>The function can take advantage of the dynamic array engine, returning multiple entries for one formula.</t>
  </si>
  <si>
    <t>Sarah has a list of products and their prices in a table:</t>
  </si>
  <si>
    <t>We can use XLOOKUP to build a dynamic formula that will pull out the sales value for the product you choose in cell C33</t>
  </si>
  <si>
    <t>Product</t>
  </si>
  <si>
    <t>Price</t>
  </si>
  <si>
    <t>Chicken Pie</t>
  </si>
  <si>
    <t>Lamb Pie</t>
  </si>
  <si>
    <t>Vegetarian Pie</t>
  </si>
  <si>
    <t>Pork Pie</t>
  </si>
  <si>
    <t>In plain English:</t>
  </si>
  <si>
    <t>Return the price of Lamb Pies from the product table</t>
  </si>
  <si>
    <t>Let's take a closer look at the structure of the arguments in the formula</t>
  </si>
  <si>
    <t xml:space="preserve">lookup - We want to find the price for Lamb Pie </t>
  </si>
  <si>
    <t>lookup_array - We are looking for Lamb Pie in the range C28 to C31</t>
  </si>
  <si>
    <t>return_array - The range D28 to D31 contains the product prices we want to choose from</t>
  </si>
  <si>
    <t>What if our data is structured in rows rather than columns?</t>
  </si>
  <si>
    <t>This time Sarah's list of products and their prices are in a table structured in rows:</t>
  </si>
  <si>
    <t>We can still use XLOOKUP to build a dynamic formula that will pull out the sales value for the product selected</t>
  </si>
  <si>
    <t>Return the price of Lamb Pie from the product table</t>
  </si>
  <si>
    <t>What happens if the product we are looking for is not in the product table?</t>
  </si>
  <si>
    <t>Let's see what happens if the product we are looking for is not in the product table, and how we can use the [not_found] argument to improve the result:</t>
  </si>
  <si>
    <t>Apple Pie</t>
  </si>
  <si>
    <t>Return the price of Apple Pie from the product table</t>
  </si>
  <si>
    <t>As Apple Pie is not in the product table, XLOOKUP returns the error value #N/A</t>
  </si>
  <si>
    <t>We can keep the two functions separate by referring to the result value:</t>
  </si>
  <si>
    <t>or nest the two functions together:</t>
  </si>
  <si>
    <t>So let's now use the [not_found] argument within XLOOKUP to improve the result:</t>
  </si>
  <si>
    <t>Return the price of Apple Pie from the product table. If the result is not found then return "Not found".</t>
  </si>
  <si>
    <t xml:space="preserve">How to use the match_mode argument </t>
  </si>
  <si>
    <t>As with MATCH and other LOOKUP functions, it is possible to perform different types of match:</t>
  </si>
  <si>
    <t>The optional match_mode argument defines how the match should be performed:</t>
  </si>
  <si>
    <t>Description</t>
  </si>
  <si>
    <t>Match_mode</t>
  </si>
  <si>
    <t>Exact match</t>
  </si>
  <si>
    <t>0 (default)</t>
  </si>
  <si>
    <t>Exact match or next lower</t>
  </si>
  <si>
    <t>Exact match or next higher</t>
  </si>
  <si>
    <t>Wildcard match</t>
  </si>
  <si>
    <t>Let's see how the match-mode can be applied:</t>
  </si>
  <si>
    <t>1. Exact match (0 or omitted)</t>
  </si>
  <si>
    <t>Return the price of Lamb Pie from the product table. If the result is not found then return "Not found". Only return an exact match</t>
  </si>
  <si>
    <t>2. Exact match or next lower (-1)</t>
  </si>
  <si>
    <t>We would like to use the table below to assign an age to an age category</t>
  </si>
  <si>
    <t>Age</t>
  </si>
  <si>
    <t>Category</t>
  </si>
  <si>
    <t>0-9</t>
  </si>
  <si>
    <t>10-19</t>
  </si>
  <si>
    <t>20-29</t>
  </si>
  <si>
    <t>30-39</t>
  </si>
  <si>
    <t>40-59</t>
  </si>
  <si>
    <t>60+</t>
  </si>
  <si>
    <r>
      <t xml:space="preserve">Return the category for the age entered. This is achieved by searching from the </t>
    </r>
    <r>
      <rPr>
        <b/>
        <sz val="11.7"/>
        <color theme="1"/>
        <rFont val="Arial Narrow"/>
        <family val="2"/>
      </rPr>
      <t>bottom</t>
    </r>
    <r>
      <rPr>
        <sz val="13"/>
        <color theme="1"/>
        <rFont val="Arial Narrow"/>
        <family val="2"/>
      </rPr>
      <t xml:space="preserve"> and finding the </t>
    </r>
    <r>
      <rPr>
        <b/>
        <sz val="13"/>
        <color theme="1"/>
        <rFont val="Arial Narrow"/>
        <family val="2"/>
      </rPr>
      <t>nearest lowest</t>
    </r>
    <r>
      <rPr>
        <sz val="13"/>
        <color theme="1"/>
        <rFont val="Arial Narrow"/>
        <family val="2"/>
      </rPr>
      <t xml:space="preserve"> number to the age value entered.</t>
    </r>
  </si>
  <si>
    <t>3. Exact match or next higher (1)</t>
  </si>
  <si>
    <t>60-100</t>
  </si>
  <si>
    <r>
      <t xml:space="preserve">Return the category for the age entered. This is achieved by searching from the </t>
    </r>
    <r>
      <rPr>
        <b/>
        <sz val="11.7"/>
        <color theme="1"/>
        <rFont val="Arial Narrow"/>
        <family val="2"/>
      </rPr>
      <t>top</t>
    </r>
    <r>
      <rPr>
        <sz val="13"/>
        <color theme="1"/>
        <rFont val="Arial Narrow"/>
        <family val="2"/>
      </rPr>
      <t xml:space="preserve"> and finding the </t>
    </r>
    <r>
      <rPr>
        <b/>
        <sz val="13"/>
        <color theme="1"/>
        <rFont val="Arial Narrow"/>
        <family val="2"/>
      </rPr>
      <t>nearest highest</t>
    </r>
    <r>
      <rPr>
        <sz val="13"/>
        <color theme="1"/>
        <rFont val="Arial Narrow"/>
        <family val="2"/>
      </rPr>
      <t xml:space="preserve"> number to the age value entered.</t>
    </r>
  </si>
  <si>
    <t>4. Wildcard match</t>
  </si>
  <si>
    <t>There are two wildcard types that we can use:</t>
  </si>
  <si>
    <t>*  (asterisk) - all</t>
  </si>
  <si>
    <t>? (question mark) - any character (enter ? for each single wildcard character)</t>
  </si>
  <si>
    <t>Location</t>
  </si>
  <si>
    <t>No. of Sightings</t>
  </si>
  <si>
    <t>Hales Wood</t>
  </si>
  <si>
    <t>Green Wood</t>
  </si>
  <si>
    <t>Hakes Wood</t>
  </si>
  <si>
    <t>Forest of Dean</t>
  </si>
  <si>
    <t>Pile Wood</t>
  </si>
  <si>
    <t>Quantock Wood</t>
  </si>
  <si>
    <t>Starts with P:</t>
  </si>
  <si>
    <t>P*</t>
  </si>
  <si>
    <t>Starts with Ha:</t>
  </si>
  <si>
    <t>Ha*</t>
  </si>
  <si>
    <t>End with Wood</t>
  </si>
  <si>
    <t>*Wood</t>
  </si>
  <si>
    <t>Contains of:</t>
  </si>
  <si>
    <t>*of*</t>
  </si>
  <si>
    <t>Using the ?:</t>
  </si>
  <si>
    <t>Ha?es Wood</t>
  </si>
  <si>
    <t xml:space="preserve">How to use the search_mode argument </t>
  </si>
  <si>
    <t>The search_mode argument lets us choose the direction of the search - i.e. top to bottom (default) or bottom to top.</t>
  </si>
  <si>
    <t>1. Top to bottom (1)</t>
  </si>
  <si>
    <t>Return the price of Chicken Pie from the product table. If the result is not found then return "Not found". Only return an exact match. Start the search from the top.</t>
  </si>
  <si>
    <t>2. Bottom to top (-1)</t>
  </si>
  <si>
    <t>Return the price of Chicken Pie from the product table. If the result is not found then return "Not found". Only return an exact match. Start the search from the bottom.</t>
  </si>
  <si>
    <t>Let's make it dynamic!</t>
  </si>
  <si>
    <t>We can also leverage the new Dynamic Array functionality with XLOOKUP.</t>
  </si>
  <si>
    <t>Setting the return array to more than one column will return an array of results based on a formula that is entered into a single cell.</t>
  </si>
  <si>
    <t>The results will then spill across the range as required.</t>
  </si>
  <si>
    <t>Quantity Produced</t>
  </si>
  <si>
    <t>Quantity Sold</t>
  </si>
  <si>
    <t>Application</t>
  </si>
  <si>
    <t>Sarah has some sales data from her sales till system. She also has some reference data that includes each product's price, cost and category.</t>
  </si>
  <si>
    <t>Sarah would like to combine this data together to create one single data set that she can use for reporting</t>
  </si>
  <si>
    <t>Till Data</t>
  </si>
  <si>
    <t>Reference Data</t>
  </si>
  <si>
    <t>Market date</t>
  </si>
  <si>
    <t>Unit Price</t>
  </si>
  <si>
    <t>Unit Cost</t>
  </si>
  <si>
    <t>Pie Category</t>
  </si>
  <si>
    <t>Chicken Pies</t>
  </si>
  <si>
    <t>Meat Pie</t>
  </si>
  <si>
    <t>Lamb Pies</t>
  </si>
  <si>
    <t>Vegetarian Pies</t>
  </si>
  <si>
    <t>Veggie Pie</t>
  </si>
  <si>
    <t>Combined</t>
  </si>
  <si>
    <t>Compare this to the equivalent INDEX MATCH formula:</t>
  </si>
  <si>
    <t>The INDEX function</t>
  </si>
  <si>
    <t>Syntax =INDEX(array, row_num, col_num)</t>
  </si>
  <si>
    <t>array - The range of cells that you want to return a value from</t>
  </si>
  <si>
    <t>row_num - The position number of the row that you want to return a value for</t>
  </si>
  <si>
    <t>col_num - The position number of the column that you want to return a value for</t>
  </si>
  <si>
    <t>The INDEX function allows you to return a value from a given position within a range</t>
  </si>
  <si>
    <t>It is one of the most widely used functions in financial modelling due to its flexibility and potential power (especially when used in conjunction with the MATCH function)</t>
  </si>
  <si>
    <t>You can use INDEX to return individual values or entire rows and columns</t>
  </si>
  <si>
    <t>Pork pie</t>
  </si>
  <si>
    <t>We can use the INDEX function to identify the range of values we want to choose from, and we manually enter the position of the specific value we want to return:</t>
  </si>
  <si>
    <t>Excel returns:</t>
  </si>
  <si>
    <t>Return the third item from the range C19 to C22</t>
  </si>
  <si>
    <t>Instead of manually entering the position of the value we want to return, we can refer to another cell where the position can be entered:</t>
  </si>
  <si>
    <t>Row</t>
  </si>
  <si>
    <t>Using INDEX across a row</t>
  </si>
  <si>
    <t>Index can be used for ranges across rows or columns.  Let's look at the same table of data, this time set across a number of columns:</t>
  </si>
  <si>
    <t>Sales</t>
  </si>
  <si>
    <t>Column</t>
  </si>
  <si>
    <t>This time let's reference row 41:</t>
  </si>
  <si>
    <t>INDEX can be used in financial models to pick values for scenarios:</t>
  </si>
  <si>
    <t>Case ID</t>
  </si>
  <si>
    <t>Case</t>
  </si>
  <si>
    <t>Worst Case</t>
  </si>
  <si>
    <t>Mid - 1</t>
  </si>
  <si>
    <t>Mid - 2</t>
  </si>
  <si>
    <t>Mid -3</t>
  </si>
  <si>
    <t>Best Case</t>
  </si>
  <si>
    <t>Sales value</t>
  </si>
  <si>
    <t>Live Scenario</t>
  </si>
  <si>
    <t>Live Scenario Title</t>
  </si>
  <si>
    <t>Live Scenario Sales value</t>
  </si>
  <si>
    <t>Like a lot of companies, Sarah's business runs a financial year from April to March</t>
  </si>
  <si>
    <t>Sarah could use INDEX to pick the fourth month in her financial year:</t>
  </si>
  <si>
    <t>If Sarah wanted to pick the third day from a list of days of the week she could also use INDEX:</t>
  </si>
  <si>
    <t>Monday</t>
  </si>
  <si>
    <t>Tuesday</t>
  </si>
  <si>
    <t>Wednesday</t>
  </si>
  <si>
    <t>Thursday</t>
  </si>
  <si>
    <t>Friday</t>
  </si>
  <si>
    <t>Saturday</t>
  </si>
  <si>
    <t>Sunday</t>
  </si>
  <si>
    <t>Customer</t>
  </si>
  <si>
    <t>Postcode</t>
  </si>
  <si>
    <t>Customer 1</t>
  </si>
  <si>
    <t>SO22 6JD</t>
  </si>
  <si>
    <t>Customer 2</t>
  </si>
  <si>
    <t>PD32 9WE</t>
  </si>
  <si>
    <t>Customer 3</t>
  </si>
  <si>
    <t>YT49 8DD</t>
  </si>
  <si>
    <t>Customer 4</t>
  </si>
  <si>
    <t>PQ92 8BX</t>
  </si>
  <si>
    <t>Use the INDEX function along with a separate input cell to allow a user to change the postcode that is generated:</t>
  </si>
  <si>
    <t>Customer No.</t>
  </si>
  <si>
    <t>INDEX Function:</t>
  </si>
  <si>
    <t>Exercise Solutions</t>
  </si>
  <si>
    <t>1) Postcodes from a table</t>
  </si>
  <si>
    <t>Limitations</t>
  </si>
  <si>
    <t>Use the Index function to generate the 2017 sales for customer 946:</t>
  </si>
  <si>
    <t>Index Function:</t>
  </si>
  <si>
    <t>2017 Sales</t>
  </si>
  <si>
    <t>CUST17</t>
  </si>
  <si>
    <t>CUST485</t>
  </si>
  <si>
    <t>CUST793</t>
  </si>
  <si>
    <t>CUST480</t>
  </si>
  <si>
    <t>CUST955</t>
  </si>
  <si>
    <t>CUST310</t>
  </si>
  <si>
    <t>CUST835</t>
  </si>
  <si>
    <t>CUST266</t>
  </si>
  <si>
    <t>CUST756</t>
  </si>
  <si>
    <t>CUST961</t>
  </si>
  <si>
    <t>CUST935</t>
  </si>
  <si>
    <t>CUST467</t>
  </si>
  <si>
    <t>CUST420</t>
  </si>
  <si>
    <t>CUST103</t>
  </si>
  <si>
    <t>CUST721</t>
  </si>
  <si>
    <t>CUST329</t>
  </si>
  <si>
    <t>CUST569</t>
  </si>
  <si>
    <t>CUST572</t>
  </si>
  <si>
    <t>CUST934</t>
  </si>
  <si>
    <t>CUST146</t>
  </si>
  <si>
    <t>CUST271</t>
  </si>
  <si>
    <t>CUST606</t>
  </si>
  <si>
    <t>CUST967</t>
  </si>
  <si>
    <t>CUST173</t>
  </si>
  <si>
    <t>CUST302</t>
  </si>
  <si>
    <t>CUST425</t>
  </si>
  <si>
    <t>CUST946</t>
  </si>
  <si>
    <t>CUST65</t>
  </si>
  <si>
    <t>CUST201</t>
  </si>
  <si>
    <t>CUST27</t>
  </si>
  <si>
    <t>CUST836</t>
  </si>
  <si>
    <t>For large lists it can be difficult to identify the position of the value you want to return.</t>
  </si>
  <si>
    <t>The MATCH function</t>
  </si>
  <si>
    <t>Syntax =MATCH(lookup_value, lookup_array, match_type)</t>
  </si>
  <si>
    <t>lookup_value - The value that you want to match</t>
  </si>
  <si>
    <t>match_type - Defines how the match should be performed: 1 for next lower, -1 for next higher and 0 for exact match.</t>
  </si>
  <si>
    <t>The MATCH function allows you to return the relative position of a chosen value from within a selected range.</t>
  </si>
  <si>
    <t>MATCH will return a number which represents the position of the chosen value within the range.</t>
  </si>
  <si>
    <t>When used in conjunction with INDEX it is extremely powerful, but let's just take the function on its own for now.</t>
  </si>
  <si>
    <t>MATCH returns a #N/A error if no match is found.</t>
  </si>
  <si>
    <t>Below is the same table of data we saw on the INDEX tab</t>
  </si>
  <si>
    <t>This time, we're going to use MATCH to return the position of "Lamb Pie" within the selected range</t>
  </si>
  <si>
    <t>What is the position of "Lamb Pie" in the range C22 to C25</t>
  </si>
  <si>
    <t>Match type</t>
  </si>
  <si>
    <r>
      <t xml:space="preserve">The zero at the end of the function (the match type) means we have searched for the position of an </t>
    </r>
    <r>
      <rPr>
        <u/>
        <sz val="13"/>
        <rFont val="Arial Narrow"/>
        <family val="2"/>
      </rPr>
      <t>exact match</t>
    </r>
    <r>
      <rPr>
        <sz val="13"/>
        <rFont val="Arial Narrow"/>
        <family val="2"/>
      </rPr>
      <t xml:space="preserve"> for "Lamb Pie"</t>
    </r>
  </si>
  <si>
    <t>Using MATCH across a row</t>
  </si>
  <si>
    <t>We can equally use MATCH with a range of table / column headers</t>
  </si>
  <si>
    <t>These are the match type options available to you within the MATCH function:</t>
  </si>
  <si>
    <t>MATCH finds the first value that is an exact match to the lookup value.</t>
  </si>
  <si>
    <t>1 (or omitted)</t>
  </si>
  <si>
    <t>MATCH finds the largest value that is less than or equal to the lookup value.  The values in the range must be placed in ascending order for this to work.</t>
  </si>
  <si>
    <t>MATCH finds the smallest value that is more than or equal to the lookup value. The values in the range must be placed in descending order for this to work.</t>
  </si>
  <si>
    <t>Note: Set match type to zero (0) if you need an exact match. The default setting of 1 can cause MATCH to return results that appears to be working but are in fact incorrect.</t>
  </si>
  <si>
    <t>Let's look at a simple example of the three options</t>
  </si>
  <si>
    <t>Ascending Order</t>
  </si>
  <si>
    <t>VALUE</t>
  </si>
  <si>
    <t>Value to find:</t>
  </si>
  <si>
    <t>Exact match, enter 0 as the match type</t>
  </si>
  <si>
    <t>Largest value that is less than or equal to the lookup value, enter 1</t>
  </si>
  <si>
    <t>If nothing is entered in the match type it defaults to 1</t>
  </si>
  <si>
    <t>Smallest value that is more than or equal to the lookup value, enter -1</t>
  </si>
  <si>
    <t>Most of the time we will be using MATCH together with other functions such as INDEX.</t>
  </si>
  <si>
    <t>In isolation, MATCH can be used to quickly determine whether or not an item is present in a list or not. For example:</t>
  </si>
  <si>
    <t>Sarah would like to find out whether two postcodes (EC1A 1BB and BS4 3NF) exist in a table she has downloaded</t>
  </si>
  <si>
    <t>EC1A 1BB</t>
  </si>
  <si>
    <t>W1A 0AX</t>
  </si>
  <si>
    <t>M1 1AE</t>
  </si>
  <si>
    <t>B33 8TH</t>
  </si>
  <si>
    <t>CR2 6XH</t>
  </si>
  <si>
    <t>DN55 1PT</t>
  </si>
  <si>
    <t>BS4 3NF</t>
  </si>
  <si>
    <t>EC1A 1BB has been found in the table in position 5</t>
  </si>
  <si>
    <t>BS4 3NF is not in the table so MATCH has returned #N/A</t>
  </si>
  <si>
    <t>Sarah now knows that EC1A 1BB is in the list and BS4 3NF is not.  COUNTIFS could also be used to perform this check.</t>
  </si>
  <si>
    <t>1) Customer position from a table</t>
  </si>
  <si>
    <t>Use the MATCH function to return the relative position of customer 2 within the range above:</t>
  </si>
  <si>
    <t>Customer:</t>
  </si>
  <si>
    <t>Combining INDEX and MATCH</t>
  </si>
  <si>
    <t>Syntax =INDEX(array, MATCH(lookup_value, lookup_array, match_type))</t>
  </si>
  <si>
    <t>Used together INDEX and MATCH offer an extremely powerful method for looking up and returning specific items from a table of data.</t>
  </si>
  <si>
    <t>It is more robust than HLOOKUP or VLOOKUP and we advise that it should be used instead of these functions.</t>
  </si>
  <si>
    <t>If we turn to our table of product sales data again, we can use INDEX and MATCH together to build a dynamic formula that will pull out the sales value for the product you choose in cell B20</t>
  </si>
  <si>
    <t>Try choosing a different product and see what happens to the price in cell G20</t>
  </si>
  <si>
    <t>Let's look at this broken down into its two elements, starting with the MATCH:</t>
  </si>
  <si>
    <t>We recommend splitting the MATCH element out from the INDEX when it makes sense to do so, as this improves the clarity and simplicity of your model</t>
  </si>
  <si>
    <t>Below using INDEX MATCH for illustration</t>
  </si>
  <si>
    <t>Product Match</t>
  </si>
  <si>
    <t>Note how the product match is performed just once in its own column and the three INDEX functions are then kept nice and simple</t>
  </si>
  <si>
    <t>Compare this to the INDEX MATCH formulas in columns K, L and M</t>
  </si>
  <si>
    <t>1) Customer postcode from a table</t>
  </si>
  <si>
    <t>Use the Match and INDEX functions separately to return the relative position of customer 2 within the range above:</t>
  </si>
  <si>
    <t>Match Function:</t>
  </si>
  <si>
    <t>Index Function</t>
  </si>
  <si>
    <t>Combine INDEX and MATCH to perform the same action</t>
  </si>
  <si>
    <t>Use the Index and Match functions to generate the 2017 sales for customer 946:</t>
  </si>
  <si>
    <t>or</t>
  </si>
  <si>
    <t>Index &amp; Match Function:</t>
  </si>
  <si>
    <t>The INDEX function - using two dimensions</t>
  </si>
  <si>
    <t>array - The range of cells that you want to analyse</t>
  </si>
  <si>
    <t>row_num - The number of the row that you want to return a value for</t>
  </si>
  <si>
    <t>col_num - The number of the column that you want to return a value for</t>
  </si>
  <si>
    <t>The INDEX function can also return a value from within a two dimensional range, using a defined row and column position.</t>
  </si>
  <si>
    <t>This essentially allows us to refer to tables of data rather than a single row or column range</t>
  </si>
  <si>
    <t>Sarah has some sales quantity data from her till system. We can use INDEX to return a value from the data table:</t>
  </si>
  <si>
    <t>January</t>
  </si>
  <si>
    <t>February</t>
  </si>
  <si>
    <t>March</t>
  </si>
  <si>
    <t>Rather than pointing INDEX at a single row or column range, we are now going to point it at the range D18 to F21:</t>
  </si>
  <si>
    <t>Return the value from the cell that is in the second row and third column in the range D18 to F21</t>
  </si>
  <si>
    <t>Just as we saw on the INDEX tab, instead of manually entering the position of the value we want to return, we can refer to other cells where the position can be entered:</t>
  </si>
  <si>
    <t>Of course it would be much more useful if we could make the row and column references dynamic.</t>
  </si>
  <si>
    <t>Let's see how we can combine a 2D INDEX with the MATCH function</t>
  </si>
  <si>
    <t>Combining INDEX with two MATCH functions</t>
  </si>
  <si>
    <t>Syntax =INDEX(array, MATCH(lookup_value, lookup_array, match_type) , MATCH(lookup_value, lookup_array, match_type))</t>
  </si>
  <si>
    <t>We have already seen INDEX and MATCH come together to create a referencing tool that is very powerful, and widely used in financial models.</t>
  </si>
  <si>
    <t>We can actually take this a step further, using MATCH twice to turn the 2D INDEX formula into something even more dynamic.</t>
  </si>
  <si>
    <t>Here's our table of data again</t>
  </si>
  <si>
    <t>Now we need to use MATCH twice within the INDEX function to reference both the product range and the month range</t>
  </si>
  <si>
    <t>Both MATCH functions required an exact match to work, so you see the "0" as the final element of both functions in the formula above</t>
  </si>
  <si>
    <t>This is now quite a long and less straight-forward formula to follow, so let's pull it apart by separating the MATCH elements out from the INDEX:</t>
  </si>
  <si>
    <t>Month</t>
  </si>
  <si>
    <t>Match row</t>
  </si>
  <si>
    <t>Match col</t>
  </si>
  <si>
    <t>Index</t>
  </si>
  <si>
    <t>Have a go at creating the same formulas you have just seen above in the grey cells below:</t>
  </si>
  <si>
    <t>Exercise 1</t>
  </si>
  <si>
    <t>Sarah has downloaded some data from her stock system:</t>
  </si>
  <si>
    <t>Product Ref</t>
  </si>
  <si>
    <t>Cost</t>
  </si>
  <si>
    <t>UoM</t>
  </si>
  <si>
    <t>Max Stock</t>
  </si>
  <si>
    <t>SKU0001</t>
  </si>
  <si>
    <t>Each</t>
  </si>
  <si>
    <t>SKU0002</t>
  </si>
  <si>
    <t>SKU0003</t>
  </si>
  <si>
    <t>SKU0004</t>
  </si>
  <si>
    <t>1. Please use the XLOOKUP function to find the Cost of the product below</t>
  </si>
  <si>
    <t>2. Please use the XLOOKUP function to find the Description for the product below</t>
  </si>
  <si>
    <t>3. Please use the XLOOKUP function to find the Max Stock for the product below</t>
  </si>
  <si>
    <t>Solution 1</t>
  </si>
  <si>
    <t>Exercise 2</t>
  </si>
  <si>
    <t>1) Sarah has downloaded some customer postcodes from her CRM system</t>
  </si>
  <si>
    <t>Use the XLOOKUP function to return the postcode for customer 2:</t>
  </si>
  <si>
    <t>Solution 2</t>
  </si>
  <si>
    <t>Exercise 3</t>
  </si>
  <si>
    <t>Sarah has some sales data from her sales till system. She also has some reference data on the Inputs tab that includes each product's price, cost and category.</t>
  </si>
  <si>
    <r>
      <t>Sarah would like to enrich the table of data on this tab with the reference data on the</t>
    </r>
    <r>
      <rPr>
        <b/>
        <sz val="11.7"/>
        <rFont val="Arial Narrow"/>
        <family val="2"/>
      </rPr>
      <t xml:space="preserve"> Inputs</t>
    </r>
    <r>
      <rPr>
        <sz val="13"/>
        <rFont val="Arial Narrow"/>
        <family val="2"/>
      </rPr>
      <t xml:space="preserve"> tab to create one single data set that she can use for reporting</t>
    </r>
  </si>
  <si>
    <t>The column headers describe what data you are being asked to create.  Use XLOOKUP to enrich the data as required below.</t>
  </si>
  <si>
    <t>Are you able to take advantage of Dynamic Array functionality so that you only have to enter a formula in column G to populate columns G, H and I?</t>
  </si>
  <si>
    <t>Cost of Sales</t>
  </si>
  <si>
    <t>Gross Margin</t>
  </si>
  <si>
    <t>London</t>
  </si>
  <si>
    <t>Model reference data</t>
  </si>
  <si>
    <t>Product reference data</t>
  </si>
  <si>
    <t>Pie Description</t>
  </si>
  <si>
    <t>Model Period Application</t>
  </si>
  <si>
    <t>One of the best use cases for INDEX is to efficiently bring additional data through into modelling periods:</t>
  </si>
  <si>
    <t>Imagine we have this list of inputs in our Inputs tab within a financial model:</t>
  </si>
  <si>
    <t>Seasonality</t>
  </si>
  <si>
    <t>Jan</t>
  </si>
  <si>
    <t>Feb</t>
  </si>
  <si>
    <t>Mar</t>
  </si>
  <si>
    <t>Apr</t>
  </si>
  <si>
    <t>May</t>
  </si>
  <si>
    <t>Jun</t>
  </si>
  <si>
    <t>Jul</t>
  </si>
  <si>
    <t>Aug</t>
  </si>
  <si>
    <t>Sep</t>
  </si>
  <si>
    <t>Oct</t>
  </si>
  <si>
    <t>Nov</t>
  </si>
  <si>
    <t>Dec</t>
  </si>
  <si>
    <t>Model Period</t>
  </si>
  <si>
    <t>Period Start Date</t>
  </si>
  <si>
    <t>Period End Date</t>
  </si>
  <si>
    <t>And on the right we have an extract of some of the timeline data from our model:</t>
  </si>
  <si>
    <t>We can use the natural order of the INDEX with months listed in order like this:</t>
  </si>
  <si>
    <t>Month No.</t>
  </si>
  <si>
    <t>This successfully pulls through the seasonality data into a horizontal structure, without the need for any additional lookup references</t>
  </si>
  <si>
    <t>The SUMIFS Function</t>
  </si>
  <si>
    <t>Syntax =SUMIFS(sum_range, criteria_range1,criteria1,[criteria_range2],[criteria2]…)</t>
  </si>
  <si>
    <t>sum_range - the range to be summed</t>
  </si>
  <si>
    <t>criteria_range1 - the first range to be evaluated</t>
  </si>
  <si>
    <t>criteria1 - the criteria to use for range 1</t>
  </si>
  <si>
    <t>criteria_range2 - the second range to be evaluated</t>
  </si>
  <si>
    <t>criteria1 - the criteria to use for range 2</t>
  </si>
  <si>
    <t>The SUMIFS function sums the values in a range that meet a specified criteria, or set of criteria.</t>
  </si>
  <si>
    <t>This function is not compatible with Excel 2003 or earlier versions.</t>
  </si>
  <si>
    <t>We advise that you use SUMIFS over SUMIF in all instances (even when you have just one criteria).  The order of function elements switches for SUMIF, and this can be confusing if you use both within a model.</t>
  </si>
  <si>
    <t>Let's start with a simple data set</t>
  </si>
  <si>
    <t>Below is a summary of market sales recorded by Sarah.</t>
  </si>
  <si>
    <t>We'll use a simple SUM formula below the table, and then move on to use SUMIFS in a number of ways:</t>
  </si>
  <si>
    <t>Day of week</t>
  </si>
  <si>
    <t>The total number of pies sold is</t>
  </si>
  <si>
    <t>To start with let's look at using SUMIFS with one criteria</t>
  </si>
  <si>
    <t>Rather than calculating the total quantity of pies sold, Sarah would like to know the total sales for a specific month:</t>
  </si>
  <si>
    <t>We can use the SUMIFS function with a single criteria range for the month:</t>
  </si>
  <si>
    <t>Let's break the formula above down into its key elements</t>
  </si>
  <si>
    <t>The syntax for SUMIFS is "=SUMIFS(sum_range, criteria_range1,criteria1,…)"</t>
  </si>
  <si>
    <t>sum_range</t>
  </si>
  <si>
    <t>This is the range that contains the numbers that you want to sum up. In this case this is the range for the quantity sold in $F$23:$F$76</t>
  </si>
  <si>
    <t>criteria_range1</t>
  </si>
  <si>
    <t>This is the first range that contains the criteria that you want the sum calculation to be driven by. In this case this is the month range $C$23:$C$76</t>
  </si>
  <si>
    <t>criteria1</t>
  </si>
  <si>
    <t>This is the criteria for the first range that you want to base your sum calculation on. In this case this is month entered into cell D87</t>
  </si>
  <si>
    <t>We could also list out the full results by month for Sarah:</t>
  </si>
  <si>
    <t>TOTAL</t>
  </si>
  <si>
    <t>What if Sarah wanted to see which day of the week has been best for sales:</t>
  </si>
  <si>
    <t>Or which product has sold the highest volume:</t>
  </si>
  <si>
    <t>Note that in all of the examples above the range that we want to sum remains the same - $F$23:$F$76</t>
  </si>
  <si>
    <t>It is the criteria range that we are changing each time:</t>
  </si>
  <si>
    <t>For months we are referencing the range $C$23:$C$76</t>
  </si>
  <si>
    <t>For days we are referencing the range $D$23:$D$76</t>
  </si>
  <si>
    <t>For products we are referencing the range $E$23:$E$76</t>
  </si>
  <si>
    <t>Now let's look at how to use two criteria</t>
  </si>
  <si>
    <t>What if Sarah would like to know the total sales for chicken pies on a Tuesday?</t>
  </si>
  <si>
    <t>We now need to build a formula using SUMIFS with two criteria rather than just one:</t>
  </si>
  <si>
    <t>The syntax for SUMIFS is "=SUMIFS(sum_range, criteria_range1,criteria1,criteria_range2,criteria2)"</t>
  </si>
  <si>
    <t>This is the range that contains the numbers that you want to sum up. In this case this is the quantity sold range $F$23:$F$76</t>
  </si>
  <si>
    <t>This is the first range that contains the criteria you want your sum calculation to be driven by. In this case this is the day of week range $D$23:$D$76</t>
  </si>
  <si>
    <t>This is the criteria for the first range that you want to base your sum calculation on. In this case this is day entered into cell D137</t>
  </si>
  <si>
    <t>criteria_range2</t>
  </si>
  <si>
    <t>This is the second range that contains the criteria you want your sum calculation to be driven by. In this case this is the product range $E$23:$E$76</t>
  </si>
  <si>
    <t>criteria2</t>
  </si>
  <si>
    <t>This is the criteria for the second range that you want to base your sum calculation on. In this case this is product entered into cell D138</t>
  </si>
  <si>
    <t>It would be really useful to build out a table for Sarah so that she can see the sales by day and by product.</t>
  </si>
  <si>
    <t>Day / Product</t>
  </si>
  <si>
    <t>Total</t>
  </si>
  <si>
    <t>Note that the use of the $ signs to fix column and row references are important here if you want to copy and paste the formula from the top left to the rest of the table area.</t>
  </si>
  <si>
    <t>Finally let's look at how to use three criteria</t>
  </si>
  <si>
    <r>
      <t xml:space="preserve">What if Sarah would like to know the total sales for chicken pies on a Tuesday </t>
    </r>
    <r>
      <rPr>
        <u/>
        <sz val="13"/>
        <rFont val="Arial Narrow"/>
        <family val="2"/>
      </rPr>
      <t>in February</t>
    </r>
    <r>
      <rPr>
        <sz val="13"/>
        <rFont val="Arial Narrow"/>
        <family val="2"/>
      </rPr>
      <t>?</t>
    </r>
  </si>
  <si>
    <t>We now need to build a formula using SUMIFS with three criteria.  We follow exactly the same logic we have implemented so far:</t>
  </si>
  <si>
    <t>The syntax for SUMIFS is "=SUMIFS(sum_range, criteria_range1,criteria1,criteria_range2,criteria2,criteria_range3,criteria3)"</t>
  </si>
  <si>
    <t>This is the criteria for the first range that you want to base your sum calculation on. In this case this is day entered into cell D168</t>
  </si>
  <si>
    <t>This is the criteria for the second range that you want to base your sum calculation on. In this case this is product entered into cell D169</t>
  </si>
  <si>
    <t>criteria_range3</t>
  </si>
  <si>
    <t>This is the third range that contains the criteria you want your sum calculation to be driven by. In this case this is the month range $C$23:$C$76</t>
  </si>
  <si>
    <t>criteria3</t>
  </si>
  <si>
    <t>This is the criteria for the third range that you want to base your sum calculation on. In this case this is month entered into cell D170</t>
  </si>
  <si>
    <t>Sarah would now like to see the sales by day and by product, with a month filter:</t>
  </si>
  <si>
    <t xml:space="preserve">Note that there is a drop down list available in cell D186 which holds the names of the relevant months. </t>
  </si>
  <si>
    <t>This is an example of the use of Data Validation, and we will come on to look at this later in the course.</t>
  </si>
  <si>
    <t>1) Market Footfall</t>
  </si>
  <si>
    <t>Week Number</t>
  </si>
  <si>
    <t>Weather</t>
  </si>
  <si>
    <t>Market Footfall</t>
  </si>
  <si>
    <t>Sunny</t>
  </si>
  <si>
    <t>Rainy</t>
  </si>
  <si>
    <t>Grey</t>
  </si>
  <si>
    <t xml:space="preserve">Footfall </t>
  </si>
  <si>
    <t>Create a formula that returns the market footfall volume based on the relevant day, weather and week number values</t>
  </si>
  <si>
    <t>The COUNTIFS Function</t>
  </si>
  <si>
    <t>Syntax =COUNTIFS(criteria_range1,criteria1,[criteria_range2],[criteria2]…)</t>
  </si>
  <si>
    <t>The COUNTIFS function counts the number of cells in a range that meet a specified criteria, or set of criteria.</t>
  </si>
  <si>
    <t>Unlike SUMIFS, this function only needs the criteria pairs (criteria range and criteria).  There is no separate range to sum up.</t>
  </si>
  <si>
    <t>COUNTIFS is available to users of Office 365 or Excel 2019.</t>
  </si>
  <si>
    <t>We advise that you use COUNTIFS over COUNTIF in all instances (even when you have just one criteria).  Although the structure of the two functions are similar, it keeps things more consistent to just apply one function at all times.</t>
  </si>
  <si>
    <t>Below is a summary of market sales recorded by Sarah</t>
  </si>
  <si>
    <t>We'll use a simple COUNT function first just to count the number of entries in our data set, before moving on to use COUNTIFS in a number of ways:</t>
  </si>
  <si>
    <t>The total number of rows is</t>
  </si>
  <si>
    <t>To start with let's look at using COUNTIFS with one criteria</t>
  </si>
  <si>
    <t>Rather than counting the overall number of entries, Sarah would like to know the number of entries for a specified month:</t>
  </si>
  <si>
    <t>We can use the COUNTIFS function with a single criteria range of month:</t>
  </si>
  <si>
    <t>The syntax for COUNTIFS is "=COUNTIFS(criteria_range1,criteria1,…)</t>
  </si>
  <si>
    <t>This is the first range that contains the criteria you want your count calculation to be drive by. In this case this is the month range $C$22:$C$75</t>
  </si>
  <si>
    <t>This is the chosen criteria for the first range you want to base your count calculation on. In this case this is month entered into cell D86</t>
  </si>
  <si>
    <t>What if Sarah wanted to see which day has the most rows:</t>
  </si>
  <si>
    <t>Or which product had the most entries:</t>
  </si>
  <si>
    <t>Note that the criteria range we are referencing changes each time:</t>
  </si>
  <si>
    <t>For months we are referencing the range $C$22:$C$75</t>
  </si>
  <si>
    <t>For days we are referencing the range $D$22:$D$75</t>
  </si>
  <si>
    <t>For products we are referencing the range $E$22:$E$75</t>
  </si>
  <si>
    <t>What if Sarah would like to know the number of entries for chicken pies sold on a Tuesday?</t>
  </si>
  <si>
    <t>We now need to build a formula using COUNTIFS with two criteria rather than just one:</t>
  </si>
  <si>
    <t>The syntax for COUNTIFS is "=COUNTIFS(criteria_range1,criteria1,criteria_range2,criteria2)"</t>
  </si>
  <si>
    <t>This is the first range that contains the criteria you want your count calculation to be driven by. In this case this is the day of week range $D$22:$D$75</t>
  </si>
  <si>
    <t>This is the chosen criteria for the first range you want to base your count calculation on. In this case this is day entered into cell D133</t>
  </si>
  <si>
    <t>This is the second range that contains the criteria you want your count calculation to be driven by. In this case this is the product range $E$22:$E$75</t>
  </si>
  <si>
    <t>This is the chosen criteria for the second range you want to base your count calculation on. In this case this is product entered into cell D134</t>
  </si>
  <si>
    <t>It would be really useful to build out a table for Sarah so that she can see the count by day and by product</t>
  </si>
  <si>
    <t>If any entries were missing, Sarah would be able to spot the issue quickly (i.e. if one of the counts for pies on a particular day of the week was less than or more than 6)</t>
  </si>
  <si>
    <r>
      <t xml:space="preserve">What if Sarah would like to know the total rows for chicken pies on a Tuesday </t>
    </r>
    <r>
      <rPr>
        <u/>
        <sz val="13"/>
        <rFont val="Arial Narrow"/>
        <family val="2"/>
      </rPr>
      <t>in February</t>
    </r>
    <r>
      <rPr>
        <sz val="13"/>
        <rFont val="Arial Narrow"/>
        <family val="2"/>
      </rPr>
      <t>?</t>
    </r>
  </si>
  <si>
    <t>We now need to build a formula using COUNTIFS with three criteria rather than two:</t>
  </si>
  <si>
    <t>The syntax for COUNTIFS is "=COUNTIFS(criteria_range1,criteria1,criteria_range2,criteria2,criteria_range3,criteria3)"</t>
  </si>
  <si>
    <t>This is the chosen criteria for the first range you want to base your count calculation on. In this case this is day entered into cell D163</t>
  </si>
  <si>
    <t>This is the third range that contains the criteria you want your count calculation to be driven by. In this case this is the month range $C$22:$C$75</t>
  </si>
  <si>
    <t>Sarah would now like to see the count of entries by day and by product, with a month filter:</t>
  </si>
  <si>
    <t>Create a formula that counts the number of entries for each day and weather combination from the table above</t>
  </si>
  <si>
    <t>Try to build the formula in the top left cell of the table and copy it across the rest of the table (you need to use your $ signs carefully)</t>
  </si>
  <si>
    <t>The SUMPRODUCT Function</t>
  </si>
  <si>
    <t>Syntax =SUMPRODUCT(array1, [array2], …)</t>
  </si>
  <si>
    <t xml:space="preserve">array 1 - </t>
  </si>
  <si>
    <t>The first array / range to multiply</t>
  </si>
  <si>
    <t xml:space="preserve">[array2] - </t>
  </si>
  <si>
    <t>The second array / range to multiply (optional)</t>
  </si>
  <si>
    <t>… -</t>
  </si>
  <si>
    <t>An indication that you can add multiple, optional additional arrays / ranges</t>
  </si>
  <si>
    <t>The SUMPRODUCT function allows you to multiply arrays together</t>
  </si>
  <si>
    <t>Let's get straight into the fundamentals of SUMPRODUCT</t>
  </si>
  <si>
    <t>We'll use SUMPRODUCT to calculate the total revenue first</t>
  </si>
  <si>
    <t>Product Price</t>
  </si>
  <si>
    <t>Total Revenue:</t>
  </si>
  <si>
    <t>You could also achieve the same result by using an older CTRL + SHIFT + ENTER array:</t>
  </si>
  <si>
    <t>See the curly brackets in the formula above?</t>
  </si>
  <si>
    <t>That's what you get when you press CTRL + SHIFT + ENTER</t>
  </si>
  <si>
    <t>Now let's look at SUMPRODUCT with multiple functional arguments</t>
  </si>
  <si>
    <t>SUMPRODUCT can perform advanced COUNTS:</t>
  </si>
  <si>
    <t>Count the number of times any individual product sells out</t>
  </si>
  <si>
    <t>Count the number of times each product below sells out:</t>
  </si>
  <si>
    <t>Calculate the revenue earned by product for the day listed below:</t>
  </si>
  <si>
    <t>Count the number of times each product below sells out on a particular day:</t>
  </si>
  <si>
    <t>You can use SUMPRODUCT to perform more bespoke calculations:</t>
  </si>
  <si>
    <t>Weekday sales</t>
  </si>
  <si>
    <t>Weekend sales</t>
  </si>
  <si>
    <t>Total sales</t>
  </si>
  <si>
    <t>Check</t>
  </si>
  <si>
    <t>In the example above, the + symbols acts like an OR function</t>
  </si>
  <si>
    <t>Understanding the TRUE / FALSE , 1 / 0 calculation logic</t>
  </si>
  <si>
    <t>So, SUMPRODUCT can be used to perform relatively complex calculations based on multiple criteria:</t>
  </si>
  <si>
    <t>But there are multiple approaches you'll see modellers take. Look at the individual formulas in the three options below:</t>
  </si>
  <si>
    <t>Revenue By Product:</t>
  </si>
  <si>
    <t>Option 1</t>
  </si>
  <si>
    <t>Option 2</t>
  </si>
  <si>
    <t>Option 3</t>
  </si>
  <si>
    <t>Option 1: using "--"</t>
  </si>
  <si>
    <t>Option 2: using "N"</t>
  </si>
  <si>
    <t>Option 3: using (( ))</t>
  </si>
  <si>
    <t xml:space="preserve">There's a lot to unpack here, but essentially you have three options available to you to ensure your SUMPRODUCT </t>
  </si>
  <si>
    <t>returns the numerical values you're looking for.</t>
  </si>
  <si>
    <t>Whenever you have a functional argument (like we do above with the first array that's looking for a particular type of pie)</t>
  </si>
  <si>
    <t>we have to do some work to turn a TRUE / FALSE result into a 1 / 0 (so it will multiply out properly)</t>
  </si>
  <si>
    <t>"--" and "N" are two common approaches you'll see being used</t>
  </si>
  <si>
    <t>An alternative with SUMPRODUCT is to use the brackets around the functional argument,</t>
  </si>
  <si>
    <t>and to replace the comma with the * (multiplication) sign.</t>
  </si>
  <si>
    <t>The * does the work to convert the TRUE / FALSE to a 1 / 0 for us</t>
  </si>
  <si>
    <t>Use SUMPRODUCT to count the number of Sunny days</t>
  </si>
  <si>
    <t>Use SUMPRODUCT to sum the overall market footfall on each of the weather types listed below:</t>
  </si>
  <si>
    <t>Total footfall</t>
  </si>
  <si>
    <t>Use SUMPRODUCT to sum the overall market footfall on each of the weather types and week days listed below:</t>
  </si>
  <si>
    <t>When she's not baking, Sarah is a big fan of squirrels. Below is a table of squirrel sightings that Sarah and her friend John have logged:</t>
  </si>
  <si>
    <t>Marshall</t>
  </si>
  <si>
    <t>Species</t>
  </si>
  <si>
    <t>John</t>
  </si>
  <si>
    <t>Red</t>
  </si>
  <si>
    <t>Hake Wood</t>
  </si>
  <si>
    <t>Sarah</t>
  </si>
  <si>
    <t>1. Which location had the most squirrel sightings recorded?</t>
  </si>
  <si>
    <t>Answer:</t>
  </si>
  <si>
    <t>2. Which person recorded the most squirrel sightings?</t>
  </si>
  <si>
    <t>3. How many grey squirrels were sighted?</t>
  </si>
  <si>
    <t>4. How many red squirrels were sighted in Hake wood?</t>
  </si>
  <si>
    <t>5. How many red squirrels were sighted in Hake wood by Sarah?</t>
  </si>
  <si>
    <t>6. How many grey squirrels were sighted in Quantock wood by John?</t>
  </si>
  <si>
    <t>Exercise 4</t>
  </si>
  <si>
    <t>Weekday</t>
  </si>
  <si>
    <t>Weekend</t>
  </si>
  <si>
    <t>Units Sold</t>
  </si>
  <si>
    <t>Unit Sales Price</t>
  </si>
  <si>
    <t>Week 1</t>
  </si>
  <si>
    <t>Week 2</t>
  </si>
  <si>
    <t>Week 3</t>
  </si>
  <si>
    <t>Week 4</t>
  </si>
  <si>
    <t>Week 5</t>
  </si>
  <si>
    <t>Week 6</t>
  </si>
  <si>
    <t>Week 7</t>
  </si>
  <si>
    <t>Week 8</t>
  </si>
  <si>
    <t>Week 9</t>
  </si>
  <si>
    <t>Week 10</t>
  </si>
  <si>
    <t>Total Revenue</t>
  </si>
  <si>
    <t>When she's not baking Sarah is a big fan of squirrels. Below is a table of squirrel sightings that Sarah and her friend John have logged:</t>
  </si>
  <si>
    <t>Exercise 5</t>
  </si>
  <si>
    <t>The column headers describe what data you being asked to create.  INDEX and MATCH to enrich the data as required below.</t>
  </si>
  <si>
    <t>The LEFT function</t>
  </si>
  <si>
    <t>Syntax =LEFT(text, num_chars)</t>
  </si>
  <si>
    <t>text -  The text to extract characters from</t>
  </si>
  <si>
    <t>num_chars - The number of characters to extract</t>
  </si>
  <si>
    <t>The LEFT function allows you to extract a specified number of characters from a text string, starting from the left side of the string</t>
  </si>
  <si>
    <t>Below is our base text string. We need to extract some characters and we start from the left hand side of the string.</t>
  </si>
  <si>
    <t>************  5623154  - Debtors</t>
  </si>
  <si>
    <t>The first element of the LEFT function identifies the text string, and the second part (after the comma) identifies the number of characters that will be returned</t>
  </si>
  <si>
    <t>The LEFT function returns the first 21 characters from the left of the text string in cell C15</t>
  </si>
  <si>
    <t>Referring to cell contents</t>
  </si>
  <si>
    <t>text</t>
  </si>
  <si>
    <t>num_chars</t>
  </si>
  <si>
    <t>Using the LEFT function to extract PO numbers</t>
  </si>
  <si>
    <t>Sarah has some PO data that she needs some help with.  The first eight characters are the actual PO numbers</t>
  </si>
  <si>
    <t>1573f821-af6e-4826-8bd7-63c10f701efb</t>
  </si>
  <si>
    <t>f46a8843-41cf-4ef6-at56-e37067a67149</t>
  </si>
  <si>
    <t>3b27d9e0-41f7-408c-98fe-6038eeab7261</t>
  </si>
  <si>
    <t>c4t30530-91d8-4508-b355-fb58a28046d3</t>
  </si>
  <si>
    <t>d11512d1-150b-47dr-990e-b134323debbf</t>
  </si>
  <si>
    <t>bd40b730-f76d-26db-857d-f1692b6fb8dh</t>
  </si>
  <si>
    <t>Use the LEFT function to extract the month text from the text strings below</t>
  </si>
  <si>
    <t>Jan - 144995535 - Peter H</t>
  </si>
  <si>
    <t>Mar - 195895049 - Sarah O</t>
  </si>
  <si>
    <t>Jan - 938560385 - James D</t>
  </si>
  <si>
    <t>Dec - 839948573 - Peter H</t>
  </si>
  <si>
    <t>The RIGHT function</t>
  </si>
  <si>
    <t>Syntax =RIGHT(text, num_chars)</t>
  </si>
  <si>
    <t>The RIGHT function allows you to extract a specified number of characters from a text string, starting from the right side of the string</t>
  </si>
  <si>
    <t>Below is our base text string. We need to extract some characters and we start from the right hand side of the string.</t>
  </si>
  <si>
    <t>The first element of the RIGHT function identifies the text string, and the second part (after the comma) identifies the number of characters that will be returned</t>
  </si>
  <si>
    <t>The RIGHT function returns the first 7 characters from the right of the text string in cell C15</t>
  </si>
  <si>
    <t>Using the RIGHT function to extract some unique system references</t>
  </si>
  <si>
    <t>Sarah has some PO data that she needs some help with.  The last twelve characters are unique system references</t>
  </si>
  <si>
    <t>Use the RIGHT function to extract the customer contact name reference from the text strings below</t>
  </si>
  <si>
    <t>Dec - 839948573 - John H</t>
  </si>
  <si>
    <t>The MID function</t>
  </si>
  <si>
    <t>Syntax =MID(text, start_num, num_chars)</t>
  </si>
  <si>
    <t xml:space="preserve">start_num - The starting location within the text </t>
  </si>
  <si>
    <t>The MID function allows you to extract a particular number of characters from a text string, starting from a position within the string that you identify</t>
  </si>
  <si>
    <t>This is our base text string which we are going to reference using the MID function</t>
  </si>
  <si>
    <t>and the third part (after the second comma) identifies the number of characters to be returned</t>
  </si>
  <si>
    <t>Return 7 characters from cell C17 starting at character 15</t>
  </si>
  <si>
    <t>start_num</t>
  </si>
  <si>
    <t>Using the MID function to extract location references</t>
  </si>
  <si>
    <t>Sarah has some PO data that she needs some help with.  The 9 characters after the first "-" are the location references</t>
  </si>
  <si>
    <t>Use the MID function to extract the 9 digit invoice number reference from the centre of the text strings below</t>
  </si>
  <si>
    <t>The LEN function</t>
  </si>
  <si>
    <t>Syntax =LEN(text)</t>
  </si>
  <si>
    <t>The LEN function allows you to return the number of characters in a text string.</t>
  </si>
  <si>
    <t>It does not discriminate between text, numbers, and spaces.</t>
  </si>
  <si>
    <t>Bear with us on this function.  Its value may not be obvious, but when combined with other text functions it can be a very powerful tool.</t>
  </si>
  <si>
    <t>This is our base text string which we will refer to with the LEN function to return the number of characters</t>
  </si>
  <si>
    <t>There is just one element of the LEN function - the cell reference for which you would like to return the number of characters</t>
  </si>
  <si>
    <t>How long is the text string in cell C16?</t>
  </si>
  <si>
    <t>Using the LEN function to return the number of characters in a text string</t>
  </si>
  <si>
    <t>As we have seen above, we use the LEN function on its own simply to return the number of characters</t>
  </si>
  <si>
    <t>bd40b730-f76d-26db-857d-f1692b6fb8</t>
  </si>
  <si>
    <t>Use the LEN function to return the number of characters from the text strings below</t>
  </si>
  <si>
    <t>The FIND function</t>
  </si>
  <si>
    <t>within_text - The text string to evaluate</t>
  </si>
  <si>
    <t>This is our base text string which we will refer to with the FIND function to return a relative position of a determined string of text</t>
  </si>
  <si>
    <t>The first element of the FIND function identifies the text string you are searching for.  The second part (after the first comma) identifies the text string you are referring to,</t>
  </si>
  <si>
    <t>and the third part (after the second comma) identifies the starting position for your search (number of characters from furthest left)</t>
  </si>
  <si>
    <t>Tell me the starting position for the word "Debtors" in cell C18</t>
  </si>
  <si>
    <t>If the text cannot be found, Excel will return the #VALUE! error:</t>
  </si>
  <si>
    <t>Note that an error is returned in the example above because the FIND function is case sensitive, and "debtors" in the formula does not have a capital D</t>
  </si>
  <si>
    <t>within_text</t>
  </si>
  <si>
    <t>find_text</t>
  </si>
  <si>
    <t>Debtors</t>
  </si>
  <si>
    <t>Note that in the example above we used a starting position of 1. See what happens if you make it 15. What about if it is 30?</t>
  </si>
  <si>
    <t>If the text you were seeking to locate within your overall text string was repeated one or more times, and for some reason you wanted to ignore one of the first instances, then it would be of more use:</t>
  </si>
  <si>
    <t>************  Debtors - 5623154  - Debtors</t>
  </si>
  <si>
    <t>Use the FIND function to return the position of the first name of the customer contact</t>
  </si>
  <si>
    <t>Peter</t>
  </si>
  <si>
    <t>James</t>
  </si>
  <si>
    <t>Hint: use as many columns to the right as you like to separate out any elements of your formulas</t>
  </si>
  <si>
    <t>Text String</t>
  </si>
  <si>
    <t>First Name</t>
  </si>
  <si>
    <t>Second Name</t>
  </si>
  <si>
    <t>Cust Ref</t>
  </si>
  <si>
    <t>Order no</t>
  </si>
  <si>
    <t>John Smith - 456832 - 110044 "A6052"</t>
  </si>
  <si>
    <t>Jane West - 455612 - 110045 "A6852"</t>
  </si>
  <si>
    <t>Bill Kane - 6556832 - 120044 "B6252"</t>
  </si>
  <si>
    <t>Sarah Keen - 62156832 - 116644 "D456052"</t>
  </si>
  <si>
    <t>William Clarkson - 455692 - 1261044 "C45"</t>
  </si>
  <si>
    <t>Length</t>
  </si>
  <si>
    <t>First space</t>
  </si>
  <si>
    <t>First Dash</t>
  </si>
  <si>
    <t>Second dash</t>
  </si>
  <si>
    <t>First Speech marks</t>
  </si>
  <si>
    <t>Second Speech marks</t>
  </si>
  <si>
    <t>Trial Balance</t>
  </si>
  <si>
    <t xml:space="preserve">    Dec Balance</t>
  </si>
  <si>
    <t>Account</t>
  </si>
  <si>
    <t>************  1100015  XAA Lns &amp; Advs to</t>
  </si>
  <si>
    <t>************  1100025  XAB Lns &amp; Advs Bk</t>
  </si>
  <si>
    <t>************  1200003  Customers Advance</t>
  </si>
  <si>
    <t>************  1500017  Customer Advances</t>
  </si>
  <si>
    <t>************  1250126  GARD Fees Amt to</t>
  </si>
  <si>
    <t>The MOD Function</t>
  </si>
  <si>
    <t>Syntax = MOD(number, divisor)</t>
  </si>
  <si>
    <t>number - the number to be divided</t>
  </si>
  <si>
    <t>divisor - the number to divide by</t>
  </si>
  <si>
    <t>The MOD function returns the remainder of a division calculation</t>
  </si>
  <si>
    <t>In its simplest form, it requires just two numeric values: the number and divisor</t>
  </si>
  <si>
    <t>However, MOD can be used in more targeted ways to support advanced modelling challenges</t>
  </si>
  <si>
    <t>Number</t>
  </si>
  <si>
    <t>Divisor</t>
  </si>
  <si>
    <t>Remainder</t>
  </si>
  <si>
    <t>In this example, 3 divides into 8 two whole times (i.e. 6 divided by 3 = 2). This leave a remainder of 2</t>
  </si>
  <si>
    <t>In this example, 10 divides into 13 just once. This leave a remainder of 3</t>
  </si>
  <si>
    <t>In this example, 100 divides into 535 five times (i.e. 500 divided by 100  = 5). This leave a remainder of 35</t>
  </si>
  <si>
    <t>In this example, 12 divides exactly 2 times into 24. This leaves no remainder</t>
  </si>
  <si>
    <t>[You get the point by now I suspect…]</t>
  </si>
  <si>
    <t>When you divide the Number by the Divisor, the MOD function will return just the remainder from this calculation</t>
  </si>
  <si>
    <t>The remainder is the numerical value that is left after accounting for the number of times the Divisor divides fully into the Number</t>
  </si>
  <si>
    <t>Using MOD to support model period logic</t>
  </si>
  <si>
    <t>Model Period Counter</t>
  </si>
  <si>
    <t>Model Year - Month Counter</t>
  </si>
  <si>
    <t>Quarter Counter</t>
  </si>
  <si>
    <t>You can reverse the use of MOD to generate flags</t>
  </si>
  <si>
    <t>Quarterly Payment Flag</t>
  </si>
  <si>
    <t>Converted to 1s and 0s</t>
  </si>
  <si>
    <t>The QUOTIENT Function</t>
  </si>
  <si>
    <t>Syntax =QUOTIENT(numerator, denominator)</t>
  </si>
  <si>
    <t>numerator - the number to be divided</t>
  </si>
  <si>
    <t>denominator - the number to divide by</t>
  </si>
  <si>
    <t>The QUOTIENT function does the opposite of the MOD function</t>
  </si>
  <si>
    <t>It returns the integer portion of a division calculation, discarding the remainder</t>
  </si>
  <si>
    <t>In its simplest form, the QUOTIENT function requires just two numeric values</t>
  </si>
  <si>
    <t>However, much like the MOD function, it can also be used to support and overcome more advanced modelling challenges</t>
  </si>
  <si>
    <t>In this example, 3 divides into 8 two whole times (i.e. 6 divided by 3 = 2). QUOTIENT discards the remaining 2, leaving 2 as the number of times 3 goes into 8 in full</t>
  </si>
  <si>
    <t>In this example, 10 divides into 13 just once. The remainder of 3 is discarded</t>
  </si>
  <si>
    <t>In this example, 100 divides into 535 five times (i.e. 500 divided by 100  = 5). The remainder of 35 is discarded</t>
  </si>
  <si>
    <t>In this example, 12 divides exactly 2 times into 24. This leaves no remainder, so nothing is discarded</t>
  </si>
  <si>
    <t>The QUOTIENT function returns the number of times the Denominator divides into the Numerator in full.</t>
  </si>
  <si>
    <t>The remainder  - the numerical value that is left after accounting for the number of times the Denominator divides into the Numerator - is discarded</t>
  </si>
  <si>
    <t>Using QUOTIENT to support model period logic</t>
  </si>
  <si>
    <t>Model Year</t>
  </si>
  <si>
    <t>The INT Function</t>
  </si>
  <si>
    <t>Syntax =INT(number)</t>
  </si>
  <si>
    <t xml:space="preserve">number - the number you wish to return an integer from </t>
  </si>
  <si>
    <t>The INT function returns a whole integer from a numerical value, discarding the remainder (much like QUOTIENT), but performs a round down BEFORE the remainder is discarded</t>
  </si>
  <si>
    <t>Be aware that negative numbers will become more negative if that are used within the INT function</t>
  </si>
  <si>
    <t>The syntax could not be simpler: you have just one element to add - the number you wish to return the integer for</t>
  </si>
  <si>
    <t>Modellers seeking to avoid the round down step can use the TRUNC function instead</t>
  </si>
  <si>
    <t>The INT function discards the remainder</t>
  </si>
  <si>
    <t>With negative numbers, the initial round down step becomes clearer</t>
  </si>
  <si>
    <t>The negative round down issue can be overcome by using the TRUNC function instead of INT</t>
  </si>
  <si>
    <t>N / D</t>
  </si>
  <si>
    <t>INT</t>
  </si>
  <si>
    <t>The INT function returns a whole number when you reference a decimal number</t>
  </si>
  <si>
    <t>The function will round down, which doesn't cause any noticeable issues for positive numbers, but does throw up potentially confusing results for negative numbers</t>
  </si>
  <si>
    <t>Let's use the INT function to return the age of a team of people</t>
  </si>
  <si>
    <t>Name</t>
  </si>
  <si>
    <t>Date of Birth</t>
  </si>
  <si>
    <t>Samantha</t>
  </si>
  <si>
    <t>Diane</t>
  </si>
  <si>
    <t>Tim</t>
  </si>
  <si>
    <t>Alex</t>
  </si>
  <si>
    <t>Sharon</t>
  </si>
  <si>
    <t>The TODAY function generates today's date (which is then used as one half of the calculation for the YEARFRAC calculation</t>
  </si>
  <si>
    <t>INT leaves us with just the whole number of years for each individual's age</t>
  </si>
  <si>
    <t>Using Flags in modelling</t>
  </si>
  <si>
    <t>Flags can be used as visual aids using a "Yes" or "No" for example, often combined with conditional formatting</t>
  </si>
  <si>
    <t>Sarah would like to know the value of all sales on a Monday</t>
  </si>
  <si>
    <t>Using a simple logical test we can flag all rows with a Monday with a TRUE:</t>
  </si>
  <si>
    <t>Using the IF function we can convert the TRUE to a 1 and the FALSE to 0</t>
  </si>
  <si>
    <t>We can then add a simple formula to multiply the value by the flag and add them up</t>
  </si>
  <si>
    <t>Day</t>
  </si>
  <si>
    <t>Value</t>
  </si>
  <si>
    <t>Is Monday</t>
  </si>
  <si>
    <t>Monday Value</t>
  </si>
  <si>
    <t>It might seem a little strange but you actually do not need the step to switch the TRUE to a 1 and the FALSE to a zero. Excel already sees TRUE as 1 and FALSE as 0:</t>
  </si>
  <si>
    <t>Let's look at a more complex example</t>
  </si>
  <si>
    <t>Market Day 1</t>
  </si>
  <si>
    <t>Market Day 2</t>
  </si>
  <si>
    <t>Market Day 3</t>
  </si>
  <si>
    <t>Is Market Day</t>
  </si>
  <si>
    <t>Is Sunny</t>
  </si>
  <si>
    <t>Sunny Market Day</t>
  </si>
  <si>
    <t>Notice that where both the "Is Market Day" and "Is Sunny" are 1s the value is brought through into column H</t>
  </si>
  <si>
    <t>Where either "Is Market Day" or "Is Sunny" are 0s then 0 is brought through into column H</t>
  </si>
  <si>
    <t>Where both "Is Market Day" or "Is Sunny" are 0s then 0 is brought through into column H</t>
  </si>
  <si>
    <t>Now let's take a look at a financial modelling example</t>
  </si>
  <si>
    <t>We would like to identify the first period in the model with a flag of one</t>
  </si>
  <si>
    <t xml:space="preserve">Firstly let's create the formula in a tabular (vertical) form as we have above </t>
  </si>
  <si>
    <t>Date</t>
  </si>
  <si>
    <t>Flag</t>
  </si>
  <si>
    <t>Now let's flip the data over onto a horizonal layout as we would see in a financial model</t>
  </si>
  <si>
    <t xml:space="preserve">Model period ending </t>
  </si>
  <si>
    <t>Initial balance date flag</t>
  </si>
  <si>
    <t>We can also create a flag to determine whether the period is in scope of the forecast or not</t>
  </si>
  <si>
    <t>Pre-forecast vs forecast</t>
  </si>
  <si>
    <t>We can then use this flag to control whether a value is included or not</t>
  </si>
  <si>
    <t>Monthly cost</t>
  </si>
  <si>
    <t>Result</t>
  </si>
  <si>
    <t>************  Debtors - 5623154</t>
  </si>
  <si>
    <t>************  Creditors - 7626152</t>
  </si>
  <si>
    <t>************  Debtors - 5623158</t>
  </si>
  <si>
    <t>************  Creditors - 7626622</t>
  </si>
  <si>
    <t>************  Debtors - 5623374</t>
  </si>
  <si>
    <t>Sometimes we might just use FIND as a flag to indicate whether a particular word or text string is part of a longer string:</t>
  </si>
  <si>
    <t>Debtors Flag</t>
  </si>
  <si>
    <t>It's not intended to be an exhaustive list, and there will undoubtedly be other functions you could use in the battles to great effect.</t>
  </si>
  <si>
    <t>The workbook also includes additional exercises (on blue tabs) for you to put into practice what you have learned, with supporting answers for you to refer to.</t>
  </si>
  <si>
    <t>The OFFSET function</t>
  </si>
  <si>
    <t>Syntax =OFFSET(ref, rows, cols, [height], [width])</t>
  </si>
  <si>
    <t>ref - The cell to offset from</t>
  </si>
  <si>
    <t>rows - The number of rows to offset by (+vs down, -ve up)</t>
  </si>
  <si>
    <t>cols - The number of columns to offset by (+vs right, -ve left)</t>
  </si>
  <si>
    <t>height - Used to select a range. Number of rows high.</t>
  </si>
  <si>
    <t>width - Used to select a range. Number of columns wide</t>
  </si>
  <si>
    <t>The OFFSET function is one of the most unique, potentially powerful, and potentially dangerous functions in Excel</t>
  </si>
  <si>
    <t>As a volatile function (one that recalculates with each workbook change), and one that can be extremely difficult to review and follow, it must be very carefully considered before it is used</t>
  </si>
  <si>
    <t>When using OFFSET we first identify a starting cell reference and then choose row and / or column numbers to offset (move) from that reference point</t>
  </si>
  <si>
    <t>Starting Position</t>
  </si>
  <si>
    <t xml:space="preserve">HERE - START </t>
  </si>
  <si>
    <t>Number of rows to move</t>
  </si>
  <si>
    <t>Number of columns to move</t>
  </si>
  <si>
    <t>End Position</t>
  </si>
  <si>
    <t>HERE - END</t>
  </si>
  <si>
    <t>Let's look at another example with a simple table of data</t>
  </si>
  <si>
    <t>We want to select the value in cell D32 below (Swindon)</t>
  </si>
  <si>
    <t>Site</t>
  </si>
  <si>
    <t>Net Sales</t>
  </si>
  <si>
    <t>Bristol</t>
  </si>
  <si>
    <t>Cardiff</t>
  </si>
  <si>
    <t>Swindon</t>
  </si>
  <si>
    <t>Bath</t>
  </si>
  <si>
    <t>Let's set our reference point at D29.</t>
  </si>
  <si>
    <t>We then need to offset by 3 rows to move to cell D32</t>
  </si>
  <si>
    <t>Starting from cell D29, offset by 3 rows and 0 columns</t>
  </si>
  <si>
    <t>So let's set our reference point at C29.</t>
  </si>
  <si>
    <t>and lets enter our offset values in the cells below:</t>
  </si>
  <si>
    <t>Rows</t>
  </si>
  <si>
    <t xml:space="preserve">Cols </t>
  </si>
  <si>
    <t>Height</t>
  </si>
  <si>
    <t>Width</t>
  </si>
  <si>
    <t>Using OFFSET with SUM</t>
  </si>
  <si>
    <t>We can combine OFFSET with the SUM function to create a dynamic range</t>
  </si>
  <si>
    <t>Let's set our reference point at C66.</t>
  </si>
  <si>
    <t>Row offset</t>
  </si>
  <si>
    <t>Column offset</t>
  </si>
  <si>
    <t>Result:</t>
  </si>
  <si>
    <t>Can you work out which cells are being summed up?</t>
  </si>
  <si>
    <t>It's pretty difficult isn't it.</t>
  </si>
  <si>
    <t>Starting from cell C66 offset by 3 rows and 2 columns for a range that is three cells high and 1 cell wide</t>
  </si>
  <si>
    <t>Time &amp; Payment Profiles</t>
  </si>
  <si>
    <r>
      <t xml:space="preserve">The examples above give you a generic view of the way OFFSET works, but not a great example of </t>
    </r>
    <r>
      <rPr>
        <u/>
        <sz val="13"/>
        <color theme="1"/>
        <rFont val="Arial Narrow"/>
        <family val="2"/>
      </rPr>
      <t>why</t>
    </r>
    <r>
      <rPr>
        <sz val="13"/>
        <color theme="1"/>
        <rFont val="Arial Narrow"/>
        <family val="2"/>
      </rPr>
      <t xml:space="preserve"> you would ever choose to use it</t>
    </r>
  </si>
  <si>
    <t>Let's try to bring OFFSET to life a bit with an example of some very basic tax workings within a Timeline</t>
  </si>
  <si>
    <t>No. of months delay to payment</t>
  </si>
  <si>
    <t>Column counter</t>
  </si>
  <si>
    <t>Tax period end value</t>
  </si>
  <si>
    <t>Tax payment</t>
  </si>
  <si>
    <t>In this example we use OFFSET to refer one column backwards (negative values within OFFSET move left, positive values move right)</t>
  </si>
  <si>
    <t>We can take this tax example further to showcase the way OFFSET can be used to refer to a dynamic range</t>
  </si>
  <si>
    <t>No. of periods per tax submission</t>
  </si>
  <si>
    <t>Periodic tax values</t>
  </si>
  <si>
    <t>Tax period end flag</t>
  </si>
  <si>
    <t>Can you see the error that has been created above due to the movement in the OFFSET function?</t>
  </si>
  <si>
    <t>The INDIRECT function</t>
  </si>
  <si>
    <t>Syntax =INDIRECT(ref_text, [a1])</t>
  </si>
  <si>
    <t>ref_text - An address reference provided as text</t>
  </si>
  <si>
    <t>a1 - Define the method to use. TRUE = A1 style is FALSE = R1C1 style</t>
  </si>
  <si>
    <t>The INDIRECT function returns the reference specified by a text string.</t>
  </si>
  <si>
    <t>The INDIRECT function is another volatile and potentially difficult function to interpret, which means it should be used carefully.</t>
  </si>
  <si>
    <t>We consider it an advanced function for these reasons, but one that modellers should be aware of.</t>
  </si>
  <si>
    <t>We want to select the value in cell D20 below</t>
  </si>
  <si>
    <t>ref_text</t>
  </si>
  <si>
    <t>D20</t>
  </si>
  <si>
    <t>The INDIRECT function returns the value in the cell with the cell reference contained in D24 (D20)</t>
  </si>
  <si>
    <t>Using INDIRECT to select a named range</t>
  </si>
  <si>
    <t>We can also use named ranges in an INDIRECT function in conjunction with other functions.</t>
  </si>
  <si>
    <t>In the example below the cells with sales figures from Jan to Mar for each bakery have been given a named range matching the description of the bakery.</t>
  </si>
  <si>
    <t>Review the Name Manager on the Formulas ribbon if you would like to check the named ranges</t>
  </si>
  <si>
    <t>Ref</t>
  </si>
  <si>
    <t>Jan Sales</t>
  </si>
  <si>
    <t>Feb Sales</t>
  </si>
  <si>
    <t>Mar Sales</t>
  </si>
  <si>
    <t>Bakery_A</t>
  </si>
  <si>
    <t>named range: D37:F37    "Bakery_A"</t>
  </si>
  <si>
    <t>Bakery_B</t>
  </si>
  <si>
    <t>named range: D38:F38    "Bakery_B"</t>
  </si>
  <si>
    <t>Bakery_C</t>
  </si>
  <si>
    <t>named range: D39:F39    "Bakery_C"</t>
  </si>
  <si>
    <t>Bakery_D</t>
  </si>
  <si>
    <t>named range: D40:F40    "Bakery_D"</t>
  </si>
  <si>
    <t>Bakery_E</t>
  </si>
  <si>
    <t>named range: D41:F41    "Bakery_E"</t>
  </si>
  <si>
    <t>Now we can use INDIRECT and the bakery dropdown list below to return the SUM of all sales for the chosen bakery</t>
  </si>
  <si>
    <t>Using INDIRECT to select a range or cell from other worksheets</t>
  </si>
  <si>
    <t>We can also use INDIRECT to return a value from different worksheets.  This can bring some sense of consistency and reduce the number of unique formulas in some instances:</t>
  </si>
  <si>
    <t>Below we use INDIRECT in the grey cells to return the Syntax from each listed worksheet within this workbook, with one unique formula.</t>
  </si>
  <si>
    <t>Worksheet</t>
  </si>
  <si>
    <t>Cell ref</t>
  </si>
  <si>
    <t>Syntax List</t>
  </si>
  <si>
    <t>OFFSET</t>
  </si>
  <si>
    <t>B3</t>
  </si>
  <si>
    <t>INDEX</t>
  </si>
  <si>
    <t>MATCH</t>
  </si>
  <si>
    <t>INDEX MATCH</t>
  </si>
  <si>
    <t>INDEX 2D</t>
  </si>
  <si>
    <t>INDEX MATCH MATCH</t>
  </si>
  <si>
    <t>Using INDIRECT to create dependent lists</t>
  </si>
  <si>
    <t>Below we have a set of lists that are set up as Excel Tables (do not worry about the details behind Excel Tables if you are unfamiliar with them - we will cover these later on in the course).</t>
  </si>
  <si>
    <t>One table lists the name of each Bakery (column C), and the other tables list the names of the staff members that work at each bakery.</t>
  </si>
  <si>
    <t>Within each table, the range of bakery staff names have also been set up as a named range.</t>
  </si>
  <si>
    <t>Table Name:</t>
  </si>
  <si>
    <t>tbl_Bakeries</t>
  </si>
  <si>
    <t>tbl_StaffBakery1</t>
  </si>
  <si>
    <t>tbl_StaffBakery2</t>
  </si>
  <si>
    <t>tbl_StaffBakery3</t>
  </si>
  <si>
    <t>Range Name:</t>
  </si>
  <si>
    <t>Bakeries</t>
  </si>
  <si>
    <t>Bakery_1</t>
  </si>
  <si>
    <t>Bakery_2</t>
  </si>
  <si>
    <t>Bakery_3</t>
  </si>
  <si>
    <t>Staff Names</t>
  </si>
  <si>
    <t>Sally H</t>
  </si>
  <si>
    <t>Sharon R</t>
  </si>
  <si>
    <t>Paula E</t>
  </si>
  <si>
    <t>Paul B</t>
  </si>
  <si>
    <t>Ross L</t>
  </si>
  <si>
    <t>Dave B</t>
  </si>
  <si>
    <t>John E</t>
  </si>
  <si>
    <t>Tom F</t>
  </si>
  <si>
    <t>Sue P</t>
  </si>
  <si>
    <t>Now we can use these named ranges and the INDIRECT function to create a dependent drop down list:</t>
  </si>
  <si>
    <t>1) Choose the Bakery from the first drop down list:</t>
  </si>
  <si>
    <t>2) Choose from the staff name list in this dynamic second drop down list:</t>
  </si>
  <si>
    <t>This cell has a drop down list that is dynamic.</t>
  </si>
  <si>
    <t>INDIRECT has been added to Data Validation to make it so.</t>
  </si>
  <si>
    <t>Try changing the bakery selected in step one and see what happens to the drop down list in step two</t>
  </si>
  <si>
    <t>We consider it an advanced function for these reasons, but one that modellers should be aware of and lean on when it can add real value</t>
  </si>
  <si>
    <t>The formula in cell D21 returns the value in cell G21, as the OFFSET function has shifted the reference 3 rows down from D18 (negative numbers would shift the reference up), and 3 columns right (negative numbers shift the reference left)</t>
  </si>
  <si>
    <t>However, it's our belief that mastering the functions we have picked out for you here will give you an incredible base of fundamentals you can then build upon.</t>
  </si>
  <si>
    <t>XLOOKUP is a much-improved version of "older" lookup functions like VLOOKUP, HLOOKUP and INDEX MATCH</t>
  </si>
  <si>
    <t>We need to use IFERROR with care as it handles all errors in the same way and could mask a more serious #REF! or #VALUE! error.</t>
  </si>
  <si>
    <t>Before the introduction of XLOOKUP, we'd typically manage this error using the IFERROR function:</t>
  </si>
  <si>
    <t>The TEXTSPLIT Function</t>
  </si>
  <si>
    <t>Syntax = TEXTSPLIT(text, col_delimiter, [row_delimeter], [ignore_empty], [match_mode], [pad_with])</t>
  </si>
  <si>
    <t>text - the text string that you're going to split</t>
  </si>
  <si>
    <t>col_delimiter - the character or characters to delimit columns</t>
  </si>
  <si>
    <t>ignore_empty - control for ignoring empty values. TRUE = ignore. FALSE = preserve. Default is FALSE (optional)</t>
  </si>
  <si>
    <t>match_mode - case sensitivity. 0 = enabled. 1 = disabled. Default is 0 (optional)</t>
  </si>
  <si>
    <t>pad_with - value to pad missing values with in 2D arrays (optional)</t>
  </si>
  <si>
    <t>The result of your TEXTSPLIT will be an array that can span many rows or columns</t>
  </si>
  <si>
    <t>For many Excel users, this is a powerful replacement or alternative to features and functions like Text-To-Columns, and LEFT, RIGHT, MID, etc</t>
  </si>
  <si>
    <t>Jan - 144995535: Peter H</t>
  </si>
  <si>
    <t>Mar - 195895049: Sarah O</t>
  </si>
  <si>
    <t>In this example TEXTSPLIT is used to separate the text before and after any "-" characters into separate columns</t>
  </si>
  <si>
    <t>Jan - 938560385: James D</t>
  </si>
  <si>
    <t>Dec - 839948573: John H</t>
  </si>
  <si>
    <t>Now let's look at some of the variations you can set up with TEXTSPLIT</t>
  </si>
  <si>
    <t>In this example, the text is split into three separate columns as TEXTSPLIT has found two "-" characters to split by</t>
  </si>
  <si>
    <t>In this example the additional comma is used to allow us to identify the "-" character as a row delimiter instead of a column delimiter</t>
  </si>
  <si>
    <t>This just means the text is split by ROW rather than by COLUMN</t>
  </si>
  <si>
    <t>It's less likely that you'll use TEXTSPLIT in this way, because you tend not to manage data horizontally like this. But at least it is possible</t>
  </si>
  <si>
    <t>John - Team A, Paul - Team B, Stacey - Team A, Zack - Team A, Sally - Team B, Claire - Team B</t>
  </si>
  <si>
    <t>You can use both column and row delimiters to split the text in both directions at the same time</t>
  </si>
  <si>
    <t>How to deal with empty values</t>
  </si>
  <si>
    <t>In this context, "empty values" refers to the result when there are two delimiters next to each other.</t>
  </si>
  <si>
    <t>Jan - 144995535 -- Peter H</t>
  </si>
  <si>
    <t>Mar - 195895049 -- Sarah O</t>
  </si>
  <si>
    <t>Jan - 938560385 -- James D</t>
  </si>
  <si>
    <t>Dec - 839948573 -- John H</t>
  </si>
  <si>
    <t>In this example, the [ignore_empty] control has been set to TRUE</t>
  </si>
  <si>
    <t>As a result, the additional blank column has been removed from the resulting array</t>
  </si>
  <si>
    <t>How to deal with case sensitivity &amp; padding</t>
  </si>
  <si>
    <t>Tom vs Arron</t>
  </si>
  <si>
    <t>Sarah vs Paul</t>
  </si>
  <si>
    <t>By default, TEXTSPLIT is case sensitive.</t>
  </si>
  <si>
    <t>Adam Vs Steve</t>
  </si>
  <si>
    <t>You can see in this example that any variation to " vs " is not recognised as a delimiter by TEXTSPLIT</t>
  </si>
  <si>
    <t>John - Team A, Paul - Team B, Stacey, Zack - Team A, Sally - Team B, Claire - Team B</t>
  </si>
  <si>
    <t>The final argument in the TEXTSPLIT function allows you to deal with any values that are missing, which can't be ignored completely because of the structure of the array produced</t>
  </si>
  <si>
    <t>In this example, Stacey has no team listing, which means an #N/A is returned to maintain the overall structure of the array that is generated (#N/A is the default)</t>
  </si>
  <si>
    <t>In this example we've replaced the #N/A returned by default to a "No Team" text string</t>
  </si>
  <si>
    <t>The order of the data is as follows: First Name, Second Name, Customer Reference, Order Number, Product Reference</t>
  </si>
  <si>
    <t>Solution 3</t>
  </si>
  <si>
    <t>Solution 4</t>
  </si>
  <si>
    <t>Exercise 6</t>
  </si>
  <si>
    <t>Exercise 7</t>
  </si>
  <si>
    <t>Solution 7</t>
  </si>
  <si>
    <t>Exercise 8</t>
  </si>
  <si>
    <t>The TEXTBEFORE &amp; TEXTAFTER Functions</t>
  </si>
  <si>
    <t>delimiter - the character(s) that delimit the text.</t>
  </si>
  <si>
    <t>instance_num - the instance of the delimiter in text. Default is 1. [optional]</t>
  </si>
  <si>
    <t xml:space="preserve">match_mode - case-sensitivity. 0 = enabled, 1 = disabled. Default is 0. [optional] </t>
  </si>
  <si>
    <t>match_end - treat end of text as delimiter. 0 = disabled, 1 = enabled. Default is 0.  [optional]</t>
  </si>
  <si>
    <t>if_not_found - value to return when no match is found. #N/A is default. [optional]</t>
  </si>
  <si>
    <t>=TEXTBEFORE(text, delimiter, [instance_num], [match_mode], [match_end], [if_not_found])</t>
  </si>
  <si>
    <t>=TEXTAFTER(text,delimiter,[instance_num],[match_mode],[match_end],[if_not_found])</t>
  </si>
  <si>
    <t>In cases where multiple delimiters appear in the text, TEXTBEFORE can return text before the nth occurrence of the delimiter.</t>
  </si>
  <si>
    <t>The TEXTBEFORE function returns the text that occurs before a given substring or delimiter.</t>
  </si>
  <si>
    <t>The TEXTAFTER function returns the text that occurs after a given substring or delimiter.</t>
  </si>
  <si>
    <t>TEXTAFTER can also extract text after a specific delimiter when counting from the end of a text string (i.e., get text after the second to the last delimiter).</t>
  </si>
  <si>
    <t>Here's the same outcome with the original data structured horizontally:</t>
  </si>
  <si>
    <t>In this example TEXTBEFORE is used to separate the text before the first "-" character:</t>
  </si>
  <si>
    <t>Now let's look at some of the variations you can set up with TEXTBEFORE &amp; TEXTAFTER</t>
  </si>
  <si>
    <t>In this example, the text is split before the second instance of the "-" delimiter</t>
  </si>
  <si>
    <t>In this example, the text is split before the second instance of either of the two delimiters listed (within the curly brackets)</t>
  </si>
  <si>
    <t>By default, TEXTBEFORE &amp; TEXTAFTER are case sensitive.</t>
  </si>
  <si>
    <t>You can see in this example that any variation to " vs " is not recognised as a delimiter by TEXTBEFORE</t>
  </si>
  <si>
    <t>Susan vs dave</t>
  </si>
  <si>
    <t>Richard VS BOB</t>
  </si>
  <si>
    <t xml:space="preserve">By switching the Match Mode to a 1, our formula now picks up all instances of "vs" </t>
  </si>
  <si>
    <t>You can lean on other functions to resolve the capitalisation issues</t>
  </si>
  <si>
    <t>In this example we're using the TRANSPOSE function to profile our output array horizontally, still based on a dynamic array formula entered into one cell</t>
  </si>
  <si>
    <t>This can be particularly useful, and quick to use, when you have text data that is consistent in length and structure:</t>
  </si>
  <si>
    <t>2018 - Month 3 - 3rd</t>
  </si>
  <si>
    <t>2018 - Month 5 - 9th</t>
  </si>
  <si>
    <t>2018 - Month 7 - 12th</t>
  </si>
  <si>
    <t>2018 - Month 11 - 21st</t>
  </si>
  <si>
    <t>2019 - Month 1 - 7th</t>
  </si>
  <si>
    <t>2020 - Month 12 - 15th</t>
  </si>
  <si>
    <t>2021 - Month 8 - 20th</t>
  </si>
  <si>
    <t>[this is incorrect]</t>
  </si>
  <si>
    <t>And using this value, we can solve our problem:</t>
  </si>
  <si>
    <t>Let's break that out into steps:</t>
  </si>
  <si>
    <t>Step 1</t>
  </si>
  <si>
    <t>Find the position of the second "-" character:</t>
  </si>
  <si>
    <t>Step 2</t>
  </si>
  <si>
    <t>Find the position of the first "-" character</t>
  </si>
  <si>
    <t>Step 3</t>
  </si>
  <si>
    <t>Step 4</t>
  </si>
  <si>
    <t>Appliy to the MID function</t>
  </si>
  <si>
    <t>Back to our unsolved challenge</t>
  </si>
  <si>
    <t>Ref: 338402_Tom Marshall: USA</t>
  </si>
  <si>
    <t>Ref: 469964402_Sharon Levet: England</t>
  </si>
  <si>
    <t>Ref: 9944738_Hannah Watts: Canada</t>
  </si>
  <si>
    <t>Ref: 338402_Philip Angle: Australia</t>
  </si>
  <si>
    <t>Ref: 338402_Pierre Grant: France</t>
  </si>
  <si>
    <t>In the example below, we can see how FIND can be used alongside some of the functions we've been looking at so far to add a layer of flexibility.</t>
  </si>
  <si>
    <t>We can then easily remove the "Ref: " section if we need to, in a variety of ways:</t>
  </si>
  <si>
    <t>Let's turn back to our ongoing text string challenge. This time, we want to extract the Month text and number from the centre of the text string.</t>
  </si>
  <si>
    <t>This works well enough when the text strings are consistent in structure and length. But what if they're not?</t>
  </si>
  <si>
    <t>DL33P! Company A: Smiths</t>
  </si>
  <si>
    <t>DL465k! Company F: Bakers</t>
  </si>
  <si>
    <t>DL96A! Company U: Carmel</t>
  </si>
  <si>
    <t>DL54Y! Company V: Markle</t>
  </si>
  <si>
    <t>DL2551L! Company S: Crank</t>
  </si>
  <si>
    <t>Let's say we want to pull the company letter reference from the centre of the text string below:</t>
  </si>
  <si>
    <t>We can't use a hardcoded starting reference with MID because the initial code length varies.</t>
  </si>
  <si>
    <t>Here, we're using FIND to identify the position of the first space (" "), which is not consistent across the series</t>
  </si>
  <si>
    <t>From there, we can (in this instance) use a hardcoded 10 figure for the number of characters to return the company letter reference</t>
  </si>
  <si>
    <t>A challenge we'll keep coming back to</t>
  </si>
  <si>
    <t>Let's say we wanted to extract the day text from the right hand side of the data table below.</t>
  </si>
  <si>
    <t>We'll come back to this again later (once we've introduced some other functions)</t>
  </si>
  <si>
    <t>We could determine the text we are looking for and the starting position for the search through a cell reference:</t>
  </si>
  <si>
    <t>In the example above, the starting position entry of 21 means that the resulting formula output is showing us the location of the second instance of "Debtors"</t>
  </si>
  <si>
    <t>Note: the -1 part of the formula removes the "_" character itself from the string that is returned</t>
  </si>
  <si>
    <t>Remember, what we're trying to do here is just pull out the day reference at the end of the text string. The challenge we face is that the day reference varies in terms of its text string length</t>
  </si>
  <si>
    <t>Now we have a dynamic formula that can deal with a change in text string lengths (some extreme changes would break this formula)</t>
  </si>
  <si>
    <t>What if we wanted to extract just the Month text and number from the centre of the text string?</t>
  </si>
  <si>
    <t>We'll come back to that later (after we've introduced another function…)</t>
  </si>
  <si>
    <t>Now use FIND to return the position of the second "-" character in the same data set above</t>
  </si>
  <si>
    <t>The SUBSTITUTE function</t>
  </si>
  <si>
    <t>Syntax =Substitute(text, old_text, new_text, [instance_num])</t>
  </si>
  <si>
    <t>text - The text that will be changed in some way</t>
  </si>
  <si>
    <t>old_text - The text to be replaced</t>
  </si>
  <si>
    <t>new_text - the text to replace with</t>
  </si>
  <si>
    <t>instance_num - the instance of the text to be substituted - if left blank, all instances will be substituted</t>
  </si>
  <si>
    <t>The SUBSTITUTE function allows you to replace text from within a text string.</t>
  </si>
  <si>
    <t>You would use the SUBSTITUTE function over the REPLACE function when you want to replace text based on its content rather than its position.</t>
  </si>
  <si>
    <t>You can optionally specify instances of the text identified that should be substituted.</t>
  </si>
  <si>
    <t>old_text</t>
  </si>
  <si>
    <t>new_text</t>
  </si>
  <si>
    <t>instance_num</t>
  </si>
  <si>
    <t>Converted</t>
  </si>
  <si>
    <t>###99300###</t>
  </si>
  <si>
    <t>#</t>
  </si>
  <si>
    <t>Bottle</t>
  </si>
  <si>
    <t>o</t>
  </si>
  <si>
    <t>a</t>
  </si>
  <si>
    <t>901184 - 643 - 3893</t>
  </si>
  <si>
    <t>-</t>
  </si>
  <si>
    <t>903943 - 973 - 0854</t>
  </si>
  <si>
    <t>:</t>
  </si>
  <si>
    <t>983954 - 133 - 5939</t>
  </si>
  <si>
    <t>xx</t>
  </si>
  <si>
    <t>Let's say we want to remove the # symbols from the text string below:</t>
  </si>
  <si>
    <t>You may alternatively prefer to set the adjustments up in separate, clearly visible input cells (although this could be overkill in certain situations):</t>
  </si>
  <si>
    <t>Let's break that down into steps:</t>
  </si>
  <si>
    <t>Step 1: LEN</t>
  </si>
  <si>
    <t>Step 2: FIND</t>
  </si>
  <si>
    <t>Step 3: LEN - FIND</t>
  </si>
  <si>
    <t>Step 4: RIGHT</t>
  </si>
  <si>
    <t>Bringing them together doesn't have to be done in one cell. You can break your logic down into multiple steps.</t>
  </si>
  <si>
    <t>January - 144995535 - Peter H</t>
  </si>
  <si>
    <t>January - 938560385 - James D</t>
  </si>
  <si>
    <t>12 - 839948573 - John H</t>
  </si>
  <si>
    <t>Use the FIND function, and any other functions we've covered so far, to extract the various month references from the first part of the text strings below ("12" in the last row refers to month 12)</t>
  </si>
  <si>
    <t>Note: the -2 above just removes the "-" and the space from the string returned.</t>
  </si>
  <si>
    <t>If the "-: and space were inconsistent across the data set, we'd have another challenge to deal with</t>
  </si>
  <si>
    <t>This is challenging because the length of the Month text strings vary:</t>
  </si>
  <si>
    <t>In this example we're using FIND twice within a MID function to dynamically identify the positions of the two "-" characters</t>
  </si>
  <si>
    <t>Calculate the number of characters between these two positions and adjust for extra spaces</t>
  </si>
  <si>
    <t>PO:144995535 - Company XYZ // ###489553### // Level 1</t>
  </si>
  <si>
    <t>PO:6422554 - Company BDKK // ###489544263### // Level 3</t>
  </si>
  <si>
    <t>PO:495243 - Company RYHF // ###995533223### // Level 5</t>
  </si>
  <si>
    <t>PO:00985733 - Company YT // ###9943### // Level 12</t>
  </si>
  <si>
    <t>Step 4: Return the characters between those string positions</t>
  </si>
  <si>
    <t>Step 3: Calculate the number of characters between the end of the first string and the start of the second string</t>
  </si>
  <si>
    <t>Step 2: Find the location of the start of the second "###"</t>
  </si>
  <si>
    <t>See the steps below</t>
  </si>
  <si>
    <t>We add 1 to ignore the final space</t>
  </si>
  <si>
    <t>This is where these functions become so powerful - it's not so much their basic capabilities, it's the way you apply them and bring them together.</t>
  </si>
  <si>
    <t>The FIND function allows you to find the position of specified text (or individual characters) from within a text string.</t>
  </si>
  <si>
    <t>The [start_num] allows you to start the search within the text string from a specified position (a number of characters from furthest left).</t>
  </si>
  <si>
    <t>Let's say we want to extract just the reference number from the text string below (the number sequence before the name), but the reference number varies in length:</t>
  </si>
  <si>
    <t>The first thing you should be looking out for in a situation like this is some element within the text string series that is consistent. In this example it looks like the "_" character consistently follows the reference number we want to extract.</t>
  </si>
  <si>
    <t>What we could do with FIND is identify the position of the last instance of the "-" character, and add one to the position to ignore the final space</t>
  </si>
  <si>
    <t>In this example, we're finding the first instance of "-" after the 8th character in the text string</t>
  </si>
  <si>
    <t>8 has been chosen relatively arbitrarily as it ensures the first "-" is excluded</t>
  </si>
  <si>
    <t>Use any functions we have covered so far to extract the numbers between the ### symbols in the centre of the text strings below:</t>
  </si>
  <si>
    <t>The TEXTSPLIT function does exactly what it says it will do: it will split text, depending on some criteria and controls you manage within it</t>
  </si>
  <si>
    <t>In this example, the text is split into three separate columns, but we're using two individual characters as delimiters and some curly brackets to allow TEXTSPLIT to work in this way</t>
  </si>
  <si>
    <t>Notice how empty values are not ignored by default (the cell highlighted in red on the left is the empty space between the two "-" characters</t>
  </si>
  <si>
    <t>Note: sometimes a simple Find &amp; Replace can be a much quicker and simpler solution. The downside is that you lose the audit trail of your adjustments, and the adjustments will have to be repeated time after time if the source data changes</t>
  </si>
  <si>
    <t>L9;I3;E12;D10;I3;L9;I4;O4;D12;H11;E14;J8;B6;M6;J10;A6;G15;H7;M7;M13;O7;E11;J12;J2;I7;E8;M14;O9;F7;F4;E3;E15;D12;C9;J6;M10;L9;L3;M11;M2</t>
  </si>
  <si>
    <t xml:space="preserve">Note: this is a merged cell </t>
  </si>
  <si>
    <t>Note: this time there is more than one character type between each cell reference</t>
  </si>
  <si>
    <t>Split the text string into individual Excel cell references, vertically</t>
  </si>
  <si>
    <t>L9;I3;E12;D10;I3;L9;I4;O4;D12:H11;E14;J8;B6;M6;J10;A6;G15;H7;M7;M13-O7;E11;J12;J2;I7;E8;M14;O9;F7;F4-E3;E15;D12;C9;J6;M10;L9;L3-M11;M2</t>
  </si>
  <si>
    <t>MID &amp; SEQUENCE</t>
  </si>
  <si>
    <t>This is stepping up a bit into "modern Excel", and we haven't covered SEQUENCE yet, but it's hard to overlook this.</t>
  </si>
  <si>
    <t>Using SEQUENCE with MID provides us with an incredible, dynamic method of splitting a text string up.</t>
  </si>
  <si>
    <t>This is just the very tip of the iceburg with dynamic array functions! We just want to wet your appetite for now…</t>
  </si>
  <si>
    <t>By nesting SEQUENCE within MID, we can create a dynamic array output that splits each number into individual cells:</t>
  </si>
  <si>
    <t>richard VS Bob</t>
  </si>
  <si>
    <t>By switching the Match Mode to a 1, our formula now picks up all instances of "vs", no matter the capitalisation</t>
  </si>
  <si>
    <t>Jan - 144995535 - Peter H - Down</t>
  </si>
  <si>
    <t>Mar - 195895049 - Sarah O - Up</t>
  </si>
  <si>
    <t>Jan - 938560385 - James D - Up</t>
  </si>
  <si>
    <t>Dec - 839948573 - John H - Down</t>
  </si>
  <si>
    <t>Ref: 469964402_Sharon Levet - England</t>
  </si>
  <si>
    <t>Ref: 338402_Philip Angle. Australia</t>
  </si>
  <si>
    <t>For this exercise, see if you can solve the problem we dealt with in the early function worksheets (LEFT, RIGHT, LEN, FIND, MID), using TEXTBEFORE or TEXTAFTER</t>
  </si>
  <si>
    <t>You just want to extract the day text string from the right hand side of the data set below</t>
  </si>
  <si>
    <t>That's much, much easier!</t>
  </si>
  <si>
    <t>Extract the full name of each individual from the data set below</t>
  </si>
  <si>
    <t>Simon, 86, Very good</t>
  </si>
  <si>
    <t>Sam, 86. Very Good</t>
  </si>
  <si>
    <t>Tim, 60, OK</t>
  </si>
  <si>
    <t>Claire. 94, Excellent</t>
  </si>
  <si>
    <t>Grace - 40 - Fail</t>
  </si>
  <si>
    <t>Gary, 60, OK</t>
  </si>
  <si>
    <t>Liam, 70, Good</t>
  </si>
  <si>
    <t>Greg: 99, Excellent</t>
  </si>
  <si>
    <t xml:space="preserve">The data set below includes student names, test scores, and an overall comment. </t>
  </si>
  <si>
    <t>Split the data up into relevant columns</t>
  </si>
  <si>
    <t>Currently, and we say that because we suspect this may change in a future update of Excel, there is an "array of an array" blocker with array functions like TEXTSPLIT.</t>
  </si>
  <si>
    <t>So let's try the solution above with a single cell array formula:</t>
  </si>
  <si>
    <t>The outputs on each row are horizontal arrays</t>
  </si>
  <si>
    <t>The "array of an array" issue</t>
  </si>
  <si>
    <t>There is a way around this, if you really want to use TEXTSPLIT from one cell… but it's taking us down a bit of a rabbit hole. We'll show you this now, and then stop before we get too deep.</t>
  </si>
  <si>
    <t>The output generated is still an array, but it's limited to the shape of the input array, which means we can't use it to split the text strings by our " - " delimiter.</t>
  </si>
  <si>
    <t>This slightly convoluted workaround uses TEXTJOIN, and a new delimiter, to take our initial range of cell text strings and bring them together into one string (joined together with this new delimiter ";")</t>
  </si>
  <si>
    <t>That's what we'll be doing for the rest of this worksheet.</t>
  </si>
  <si>
    <t>You can also reference arrays of cells with TEXTBEFORE and TEXTAFTER in the way we highlighted was an issue with TEXTSPLIT.</t>
  </si>
  <si>
    <t>2D Lookups</t>
  </si>
  <si>
    <t>Tom</t>
  </si>
  <si>
    <t>Alice</t>
  </si>
  <si>
    <t>If you're familiar with INDEX MATCH (which we'll cover next), you may be familiar with the INDEX MATCH MATCH approach to perform a two dimensional lookup.</t>
  </si>
  <si>
    <t>The good news is you can do exactly the same thing with an XLOOKUP nested within another XLOOKUP:</t>
  </si>
  <si>
    <t>Input 1</t>
  </si>
  <si>
    <t>Input 2</t>
  </si>
  <si>
    <t>Once you get used to this nested structure you'll find it's even easier to use than INDEX MATCH MATCH)</t>
  </si>
  <si>
    <t>The function includes an optional argument for what to return if no match is found. This removes the need for separate error management functions.</t>
  </si>
  <si>
    <t>1. Please use the XLOOKUP function to find the Cost of the product listed below</t>
  </si>
  <si>
    <t>2. Please use the XLOOKUP function to find the Description for the product listed below</t>
  </si>
  <si>
    <t>3. Please use the XLOOKUP function to find the Max Stock for the product listed below</t>
  </si>
  <si>
    <t>4. Please use the XLOOKUP function to create a dynamic lookup that can return the appropriate data point based on the two dropdowns below</t>
  </si>
  <si>
    <t>Note: this approach doesn't have to align to months of the year. Essentially you can use INDEX like this to extract data from a range in order, so long as the numerical lookup number aligns properly to your lookup table</t>
  </si>
  <si>
    <t>This is why INDEX and MATCH tends to be used as a pair for larger data set lookups…</t>
  </si>
  <si>
    <t>Sarah has some sales data from her sales till system. She also has some reference data on the Inputs_2 tab that includes each product's price, cost and category.</t>
  </si>
  <si>
    <t>Sarah would like to enrich the table of data on this tab with the reference data on the Inputs_2 tab to create one single data set that she can use for reporting</t>
  </si>
  <si>
    <t>How does this compare to using XLOOKUP?</t>
  </si>
  <si>
    <t>We still love it though, and think it's well worth your time to learn</t>
  </si>
  <si>
    <t>instead of just pressing ENTER once you've built your formula</t>
  </si>
  <si>
    <t>Using SUMPRODUCT with other functions</t>
  </si>
  <si>
    <t xml:space="preserve">SUMPRODUCT does also create little pockets of magic when it's used with other functions as well. </t>
  </si>
  <si>
    <t>For example, let's say we wanted to count the number of characters across all of our text strings below.</t>
  </si>
  <si>
    <t>You probably know already that we could add a column with a LEN formula and SUM the results in that new column.</t>
  </si>
  <si>
    <t>But there's a shortcut…</t>
  </si>
  <si>
    <t>Counting specific characters in a text string</t>
  </si>
  <si>
    <t>Here's a pretty neat way SUBSTITUTE can be used with LET to count the number of times a specific character is found within a text string:</t>
  </si>
  <si>
    <t>Let's say we want to count the "-" characters below:</t>
  </si>
  <si>
    <t>This formula works by removing the number of instances the character occurs from the second LEN calculation, and then subtracting that number from the original LEN calculation</t>
  </si>
  <si>
    <t>The difference between the two LEN calculations will always be the number of instances the character you're looking for occurs</t>
  </si>
  <si>
    <t>That's a useful shortcut to help shortcut the helper column we'd need otherwise</t>
  </si>
  <si>
    <t>But there's more! Remember our SUBSTITUTE calculation to add up the number of instances a specific character occurs?</t>
  </si>
  <si>
    <t>We can use SUMPRODUCT to create another shortcut here as well:</t>
  </si>
  <si>
    <t>That's the total number of instances the hyphen character "-" occurs across the entire text string data set on the left</t>
  </si>
  <si>
    <t>SUMPRODUCT is an incredibly powerful and versatile function, but it's usefulness has been diminished as a result of the more recent upgrades to Excel</t>
  </si>
  <si>
    <t>Specifically, the evolution of Excel's array functions and capabilities means that much of what could only be achieved through the use of SUMPRODUCT (or CTRL + SHIFT + ENTER)  can now be done with simple formulas like SUM</t>
  </si>
  <si>
    <t>However, you'll still see modellers using SUMPRODUCT, and we still (for now at least) think it's well worth the time and effort to master</t>
  </si>
  <si>
    <t>Why does SUM work when it didn't in years gone by?</t>
  </si>
  <si>
    <t>It's because Excel now allows an array to SPILL, and therefore be picked up by other functions:</t>
  </si>
  <si>
    <t>The formula above just uses a partial range of data from the data set on the left (so it fits above), but what you see there</t>
  </si>
  <si>
    <t>is the spilled array results of the formula we've been using so far without any function bolted on at the front.</t>
  </si>
  <si>
    <t>For the sake of completeness, and on the assumption that you may well still come across models with SUMPRODUCT,</t>
  </si>
  <si>
    <t>let's pretend we're using a version of Excel that doesn't allow you to pick up spilled arrays for the remainder of this worksheet.</t>
  </si>
  <si>
    <t>1. Calculate the total revenue earned by week, without any helper columns, as set out below:</t>
  </si>
  <si>
    <t>2. Calculate the total weekday and weekend revenue, without any helper columns, as set out below:</t>
  </si>
  <si>
    <t>OR</t>
  </si>
  <si>
    <t>A</t>
  </si>
  <si>
    <t>B</t>
  </si>
  <si>
    <t>C</t>
  </si>
  <si>
    <t>D</t>
  </si>
  <si>
    <t>E</t>
  </si>
  <si>
    <t>F</t>
  </si>
  <si>
    <t>G</t>
  </si>
  <si>
    <t>H</t>
  </si>
  <si>
    <t xml:space="preserve">Let's say we have a random, simple game we want to play. </t>
  </si>
  <si>
    <t>♣</t>
  </si>
  <si>
    <t>♥</t>
  </si>
  <si>
    <t>♠</t>
  </si>
  <si>
    <t>♦</t>
  </si>
  <si>
    <t>Think outside the box</t>
  </si>
  <si>
    <t>The Excel Battle experience is unique for many reasons, not least because you find yourself under such extreme time pressure!</t>
  </si>
  <si>
    <t>What we'll do here is just sow the seed for some of the slightly unusual ways you could start using some of the functions we've presented so far</t>
  </si>
  <si>
    <t>Think of function ranges in grids</t>
  </si>
  <si>
    <t>You have a lot of structural flexibility available to you when it comes to formulas like SUMIFS, COUNTIFS, even SUM to be honest, and the ranges you set up within the function's parameters.</t>
  </si>
  <si>
    <t>Let's take a really basic game to walk through this in more detail:</t>
  </si>
  <si>
    <t>Random Game Board</t>
  </si>
  <si>
    <t>The exact rules don't really matter here as we're not going to run any simulations of the game itself.</t>
  </si>
  <si>
    <t>What we will do is ask some simple questions (much like ones you may see in rounds 1-3 of the Excel Battle Series), and we'll see if we can answer them</t>
  </si>
  <si>
    <t>Key:</t>
  </si>
  <si>
    <t>Suit</t>
  </si>
  <si>
    <t>Points</t>
  </si>
  <si>
    <t>Round 1:</t>
  </si>
  <si>
    <t>B4</t>
  </si>
  <si>
    <t>E7</t>
  </si>
  <si>
    <t>H1</t>
  </si>
  <si>
    <t>We're using ranges that surround a cell reference, to count the number of times each suit appears around it.</t>
  </si>
  <si>
    <t>We might choose to create a second board and convert suits to points:</t>
  </si>
  <si>
    <t>Random Game Board Converted to Points:</t>
  </si>
  <si>
    <t>Note that is the formulas in the second grid above, we're using one cell reference that links back to the first board grid, with no absolute referencing, and a fixed lookup reference to the suits points key.</t>
  </si>
  <si>
    <t>Now we could use SUM to add up all the relevant points:</t>
  </si>
  <si>
    <t>Or we could have made our lives much easier and avoided the need for the second grid altogether:</t>
  </si>
  <si>
    <t>What if we wanted to build out a solution, maybe to start answering some of the more complex battle questions, that allowed us to dynamically change the player's board position and calculate the score?</t>
  </si>
  <si>
    <t>There are a few ways we could go about this (no doubt experienced players will know of more as well!)</t>
  </si>
  <si>
    <t>Let's start with a neat trick to produce a grid of the board position references</t>
  </si>
  <si>
    <t>That's pretty useful, but we could also cut this step and convert this to a list, with the suits listed alongside each board position reference:</t>
  </si>
  <si>
    <t>Board Ref</t>
  </si>
  <si>
    <t>Suit (no colours)</t>
  </si>
  <si>
    <t>Board Letter</t>
  </si>
  <si>
    <t>Board Number</t>
  </si>
  <si>
    <t>Letter Char</t>
  </si>
  <si>
    <t>Position Cell Ref</t>
  </si>
  <si>
    <t>Position Excel Row</t>
  </si>
  <si>
    <t>Position Excel Column</t>
  </si>
  <si>
    <t>Count</t>
  </si>
  <si>
    <t>Note that in the formula above for Step 1, we've included a hardcoded 8 to start the FIND process beyond the first instance of the "-" character</t>
  </si>
  <si>
    <t>A better solution, a more "future-proofed" solution, would be to use another function to dynamically locate the first "-" character and use that position as the starting point for the FIND function</t>
  </si>
  <si>
    <t>Note: if there are multiple matches, XLOOKUP will return the first it finds (depending on whether you have set the search mode to Top to Bottom or Bottom to Top)</t>
  </si>
  <si>
    <t>Dynamic Version 1 - Returning multiple lookup range values</t>
  </si>
  <si>
    <t>Dynamic Version 2 - Returning result from a single lookup range for multiple input values</t>
  </si>
  <si>
    <t>If we instead use a range for our lookup values, we'll see the resulting formula spill in a different way:</t>
  </si>
  <si>
    <t>Attempt at Dynamic Version 3: Multiple inputs and output ranges (note - it doesn't work!)</t>
  </si>
  <si>
    <t>This is a theme we'll come back to. For now, just note that there are limitations when it comes to leaning on the new array features in Excel</t>
  </si>
  <si>
    <t>If we try to set up a formula like this with both row and columns ranges as inputs, Excel will only return one element of them</t>
  </si>
  <si>
    <t>We believe this may change in the future</t>
  </si>
  <si>
    <t>2) Sarah would like to pull sales values from the table below:</t>
  </si>
  <si>
    <t>*1</t>
  </si>
  <si>
    <t>The first customer number ending in 1, starting from the bottom of the data set</t>
  </si>
  <si>
    <t>Customer 946</t>
  </si>
  <si>
    <t>Using 0 to return everything</t>
  </si>
  <si>
    <t>Why might you use this, you may ask?</t>
  </si>
  <si>
    <t>It's a harder answer now we have functions like CHOOSECOLS available to us, but in principle you could use this to extract specific rows or columns of data:</t>
  </si>
  <si>
    <t>Here's the TOCOLS version:</t>
  </si>
  <si>
    <t>We can also use 0 to return the whole input range as an array instead of identifying specific rows and / or columns :</t>
  </si>
  <si>
    <t>You're going to see models, and modellers, using both the static and new dynamic approaches for a while yet, so it's worth remembering both.</t>
  </si>
  <si>
    <t>Additionally, it's worth noting that all of these SUMIFS solutions can be set up with ranged lookup inputs (and spilled array outputs) as well:</t>
  </si>
  <si>
    <t>And here's a more dynamic, "modern Excel" version</t>
  </si>
  <si>
    <t>If you're using what we call "modern Excel", you can actually achieve the same result now with a simple SUM:</t>
  </si>
  <si>
    <t>Put a simple SUM upfront and it'll sum all of those spilled values in the array</t>
  </si>
  <si>
    <t>And don't forget that all of this model timeline logic can be set up more dynamically now with functions like SEQUENCE at our disposal</t>
  </si>
  <si>
    <t>No. of Period</t>
  </si>
  <si>
    <t>Integer</t>
  </si>
  <si>
    <t>The most powerful use of flags is often a simple 1 or 0 when being applied within a formula. This is because multiplying by a 1 returns a value, whilst multiplying by 0 always returns 0</t>
  </si>
  <si>
    <t>Mastering the use of flags in your modelling is one of the most important steps you can make in your modelling career</t>
  </si>
  <si>
    <t>There are many alternative approaches you'll see modellers taking to reach the same outcome here.</t>
  </si>
  <si>
    <t>In modelling, because we should always be thinking of the end user, it is generally accepted that it is better to use 1s and 0s instead of TRUE and FALSE simply because it's easier to understand for most users.</t>
  </si>
  <si>
    <t>Revenue</t>
  </si>
  <si>
    <t>Sarah would like to sum up the total revenue for market days where is was sunny</t>
  </si>
  <si>
    <t>In financial modelling flags are typically used in a single row to indicate whether something is active or inactive (TRUE or FALSE, on or off) across the time period</t>
  </si>
  <si>
    <t>First Period (EoM)</t>
  </si>
  <si>
    <t>In this instance, SEARCH offers a quick, effective alternative:</t>
  </si>
  <si>
    <t>SEARCH also allows us to use wildcards (* and ?), whereas FIND does not:</t>
  </si>
  <si>
    <t>Wildcards:</t>
  </si>
  <si>
    <t>debt*</t>
  </si>
  <si>
    <t>de??ors</t>
  </si>
  <si>
    <t>When we're looking for a single character, the limitations of FIND vs SEARCH do not matter.</t>
  </si>
  <si>
    <t>Descending Order</t>
  </si>
  <si>
    <t>The ROUND, ROUNDUP &amp; ROUNDDOWN Functions</t>
  </si>
  <si>
    <t>Syntax =ROUND(number, num_digits)</t>
  </si>
  <si>
    <t>Syntax =ROUNDDOWN(number, num_digits)</t>
  </si>
  <si>
    <t>number - the number to round</t>
  </si>
  <si>
    <t>number - the number you wish to round down</t>
  </si>
  <si>
    <t>num_digits -  the place at which the number should be rounded down</t>
  </si>
  <si>
    <t>num_digits -  the place at which the number should be rounded</t>
  </si>
  <si>
    <t>Syntax =ROUNDUP(number, num_digits)</t>
  </si>
  <si>
    <t>number - the number you wish to round up</t>
  </si>
  <si>
    <t>num_digits -  the place at which the number should be rounded up</t>
  </si>
  <si>
    <t>We won't dwell on these functions too long as they couldn't really be much clearer</t>
  </si>
  <si>
    <t>ROUND, ROUNDDOWN, and ROUNDUP do exactly what you would expect them to do</t>
  </si>
  <si>
    <t>Using these functions, instead of INT (and potentially TRUNC), offers a simpler solution to the negative values issue highlighted on the last worksheet</t>
  </si>
  <si>
    <t>This training workbook will guide you through a selection of functions we believe you should master, whether you'd like to take part in the Excel Battle Series or to just generally improve your modelling skills.</t>
  </si>
  <si>
    <t>Generally each tab introduces an individual function, providing examples of its use and some exercises for you to work through.</t>
  </si>
  <si>
    <t>For the exercises found on each worksheet, you will be required to enter a formula into blank grey fill cells.</t>
  </si>
  <si>
    <t>In the example above the text string is linked through from another cell. In addition we can identify the number of characters through a cell reference:</t>
  </si>
  <si>
    <t>You will see references to someone called Sarah and her bakery business. This is a fictional business owner we created for much of our training content at Full Stack Modeller. You do not need any wider context about her business to complete the exercises in this model.</t>
  </si>
  <si>
    <t>Note that we are referencing a range in our grey calculation cell above, and returning a dynamic array in this instance</t>
  </si>
  <si>
    <t>In the example above the text string is linked through from another cell. Just as we showed you with LEFT, we can identify the number of characters through a cell reference as well</t>
  </si>
  <si>
    <t>Using the same simple example we saw on the LEFT tab, you'll see that the logic doesn't work so well with RIGHT if we want to extract the day text at the end of the string below, because the number of characters varies:</t>
  </si>
  <si>
    <t>We'll come back to this later…</t>
  </si>
  <si>
    <t>Dec - 839948573 - Shaun H</t>
  </si>
  <si>
    <t>text - The text string to measure the length of (the number of characters)</t>
  </si>
  <si>
    <t>The challenge here is that the day text string length is not consistent.</t>
  </si>
  <si>
    <t>A useful first step in helping us solve this problem is simply using LEN to calculate the total text string length:</t>
  </si>
  <si>
    <t>Syntax =FIND(find_text, within_text, [start_num])</t>
  </si>
  <si>
    <t>find_text - The test string (or individual character) to find</t>
  </si>
  <si>
    <t>[start_num] - The starting position in the text string to search from</t>
  </si>
  <si>
    <t>The FIND function is case sensitive. SEARCH, which we'll mention below, is case sensitive, which makes it worth remembering alongside FIND.</t>
  </si>
  <si>
    <t>As you can see, SEARCH works in this instance where FIND does not</t>
  </si>
  <si>
    <t>It's also possible to simply return the position of an individual character. In the example below, we're returning the position of the "-" character only:</t>
  </si>
  <si>
    <t>Note that this formula would work without the starting position number in this example, as it defaults to starting at the beginning of the text string.</t>
  </si>
  <si>
    <t>What you may have noticed is that the starting position does very little in the example above (unless you enter a number greater than 26).</t>
  </si>
  <si>
    <t>Because of this, we can use the "_" character as part of our FIND logic:</t>
  </si>
  <si>
    <t>We use FIND and LEFT to extract all of the characters to the left of the "_" character</t>
  </si>
  <si>
    <t>The first element of the MID function identifies the text string, the second part (after the first comma) identifies the starting position (the number of characters from the left),</t>
  </si>
  <si>
    <t>In the example above, the text string is linked through from another cell. In addition we can identify the starting position and the number of characters to extract through a cell reference:</t>
  </si>
  <si>
    <t>This isn't a fully dynamic solution, and it only works like this if we are absolutely certain the structure of the data will never change significantly</t>
  </si>
  <si>
    <t>You'll see this approach being used in the exercise solution below - we just wanted to highlight this here for now</t>
  </si>
  <si>
    <t>Let's imagine the number below is a log of individual moves made by a player on a board game, using one die:</t>
  </si>
  <si>
    <t>Those of you familiar with TEXTJOIN will know that we could then rejoin this sequence back into one cell with new delimiters (if we wanted to):</t>
  </si>
  <si>
    <t>Step 1: Find location of the character after the first "###"</t>
  </si>
  <si>
    <t>Please extract the individual elements from the text below using only the text functions we have covered so far in this workbook:</t>
  </si>
  <si>
    <t>Please extract the account number and description from the text below using only the text functions we have covered so far in this workbook:</t>
  </si>
  <si>
    <t>You may have noticed that we didn't generate all of the output results in the example above from one cell this time (which is why we have four grey fill cells)</t>
  </si>
  <si>
    <t>From there we can then use TEXTSPLIT on this new consolidated text string, and use both the row and column delimiter parameters to split the text out as we originally desired.</t>
  </si>
  <si>
    <t>A successful workaround, but equally we could just stick to the alternative solution we showed you at the top of this tab and copy paste multiple individual cell formulas using TEXTSPLIT</t>
  </si>
  <si>
    <t>In the example below, you'll see two "-" back to back. This leaves an empty space (cell highlighted in red fill) which has to be dealt with when you use TEXTSPLIT</t>
  </si>
  <si>
    <t>This could also be achieved by entering FALSE in the [ignore_empty] control</t>
  </si>
  <si>
    <t>By this we mean that Excel expects the output shape of an array input to match that of the input array.</t>
  </si>
  <si>
    <t>row_delimIter - the character or characters to delimit rows (optional)</t>
  </si>
  <si>
    <t>And finally, just as we saw with TEXTSPLIT, we can use curly brackets to include multiple delimiters at once</t>
  </si>
  <si>
    <t>TEXTBEFORE can also extract text that occurs before a given delimiter when counting from the end of a text string (i.e., get the text before the second to last delimiter).</t>
  </si>
  <si>
    <t>TEXTBEFORE takes six arguments, but only the first two are required for the function to work: "text" provides the text to process, and "delimiter" is the substring used to split the text.</t>
  </si>
  <si>
    <t>In cases where multiple delimiters appear in the text, TEXTAFTER can return text after the nth occurrence of the delimiter.</t>
  </si>
  <si>
    <t>TEXTAFTER takes six arguments, but only the first two are required for the function to work: "text" provides the text to process, and "delimiter" is the substring used to split the text.</t>
  </si>
  <si>
    <t>Why? Because the input array (range) and output array will always be the same shape (we don't lose any data we don't want to lose)</t>
  </si>
  <si>
    <t xml:space="preserve">We can use negative instance numbers to count delimiters backwards (from the end of the text string) </t>
  </si>
  <si>
    <t>In this formula, we're looking for the first instance of any of the delimiters listed, working backwards from the end of the text string</t>
  </si>
  <si>
    <t>You can lean on other functions to resolve any other capitalisation issues ("Richard" vs "richard")</t>
  </si>
  <si>
    <t>The XLOOKUP function only works with a 365 licence and with Excel 2021. This raises a significant compatibility risk which you must consider if you intend to share your modelling work with other stakeholders.</t>
  </si>
  <si>
    <t>In our opinion this is a much improved method for mapping tables of data, with the one (significant) caveat of compatibility risk.</t>
  </si>
  <si>
    <t>Note: We have made every effort possible to remove typos and other minor errors. However, this is a big workbook, and there's every chance we've missed one somewhere!</t>
  </si>
  <si>
    <t>If you do spot something that looks wrong, please email Giles at giles@fullstackmodeller.com or contact him on LinkedIn to let him know.</t>
  </si>
  <si>
    <t>We will continue to offer this workbook for free via a shared drive link, and we'll ensure it's updated regularly with any fixes.</t>
  </si>
  <si>
    <t>Enjoy!</t>
  </si>
  <si>
    <t>Version Log</t>
  </si>
  <si>
    <t>Version Number</t>
  </si>
  <si>
    <t>Change Description</t>
  </si>
  <si>
    <t>9th January 2024</t>
  </si>
  <si>
    <t>In most instances a simple one way INDEX MATCH is sufficient to solve a problem. But if you do need to dynamically reference both rows and columns then INDEX MATCH MATCH offers a way forward for you.</t>
  </si>
  <si>
    <t>Note: this is exactly what the nested XLOOKUP allowed us to do. It's still good to know INDEX MATCH though as you will, for some time yet we suspect, face issues of backwards compatibility (people you deal with have old versions of Excel that don't recognise XLOOKUP)</t>
  </si>
  <si>
    <t>This is the chosen criteria for the third range you want to base your count calculation on. In this case this is month entered into cell D135</t>
  </si>
  <si>
    <t>Note: both of the examples above can also now be calculated with a simple SUM:</t>
  </si>
  <si>
    <t>Or they could just use some of the functions on the next worksheet instead! But let's stick with INT for now…</t>
  </si>
  <si>
    <t>The YEARFRAC function used above simply converts the time difference between two dates into a decimal number</t>
  </si>
  <si>
    <t>A flag is a value in a cell that indicates a simple, binary outcome</t>
  </si>
  <si>
    <t>They are typically represented as TRUE or FALSE, 1 or 0, "On" or "Off", or "Yes" or "No" (often depending on modeller preference)</t>
  </si>
  <si>
    <t>The key point is that you understand the power of being able to create 1 and 0 flags, and you can use them effectively in your modelling logic.</t>
  </si>
  <si>
    <t>But it's more than that. The logical challenges you'll face in these battles will expose you to data, data structures, and logical challenges that you may never deal with in a traditional finance or modelling role</t>
  </si>
  <si>
    <t>What is the count of each suit in the board position referenced below plus those cells directly surrounding them (including diagonals):</t>
  </si>
  <si>
    <t>Take a moment to look at the ranges we're setting up in the formulas within the grey cells above.</t>
  </si>
  <si>
    <t>Note: we can count symbols / emojis just like we would a letter or number.</t>
  </si>
  <si>
    <t>What if round 2 in the battle asked us to convert these cell positions (let's say the player "lands" on B4, E7 and H1 during the game) into points, based on the suit &amp; points key presented above</t>
  </si>
  <si>
    <t>You'll have to add the points from the suit of the cell landed on plus the points from the suits of all surrounding cells (the same logic as in round 1)</t>
  </si>
  <si>
    <t>Assume the scoring remains the same: it's the sum of the suit the player lands on plus the points from all surrounding boards spaces based on the first board grid we showed above.</t>
  </si>
  <si>
    <t>Some Specific Battle Ideas To Round This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</si>
</sst>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_-&quot;£&quot;* #,##0.00_-;\-&quot;£&quot;* #,##0.00_-;_-&quot;£&quot;* &quot;-&quot;??_-;_-@_-"/>
    <numFmt numFmtId="165" formatCode="_-* #,##0.00_-;\-* #,##0.00_-;_-* &quot;-&quot;??_-;_-@_-"/>
    <numFmt numFmtId="166" formatCode="_-* #,##0_-;\-* #,##0_-;_-* &quot;-&quot;??_-;_-@_-"/>
    <numFmt numFmtId="167" formatCode="##,##0_-;[Red]\(##,##0\);\-_;\ "/>
    <numFmt numFmtId="168" formatCode="#,##0_);\(#,##0\);&quot;-  &quot;;&quot; &quot;@&quot; &quot;"/>
    <numFmt numFmtId="169" formatCode="0.00%_);\-0.00%_);&quot;-  &quot;;&quot; &quot;@&quot; &quot;"/>
    <numFmt numFmtId="170" formatCode="#,##0.0000_);\(#,##0.0000\);&quot;-  &quot;;&quot; &quot;@&quot; &quot;"/>
    <numFmt numFmtId="171" formatCode="dd\ mmm\ yyyy_);\(###0\);&quot;-  &quot;;&quot; &quot;@&quot; &quot;"/>
    <numFmt numFmtId="172" formatCode="dd\ mmm\ yy_);\(###0\);&quot;-  &quot;;&quot; &quot;@&quot; &quot;"/>
    <numFmt numFmtId="173" formatCode="###0_);\(###0\);&quot;-  &quot;;&quot; &quot;@&quot; &quot;"/>
    <numFmt numFmtId="174" formatCode="&quot;£&quot;#,##0"/>
    <numFmt numFmtId="175" formatCode="&quot;£&quot;#,##0.00"/>
    <numFmt numFmtId="176" formatCode="##,##0.000_-;[Red]\(##,##0.000\);\-_;\ "/>
    <numFmt numFmtId="177" formatCode="0.000"/>
    <numFmt numFmtId="178" formatCode="##,##0.00_-;[Red]\(##,##0.00\);\-_;\ "/>
    <numFmt numFmtId="179" formatCode="dd\ mmm\ yy_);;&quot;-  &quot;;&quot; &quot;@"/>
  </numFmts>
  <fonts count="50" x14ac:knownFonts="1">
    <font>
      <sz val="10"/>
      <name val="Arial"/>
    </font>
    <font>
      <sz val="10"/>
      <name val="Arial"/>
      <family val="2"/>
    </font>
    <font>
      <sz val="8"/>
      <name val="Arial"/>
      <family val="2"/>
    </font>
    <font>
      <sz val="11"/>
      <color theme="1"/>
      <name val="Calibri"/>
      <family val="2"/>
      <scheme val="minor"/>
    </font>
    <font>
      <sz val="8"/>
      <color theme="1"/>
      <name val="Tahoma"/>
      <family val="2"/>
    </font>
    <font>
      <b/>
      <sz val="20"/>
      <color theme="3" tint="-0.499984740745262"/>
      <name val="Calibri"/>
      <family val="2"/>
      <scheme val="minor"/>
    </font>
    <font>
      <sz val="10"/>
      <name val="Arial"/>
      <family val="2"/>
    </font>
    <font>
      <b/>
      <sz val="12"/>
      <color theme="0"/>
      <name val="Arial Narrow"/>
      <family val="2"/>
    </font>
    <font>
      <b/>
      <sz val="18"/>
      <color theme="0"/>
      <name val="Arial Black"/>
      <family val="2"/>
    </font>
    <font>
      <b/>
      <sz val="13"/>
      <color theme="0"/>
      <name val="Arial Narrow"/>
      <family val="2"/>
    </font>
    <font>
      <sz val="13"/>
      <color theme="0"/>
      <name val="Arial Narrow"/>
      <family val="2"/>
    </font>
    <font>
      <sz val="13"/>
      <name val="Arial Narrow"/>
      <family val="2"/>
    </font>
    <font>
      <sz val="13"/>
      <color theme="1"/>
      <name val="Arial Narrow"/>
      <family val="2"/>
    </font>
    <font>
      <b/>
      <sz val="13"/>
      <name val="Arial Narrow"/>
      <family val="2"/>
    </font>
    <font>
      <b/>
      <sz val="13"/>
      <color rgb="FF002060"/>
      <name val="Arial Narrow"/>
      <family val="2"/>
    </font>
    <font>
      <b/>
      <u/>
      <sz val="13"/>
      <name val="Arial Narrow"/>
      <family val="2"/>
    </font>
    <font>
      <b/>
      <sz val="14"/>
      <color theme="0"/>
      <name val="Arial Black"/>
      <family val="2"/>
    </font>
    <font>
      <b/>
      <sz val="14"/>
      <color rgb="FF28385E"/>
      <name val="Arial Black"/>
      <family val="2"/>
    </font>
    <font>
      <sz val="10"/>
      <name val="Arial"/>
      <family val="2"/>
    </font>
    <font>
      <sz val="10"/>
      <color theme="1"/>
      <name val="Arial"/>
      <family val="2"/>
    </font>
    <font>
      <sz val="12"/>
      <color theme="0"/>
      <name val="Arial Narrow"/>
      <family val="2"/>
    </font>
    <font>
      <sz val="13"/>
      <color rgb="FF000000"/>
      <name val="Arial Narrow"/>
      <family val="2"/>
    </font>
    <font>
      <b/>
      <sz val="13"/>
      <color rgb="FF000000"/>
      <name val="Arial Narrow"/>
      <family val="2"/>
    </font>
    <font>
      <b/>
      <sz val="11.7"/>
      <color theme="1"/>
      <name val="Arial Narrow"/>
      <family val="2"/>
    </font>
    <font>
      <b/>
      <sz val="13"/>
      <color theme="1"/>
      <name val="Arial Narrow"/>
      <family val="2"/>
    </font>
    <font>
      <sz val="10"/>
      <name val="Arial Narrow"/>
      <family val="2"/>
    </font>
    <font>
      <u/>
      <sz val="13"/>
      <name val="Arial Narrow"/>
      <family val="2"/>
    </font>
    <font>
      <b/>
      <i/>
      <sz val="13"/>
      <name val="Arial Narrow"/>
      <family val="2"/>
    </font>
    <font>
      <b/>
      <sz val="9"/>
      <color indexed="81"/>
      <name val="Tahoma"/>
      <family val="2"/>
    </font>
    <font>
      <b/>
      <sz val="9"/>
      <color rgb="FF000000"/>
      <name val="Tahoma"/>
      <family val="2"/>
    </font>
    <font>
      <b/>
      <sz val="11.7"/>
      <name val="Arial Narrow"/>
      <family val="2"/>
    </font>
    <font>
      <i/>
      <sz val="13"/>
      <name val="Arial Narrow"/>
      <family val="2"/>
    </font>
    <font>
      <sz val="13"/>
      <color indexed="12"/>
      <name val="Arial Narrow"/>
      <family val="2"/>
    </font>
    <font>
      <b/>
      <sz val="13"/>
      <color rgb="FF28385E"/>
      <name val="Arial Narrow"/>
      <family val="2"/>
    </font>
    <font>
      <b/>
      <u/>
      <sz val="13"/>
      <color theme="1"/>
      <name val="Arial Narrow"/>
      <family val="2"/>
    </font>
    <font>
      <u/>
      <sz val="13"/>
      <color theme="1"/>
      <name val="Arial Narrow"/>
      <family val="2"/>
    </font>
    <font>
      <i/>
      <sz val="13"/>
      <color theme="1"/>
      <name val="Arial Narrow"/>
      <family val="2"/>
    </font>
    <font>
      <sz val="10"/>
      <name val="Arial Black"/>
      <family val="2"/>
    </font>
    <font>
      <sz val="10"/>
      <color rgb="FF28385E"/>
      <name val="Arial Black"/>
      <family val="2"/>
    </font>
    <font>
      <b/>
      <sz val="14"/>
      <color rgb="FF002060"/>
      <name val="Arial"/>
      <family val="2"/>
    </font>
    <font>
      <b/>
      <u/>
      <sz val="10"/>
      <name val="Arial"/>
      <family val="2"/>
    </font>
    <font>
      <sz val="13"/>
      <name val="Arial"/>
      <family val="2"/>
    </font>
    <font>
      <b/>
      <sz val="13"/>
      <name val="Arial"/>
      <family val="2"/>
    </font>
    <font>
      <i/>
      <sz val="13"/>
      <name val="Arial"/>
      <family val="2"/>
    </font>
    <font>
      <sz val="14"/>
      <name val="Arial Narrow"/>
      <family val="2"/>
    </font>
    <font>
      <sz val="16"/>
      <name val="Arial Narrow"/>
      <family val="2"/>
    </font>
    <font>
      <sz val="20"/>
      <name val="Arial Narrow"/>
      <family val="2"/>
    </font>
    <font>
      <sz val="22"/>
      <name val="Arial Narrow"/>
      <family val="2"/>
    </font>
    <font>
      <sz val="22"/>
      <color rgb="FFFF0000"/>
      <name val="Arial Narrow"/>
      <family val="2"/>
    </font>
    <font>
      <b/>
      <sz val="14"/>
      <name val="Arial Narrow"/>
      <family val="2"/>
    </font>
  </fonts>
  <fills count="15">
    <fill>
      <patternFill patternType="none"/>
    </fill>
    <fill>
      <patternFill patternType="gray125"/>
    </fill>
    <fill>
      <patternFill patternType="solid">
        <fgColor rgb="FFFFFFAF"/>
        <bgColor indexed="64"/>
      </patternFill>
    </fill>
    <fill>
      <patternFill patternType="solid">
        <fgColor rgb="FFD9D9D9"/>
        <bgColor indexed="64"/>
      </patternFill>
    </fill>
    <fill>
      <patternFill patternType="solid">
        <fgColor rgb="FF28385E"/>
        <bgColor indexed="64"/>
      </patternFill>
    </fill>
    <fill>
      <patternFill patternType="solid">
        <fgColor rgb="FFE3B142"/>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rgb="FFFFFFAF"/>
        <bgColor theme="4" tint="0.79998168889431442"/>
      </patternFill>
    </fill>
    <fill>
      <patternFill patternType="solid">
        <fgColor rgb="FFFFFF99"/>
        <bgColor indexed="64"/>
      </patternFill>
    </fill>
    <fill>
      <patternFill patternType="solid">
        <fgColor rgb="FFE6E6E6"/>
        <bgColor indexed="64"/>
      </patternFill>
    </fill>
    <fill>
      <patternFill patternType="solid">
        <fgColor rgb="FFFFFF00"/>
        <bgColor indexed="64"/>
      </patternFill>
    </fill>
    <fill>
      <patternFill patternType="solid">
        <fgColor rgb="FFF15555"/>
        <bgColor indexed="64"/>
      </patternFill>
    </fill>
    <fill>
      <patternFill patternType="solid">
        <fgColor rgb="FFFFFF66"/>
        <bgColor indexed="64"/>
      </patternFill>
    </fill>
    <fill>
      <patternFill patternType="solid">
        <fgColor theme="6" tint="0.79998168889431442"/>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theme="0" tint="-0.24994659260841701"/>
      </left>
      <right/>
      <top style="thin">
        <color theme="0" tint="-0.24994659260841701"/>
      </top>
      <bottom style="thin">
        <color theme="0" tint="-0.24994659260841701"/>
      </bottom>
      <diagonal/>
    </border>
    <border>
      <left style="hair">
        <color indexed="64"/>
      </left>
      <right style="hair">
        <color indexed="64"/>
      </right>
      <top style="hair">
        <color indexed="64"/>
      </top>
      <bottom/>
      <diagonal/>
    </border>
    <border>
      <left style="medium">
        <color indexed="64"/>
      </left>
      <right style="medium">
        <color indexed="64"/>
      </right>
      <top style="medium">
        <color indexed="64"/>
      </top>
      <bottom style="medium">
        <color indexed="64"/>
      </bottom>
      <diagonal/>
    </border>
    <border>
      <left/>
      <right style="thin">
        <color theme="0" tint="-0.24994659260841701"/>
      </right>
      <top style="thin">
        <color theme="0" tint="-0.24994659260841701"/>
      </top>
      <bottom style="thin">
        <color theme="0" tint="-0.24994659260841701"/>
      </bottom>
      <diagonal/>
    </border>
    <border>
      <left style="thin">
        <color indexed="64"/>
      </left>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style="thin">
        <color theme="0" tint="-0.249977111117893"/>
      </left>
      <right style="thin">
        <color indexed="64"/>
      </right>
      <top style="thin">
        <color theme="0" tint="-0.249977111117893"/>
      </top>
      <bottom/>
      <diagonal/>
    </border>
    <border>
      <left/>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style="thin">
        <color indexed="64"/>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indexed="64"/>
      </right>
      <top/>
      <bottom/>
      <diagonal/>
    </border>
    <border>
      <left/>
      <right style="thin">
        <color theme="0" tint="-0.249977111117893"/>
      </right>
      <top/>
      <bottom/>
      <diagonal/>
    </border>
    <border>
      <left style="thin">
        <color theme="0" tint="-0.249977111117893"/>
      </left>
      <right style="thin">
        <color indexed="64"/>
      </right>
      <top/>
      <bottom style="thin">
        <color theme="0" tint="-0.249977111117893"/>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right/>
      <top/>
      <bottom style="hair">
        <color indexed="64"/>
      </bottom>
      <diagonal/>
    </border>
    <border>
      <left/>
      <right style="hair">
        <color indexed="64"/>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15">
    <xf numFmtId="168" fontId="0" fillId="0" borderId="0" applyFont="0" applyFill="0" applyBorder="0" applyProtection="0">
      <alignment vertical="top"/>
    </xf>
    <xf numFmtId="165" fontId="1" fillId="0" borderId="0" applyFont="0" applyFill="0" applyBorder="0" applyAlignment="0" applyProtection="0"/>
    <xf numFmtId="165" fontId="4" fillId="0" borderId="0" applyFont="0" applyFill="0" applyBorder="0" applyAlignment="0" applyProtection="0"/>
    <xf numFmtId="0" fontId="1" fillId="0" borderId="0"/>
    <xf numFmtId="0" fontId="4" fillId="0" borderId="0"/>
    <xf numFmtId="0" fontId="3" fillId="0" borderId="0"/>
    <xf numFmtId="169" fontId="6" fillId="0" borderId="0" applyFont="0" applyFill="0" applyBorder="0" applyProtection="0">
      <alignment vertical="top"/>
    </xf>
    <xf numFmtId="170" fontId="6" fillId="0" borderId="0" applyFont="0" applyFill="0" applyBorder="0" applyProtection="0">
      <alignment vertical="top"/>
    </xf>
    <xf numFmtId="171" fontId="6" fillId="0" borderId="0" applyFont="0" applyFill="0" applyBorder="0" applyProtection="0">
      <alignment vertical="top"/>
    </xf>
    <xf numFmtId="172" fontId="6" fillId="0" borderId="0" applyFont="0" applyFill="0" applyBorder="0" applyProtection="0">
      <alignment vertical="top"/>
    </xf>
    <xf numFmtId="173" fontId="6" fillId="0" borderId="0" applyFont="0" applyFill="0" applyBorder="0" applyProtection="0">
      <alignment vertical="top"/>
    </xf>
    <xf numFmtId="164" fontId="18" fillId="0" borderId="0" applyFont="0" applyFill="0" applyBorder="0" applyAlignment="0" applyProtection="0"/>
    <xf numFmtId="0" fontId="19" fillId="0" borderId="0"/>
    <xf numFmtId="164" fontId="1" fillId="0" borderId="0" applyFont="0" applyFill="0" applyBorder="0" applyAlignment="0" applyProtection="0"/>
    <xf numFmtId="179" fontId="1" fillId="0" borderId="0" applyFont="0" applyFill="0" applyBorder="0" applyProtection="0">
      <alignment vertical="top"/>
    </xf>
  </cellStyleXfs>
  <cellXfs count="242">
    <xf numFmtId="168" fontId="0" fillId="0" borderId="0" xfId="0">
      <alignment vertical="top"/>
    </xf>
    <xf numFmtId="0" fontId="5" fillId="0" borderId="0" xfId="4" applyFont="1"/>
    <xf numFmtId="168" fontId="7" fillId="4" borderId="0" xfId="0" applyFont="1" applyFill="1" applyAlignment="1"/>
    <xf numFmtId="168" fontId="8" fillId="4" borderId="0" xfId="0" applyFont="1" applyFill="1" applyAlignment="1">
      <alignment vertical="center"/>
    </xf>
    <xf numFmtId="168" fontId="9" fillId="4" borderId="0" xfId="0" applyFont="1" applyFill="1" applyAlignment="1"/>
    <xf numFmtId="168" fontId="0" fillId="0" borderId="0" xfId="0" applyAlignment="1"/>
    <xf numFmtId="168" fontId="11" fillId="0" borderId="0" xfId="0" applyFont="1" applyAlignment="1">
      <alignment vertical="center"/>
    </xf>
    <xf numFmtId="168" fontId="11" fillId="0" borderId="0" xfId="0" applyFont="1">
      <alignment vertical="top"/>
    </xf>
    <xf numFmtId="168" fontId="12" fillId="2" borderId="4" xfId="0" applyFont="1" applyFill="1" applyBorder="1">
      <alignment vertical="top"/>
    </xf>
    <xf numFmtId="168" fontId="11" fillId="0" borderId="0" xfId="0" applyFont="1" applyAlignment="1">
      <alignment horizontal="left" indent="1"/>
    </xf>
    <xf numFmtId="168" fontId="11" fillId="3" borderId="3" xfId="0" applyFont="1" applyFill="1" applyBorder="1">
      <alignment vertical="top"/>
    </xf>
    <xf numFmtId="166" fontId="12" fillId="2" borderId="2" xfId="1" applyNumberFormat="1" applyFont="1" applyFill="1" applyBorder="1"/>
    <xf numFmtId="0" fontId="11" fillId="0" borderId="0" xfId="0" applyNumberFormat="1" applyFont="1" applyAlignment="1">
      <alignment horizontal="left" vertical="center"/>
    </xf>
    <xf numFmtId="168" fontId="16" fillId="5" borderId="0" xfId="0" applyFont="1" applyFill="1" applyAlignment="1"/>
    <xf numFmtId="168" fontId="17" fillId="0" borderId="0" xfId="0" applyFont="1" applyAlignment="1"/>
    <xf numFmtId="168" fontId="11" fillId="0" borderId="0" xfId="0" applyFont="1" applyAlignment="1"/>
    <xf numFmtId="168" fontId="17" fillId="0" borderId="0" xfId="0" applyFont="1" applyAlignment="1">
      <alignment horizontal="left" indent="14"/>
    </xf>
    <xf numFmtId="168" fontId="14" fillId="0" borderId="0" xfId="0" applyFont="1" applyAlignment="1"/>
    <xf numFmtId="168" fontId="20" fillId="5" borderId="0" xfId="0" applyFont="1" applyFill="1" applyAlignment="1"/>
    <xf numFmtId="168" fontId="10" fillId="5" borderId="0" xfId="0" applyFont="1" applyFill="1" applyAlignment="1"/>
    <xf numFmtId="0" fontId="11" fillId="0" borderId="0" xfId="3" applyFont="1" applyAlignment="1">
      <alignment vertical="center"/>
    </xf>
    <xf numFmtId="0" fontId="11" fillId="0" borderId="0" xfId="3" applyFont="1"/>
    <xf numFmtId="168" fontId="9" fillId="4" borderId="7" xfId="0" applyFont="1" applyFill="1" applyBorder="1" applyAlignment="1"/>
    <xf numFmtId="0" fontId="21" fillId="2" borderId="2" xfId="12" applyFont="1" applyFill="1" applyBorder="1" applyProtection="1">
      <protection locked="0"/>
    </xf>
    <xf numFmtId="164" fontId="21" fillId="2" borderId="2" xfId="11" applyFont="1" applyFill="1" applyBorder="1" applyProtection="1">
      <protection locked="0"/>
    </xf>
    <xf numFmtId="0" fontId="22" fillId="2" borderId="2" xfId="3" applyFont="1" applyFill="1" applyBorder="1" applyProtection="1">
      <protection locked="0"/>
    </xf>
    <xf numFmtId="164" fontId="11" fillId="3" borderId="3" xfId="11" applyFont="1" applyFill="1" applyBorder="1"/>
    <xf numFmtId="0" fontId="12" fillId="0" borderId="0" xfId="12" applyFont="1"/>
    <xf numFmtId="168" fontId="15" fillId="0" borderId="0" xfId="0" applyFont="1" applyAlignment="1"/>
    <xf numFmtId="0" fontId="11" fillId="0" borderId="0" xfId="3" applyFont="1" applyAlignment="1">
      <alignment horizontal="left" indent="2"/>
    </xf>
    <xf numFmtId="0" fontId="21" fillId="0" borderId="2" xfId="12" applyFont="1" applyBorder="1" applyAlignment="1" applyProtection="1">
      <alignment horizontal="left" wrapText="1"/>
      <protection locked="0"/>
    </xf>
    <xf numFmtId="0" fontId="21" fillId="0" borderId="2" xfId="12" applyFont="1" applyBorder="1" applyAlignment="1" applyProtection="1">
      <alignment horizontal="right" wrapText="1"/>
      <protection locked="0"/>
    </xf>
    <xf numFmtId="0" fontId="15" fillId="0" borderId="0" xfId="3" applyFont="1"/>
    <xf numFmtId="0" fontId="21" fillId="2" borderId="2" xfId="3" applyFont="1" applyFill="1" applyBorder="1" applyProtection="1">
      <protection locked="0"/>
    </xf>
    <xf numFmtId="0" fontId="21" fillId="2" borderId="2" xfId="3" quotePrefix="1" applyFont="1" applyFill="1" applyBorder="1" applyProtection="1">
      <protection locked="0"/>
    </xf>
    <xf numFmtId="166" fontId="21" fillId="2" borderId="2" xfId="1" applyNumberFormat="1" applyFont="1" applyFill="1" applyBorder="1" applyProtection="1">
      <protection locked="0"/>
    </xf>
    <xf numFmtId="166" fontId="11" fillId="3" borderId="3" xfId="1" applyNumberFormat="1" applyFont="1" applyFill="1" applyBorder="1"/>
    <xf numFmtId="0" fontId="13" fillId="0" borderId="0" xfId="3" applyFont="1"/>
    <xf numFmtId="168" fontId="25" fillId="0" borderId="0" xfId="0" applyFont="1" applyAlignment="1">
      <alignment vertical="center"/>
    </xf>
    <xf numFmtId="168" fontId="25" fillId="0" borderId="0" xfId="0" applyFont="1" applyAlignment="1"/>
    <xf numFmtId="0" fontId="21" fillId="2" borderId="8" xfId="3" applyFont="1" applyFill="1" applyBorder="1" applyProtection="1">
      <protection locked="0"/>
    </xf>
    <xf numFmtId="168" fontId="13" fillId="0" borderId="0" xfId="0" applyFont="1" applyAlignment="1"/>
    <xf numFmtId="14" fontId="21" fillId="2" borderId="2" xfId="0" applyNumberFormat="1" applyFont="1" applyFill="1" applyBorder="1" applyAlignment="1" applyProtection="1">
      <protection locked="0"/>
    </xf>
    <xf numFmtId="168" fontId="21" fillId="2" borderId="2" xfId="0" applyFont="1" applyFill="1" applyBorder="1" applyAlignment="1" applyProtection="1">
      <protection locked="0"/>
    </xf>
    <xf numFmtId="168" fontId="21" fillId="2" borderId="8" xfId="0" applyFont="1" applyFill="1" applyBorder="1" applyAlignment="1" applyProtection="1">
      <protection locked="0"/>
    </xf>
    <xf numFmtId="2" fontId="11" fillId="3" borderId="3" xfId="0" applyNumberFormat="1" applyFont="1" applyFill="1" applyBorder="1" applyAlignment="1"/>
    <xf numFmtId="164" fontId="11" fillId="0" borderId="3" xfId="11" applyFont="1" applyFill="1" applyBorder="1" applyProtection="1"/>
    <xf numFmtId="164" fontId="11" fillId="3" borderId="3" xfId="11" applyFont="1" applyFill="1" applyBorder="1" applyProtection="1"/>
    <xf numFmtId="168" fontId="11" fillId="3" borderId="3" xfId="0" applyFont="1" applyFill="1" applyBorder="1" applyAlignment="1"/>
    <xf numFmtId="0" fontId="7" fillId="4" borderId="0" xfId="3" applyFont="1" applyFill="1"/>
    <xf numFmtId="0" fontId="8" fillId="4" borderId="0" xfId="3" applyFont="1" applyFill="1" applyAlignment="1">
      <alignment vertical="center"/>
    </xf>
    <xf numFmtId="0" fontId="9" fillId="4" borderId="0" xfId="3" applyFont="1" applyFill="1"/>
    <xf numFmtId="0" fontId="1" fillId="0" borderId="0" xfId="3"/>
    <xf numFmtId="0" fontId="17" fillId="0" borderId="0" xfId="3" applyFont="1"/>
    <xf numFmtId="0" fontId="14" fillId="0" borderId="0" xfId="3" applyFont="1"/>
    <xf numFmtId="0" fontId="20" fillId="5" borderId="0" xfId="3" applyFont="1" applyFill="1"/>
    <xf numFmtId="0" fontId="16" fillId="5" borderId="0" xfId="3" applyFont="1" applyFill="1"/>
    <xf numFmtId="0" fontId="10" fillId="5" borderId="0" xfId="3" applyFont="1" applyFill="1"/>
    <xf numFmtId="0" fontId="9" fillId="4" borderId="7" xfId="3" applyFont="1" applyFill="1" applyBorder="1"/>
    <xf numFmtId="164" fontId="21" fillId="2" borderId="2" xfId="13" applyFont="1" applyFill="1" applyBorder="1" applyProtection="1">
      <protection locked="0"/>
    </xf>
    <xf numFmtId="0" fontId="26" fillId="0" borderId="0" xfId="3" applyFont="1"/>
    <xf numFmtId="0" fontId="11" fillId="3" borderId="3" xfId="3" applyFont="1" applyFill="1" applyBorder="1"/>
    <xf numFmtId="0" fontId="9" fillId="4" borderId="6" xfId="3" applyFont="1" applyFill="1" applyBorder="1"/>
    <xf numFmtId="164" fontId="11" fillId="3" borderId="3" xfId="13" applyFont="1" applyFill="1" applyBorder="1"/>
    <xf numFmtId="0" fontId="13" fillId="6" borderId="9" xfId="3" applyFont="1" applyFill="1" applyBorder="1" applyAlignment="1">
      <alignment horizontal="center"/>
    </xf>
    <xf numFmtId="0" fontId="11" fillId="2" borderId="2" xfId="3" applyFont="1" applyFill="1" applyBorder="1" applyAlignment="1">
      <alignment horizontal="center"/>
    </xf>
    <xf numFmtId="174" fontId="11" fillId="2" borderId="2" xfId="13" applyNumberFormat="1" applyFont="1" applyFill="1" applyBorder="1" applyAlignment="1">
      <alignment horizontal="center"/>
    </xf>
    <xf numFmtId="0" fontId="11" fillId="3" borderId="3" xfId="3" applyFont="1" applyFill="1" applyBorder="1" applyAlignment="1">
      <alignment horizontal="center"/>
    </xf>
    <xf numFmtId="174" fontId="11" fillId="3" borderId="3" xfId="13" applyNumberFormat="1" applyFont="1" applyFill="1" applyBorder="1" applyAlignment="1">
      <alignment horizontal="center"/>
    </xf>
    <xf numFmtId="17" fontId="11" fillId="2" borderId="2" xfId="3" applyNumberFormat="1" applyFont="1" applyFill="1" applyBorder="1"/>
    <xf numFmtId="17" fontId="11" fillId="3" borderId="3" xfId="3" applyNumberFormat="1" applyFont="1" applyFill="1" applyBorder="1"/>
    <xf numFmtId="0" fontId="11" fillId="2" borderId="2" xfId="3" applyFont="1" applyFill="1" applyBorder="1"/>
    <xf numFmtId="0" fontId="21" fillId="2" borderId="4" xfId="3" applyFont="1" applyFill="1" applyBorder="1" applyProtection="1">
      <protection locked="0"/>
    </xf>
    <xf numFmtId="0" fontId="11" fillId="3" borderId="3" xfId="3" applyFont="1" applyFill="1" applyBorder="1" applyAlignment="1">
      <alignment horizontal="right"/>
    </xf>
    <xf numFmtId="0" fontId="9" fillId="4" borderId="1" xfId="3" applyFont="1" applyFill="1" applyBorder="1"/>
    <xf numFmtId="0" fontId="11" fillId="7" borderId="0" xfId="3" applyFont="1" applyFill="1" applyAlignment="1">
      <alignment horizontal="center"/>
    </xf>
    <xf numFmtId="14" fontId="21" fillId="2" borderId="2" xfId="3" applyNumberFormat="1" applyFont="1" applyFill="1" applyBorder="1" applyProtection="1">
      <protection locked="0"/>
    </xf>
    <xf numFmtId="164" fontId="11" fillId="3" borderId="3" xfId="13" applyFont="1" applyFill="1" applyBorder="1" applyProtection="1"/>
    <xf numFmtId="0" fontId="11" fillId="0" borderId="0" xfId="3" applyFont="1" applyAlignment="1">
      <alignment horizontal="center"/>
    </xf>
    <xf numFmtId="167" fontId="21" fillId="2" borderId="2" xfId="3" applyNumberFormat="1" applyFont="1" applyFill="1" applyBorder="1" applyProtection="1">
      <protection locked="0"/>
    </xf>
    <xf numFmtId="0" fontId="11" fillId="3" borderId="3" xfId="3" quotePrefix="1" applyFont="1" applyFill="1" applyBorder="1"/>
    <xf numFmtId="0" fontId="21" fillId="2" borderId="10" xfId="3" applyFont="1" applyFill="1" applyBorder="1" applyProtection="1">
      <protection locked="0"/>
    </xf>
    <xf numFmtId="0" fontId="21" fillId="2" borderId="5" xfId="3" applyFont="1" applyFill="1" applyBorder="1" applyProtection="1">
      <protection locked="0"/>
    </xf>
    <xf numFmtId="0" fontId="11" fillId="0" borderId="0" xfId="3" quotePrefix="1" applyFont="1"/>
    <xf numFmtId="0" fontId="27" fillId="0" borderId="0" xfId="3" applyFont="1"/>
    <xf numFmtId="0" fontId="22" fillId="2" borderId="8" xfId="3" applyFont="1" applyFill="1" applyBorder="1" applyProtection="1">
      <protection locked="0"/>
    </xf>
    <xf numFmtId="0" fontId="11" fillId="2" borderId="2" xfId="3" applyFont="1" applyFill="1" applyBorder="1" applyProtection="1">
      <protection locked="0"/>
    </xf>
    <xf numFmtId="0" fontId="21" fillId="3" borderId="3" xfId="3" applyFont="1" applyFill="1" applyBorder="1"/>
    <xf numFmtId="165" fontId="21" fillId="3" borderId="3" xfId="1" applyFont="1" applyFill="1" applyBorder="1" applyProtection="1"/>
    <xf numFmtId="2" fontId="12" fillId="0" borderId="0" xfId="3" applyNumberFormat="1" applyFont="1"/>
    <xf numFmtId="0" fontId="21" fillId="2" borderId="2" xfId="3" applyFont="1" applyFill="1" applyBorder="1" applyAlignment="1" applyProtection="1">
      <alignment horizontal="right"/>
      <protection locked="0"/>
    </xf>
    <xf numFmtId="164" fontId="21" fillId="8" borderId="2" xfId="13" applyFont="1" applyFill="1" applyBorder="1" applyAlignment="1" applyProtection="1">
      <protection locked="0"/>
    </xf>
    <xf numFmtId="0" fontId="11" fillId="2" borderId="2" xfId="3" applyFont="1" applyFill="1" applyBorder="1" applyAlignment="1" applyProtection="1">
      <alignment horizontal="right"/>
      <protection locked="0"/>
    </xf>
    <xf numFmtId="164" fontId="21" fillId="2" borderId="2" xfId="13" applyFont="1" applyFill="1" applyBorder="1" applyAlignment="1" applyProtection="1">
      <protection locked="0"/>
    </xf>
    <xf numFmtId="169" fontId="21" fillId="2" borderId="11" xfId="6" applyFont="1" applyFill="1" applyBorder="1" applyProtection="1">
      <alignment vertical="top"/>
      <protection locked="0"/>
    </xf>
    <xf numFmtId="14" fontId="13" fillId="0" borderId="0" xfId="3" applyNumberFormat="1" applyFont="1"/>
    <xf numFmtId="0" fontId="11" fillId="6" borderId="0" xfId="3" applyFont="1" applyFill="1"/>
    <xf numFmtId="169" fontId="11" fillId="6" borderId="0" xfId="6" applyFont="1" applyFill="1">
      <alignment vertical="top"/>
    </xf>
    <xf numFmtId="0" fontId="12" fillId="2" borderId="2" xfId="3" applyFont="1" applyFill="1" applyBorder="1"/>
    <xf numFmtId="0" fontId="21" fillId="0" borderId="0" xfId="3" applyFont="1" applyProtection="1">
      <protection locked="0"/>
    </xf>
    <xf numFmtId="166" fontId="11" fillId="3" borderId="2" xfId="1" applyNumberFormat="1" applyFont="1" applyFill="1" applyBorder="1"/>
    <xf numFmtId="0" fontId="11" fillId="0" borderId="0" xfId="3" applyFont="1" applyAlignment="1">
      <alignment horizontal="left" indent="1"/>
    </xf>
    <xf numFmtId="0" fontId="9" fillId="4" borderId="1" xfId="3" applyFont="1" applyFill="1" applyBorder="1" applyAlignment="1">
      <alignment horizontal="right"/>
    </xf>
    <xf numFmtId="0" fontId="22" fillId="9" borderId="1" xfId="3" applyFont="1" applyFill="1" applyBorder="1" applyProtection="1">
      <protection locked="0"/>
    </xf>
    <xf numFmtId="174" fontId="11" fillId="3" borderId="2" xfId="1" applyNumberFormat="1" applyFont="1" applyFill="1" applyBorder="1"/>
    <xf numFmtId="166" fontId="12" fillId="2" borderId="8" xfId="1" applyNumberFormat="1" applyFont="1" applyFill="1" applyBorder="1"/>
    <xf numFmtId="175" fontId="11" fillId="2" borderId="2" xfId="3" applyNumberFormat="1" applyFont="1" applyFill="1" applyBorder="1"/>
    <xf numFmtId="166" fontId="13" fillId="0" borderId="0" xfId="3" applyNumberFormat="1" applyFont="1"/>
    <xf numFmtId="166" fontId="11" fillId="0" borderId="0" xfId="3" applyNumberFormat="1" applyFont="1"/>
    <xf numFmtId="0" fontId="13" fillId="0" borderId="0" xfId="3" applyFont="1" applyAlignment="1">
      <alignment horizontal="right"/>
    </xf>
    <xf numFmtId="0" fontId="31" fillId="0" borderId="0" xfId="3" applyFont="1"/>
    <xf numFmtId="0" fontId="11" fillId="2" borderId="2" xfId="3" applyFont="1" applyFill="1" applyBorder="1" applyAlignment="1">
      <alignment horizontal="right"/>
    </xf>
    <xf numFmtId="175" fontId="11" fillId="0" borderId="0" xfId="3" applyNumberFormat="1" applyFont="1"/>
    <xf numFmtId="174" fontId="11" fillId="0" borderId="0" xfId="3" applyNumberFormat="1" applyFont="1"/>
    <xf numFmtId="0" fontId="11" fillId="3" borderId="2" xfId="3" applyFont="1" applyFill="1" applyBorder="1" applyAlignment="1">
      <alignment horizontal="center"/>
    </xf>
    <xf numFmtId="0" fontId="7" fillId="4" borderId="1" xfId="3" applyFont="1" applyFill="1" applyBorder="1"/>
    <xf numFmtId="0" fontId="11" fillId="7" borderId="0" xfId="3" applyFont="1" applyFill="1"/>
    <xf numFmtId="0" fontId="32" fillId="0" borderId="0" xfId="3" applyFont="1"/>
    <xf numFmtId="3" fontId="11" fillId="0" borderId="0" xfId="3" applyNumberFormat="1" applyFont="1"/>
    <xf numFmtId="167" fontId="12" fillId="2" borderId="2" xfId="3" applyNumberFormat="1" applyFont="1" applyFill="1" applyBorder="1"/>
    <xf numFmtId="4" fontId="32" fillId="0" borderId="0" xfId="3" applyNumberFormat="1" applyFont="1"/>
    <xf numFmtId="0" fontId="33" fillId="0" borderId="0" xfId="3" applyFont="1"/>
    <xf numFmtId="167" fontId="11" fillId="3" borderId="2" xfId="3" applyNumberFormat="1" applyFont="1" applyFill="1" applyBorder="1"/>
    <xf numFmtId="0" fontId="12" fillId="0" borderId="0" xfId="3" applyFont="1"/>
    <xf numFmtId="176" fontId="12" fillId="2" borderId="2" xfId="3" applyNumberFormat="1" applyFont="1" applyFill="1" applyBorder="1"/>
    <xf numFmtId="176" fontId="11" fillId="3" borderId="2" xfId="3" applyNumberFormat="1" applyFont="1" applyFill="1" applyBorder="1"/>
    <xf numFmtId="177" fontId="11" fillId="0" borderId="0" xfId="3" applyNumberFormat="1" applyFont="1"/>
    <xf numFmtId="178" fontId="11" fillId="3" borderId="2" xfId="3" applyNumberFormat="1" applyFont="1" applyFill="1" applyBorder="1"/>
    <xf numFmtId="14" fontId="12" fillId="2" borderId="2" xfId="3" applyNumberFormat="1" applyFont="1" applyFill="1" applyBorder="1"/>
    <xf numFmtId="0" fontId="9" fillId="4" borderId="13" xfId="3" applyFont="1" applyFill="1" applyBorder="1"/>
    <xf numFmtId="0" fontId="21" fillId="10" borderId="2" xfId="3" applyFont="1" applyFill="1" applyBorder="1"/>
    <xf numFmtId="0" fontId="21" fillId="10" borderId="4" xfId="3" applyFont="1" applyFill="1" applyBorder="1"/>
    <xf numFmtId="167" fontId="22" fillId="10" borderId="1" xfId="3" applyNumberFormat="1" applyFont="1" applyFill="1" applyBorder="1"/>
    <xf numFmtId="0" fontId="1" fillId="0" borderId="0" xfId="3" applyAlignment="1">
      <alignment vertical="top"/>
    </xf>
    <xf numFmtId="166" fontId="21" fillId="10" borderId="2" xfId="1" applyNumberFormat="1" applyFont="1" applyFill="1" applyBorder="1" applyProtection="1"/>
    <xf numFmtId="0" fontId="12" fillId="6" borderId="2" xfId="3" applyFont="1" applyFill="1" applyBorder="1"/>
    <xf numFmtId="0" fontId="11" fillId="11" borderId="3" xfId="3" applyFont="1" applyFill="1" applyBorder="1" applyAlignment="1">
      <alignment horizontal="center"/>
    </xf>
    <xf numFmtId="0" fontId="11" fillId="0" borderId="0" xfId="3" applyFont="1" applyAlignment="1">
      <alignment horizontal="right"/>
    </xf>
    <xf numFmtId="0" fontId="24" fillId="0" borderId="0" xfId="12" applyFont="1"/>
    <xf numFmtId="0" fontId="13" fillId="0" borderId="0" xfId="3" applyFont="1" applyAlignment="1">
      <alignment vertical="center"/>
    </xf>
    <xf numFmtId="0" fontId="9" fillId="4" borderId="12" xfId="3" applyFont="1" applyFill="1" applyBorder="1"/>
    <xf numFmtId="0" fontId="9" fillId="4" borderId="10" xfId="3" applyFont="1" applyFill="1" applyBorder="1"/>
    <xf numFmtId="0" fontId="9" fillId="4" borderId="14" xfId="3" applyFont="1" applyFill="1" applyBorder="1"/>
    <xf numFmtId="0" fontId="21" fillId="2" borderId="5" xfId="12" applyFont="1" applyFill="1" applyBorder="1" applyProtection="1">
      <protection locked="0"/>
    </xf>
    <xf numFmtId="0" fontId="21" fillId="2" borderId="4" xfId="12" applyFont="1" applyFill="1" applyBorder="1" applyProtection="1">
      <protection locked="0"/>
    </xf>
    <xf numFmtId="0" fontId="21" fillId="2" borderId="8" xfId="12" applyFont="1" applyFill="1" applyBorder="1" applyProtection="1">
      <protection locked="0"/>
    </xf>
    <xf numFmtId="0" fontId="21" fillId="2" borderId="10" xfId="12" applyFont="1" applyFill="1" applyBorder="1" applyProtection="1">
      <protection locked="0"/>
    </xf>
    <xf numFmtId="166" fontId="21" fillId="2" borderId="11" xfId="1" applyNumberFormat="1" applyFont="1" applyFill="1" applyBorder="1" applyProtection="1">
      <protection locked="0"/>
    </xf>
    <xf numFmtId="0" fontId="11" fillId="0" borderId="0" xfId="12" applyFont="1"/>
    <xf numFmtId="0" fontId="12" fillId="0" borderId="0" xfId="12" quotePrefix="1" applyFont="1"/>
    <xf numFmtId="166" fontId="21" fillId="2" borderId="4" xfId="1" applyNumberFormat="1" applyFont="1" applyFill="1" applyBorder="1" applyProtection="1">
      <protection locked="0"/>
    </xf>
    <xf numFmtId="166" fontId="11" fillId="3" borderId="1" xfId="1" applyNumberFormat="1" applyFont="1" applyFill="1" applyBorder="1"/>
    <xf numFmtId="0" fontId="34" fillId="0" borderId="0" xfId="12" applyFont="1"/>
    <xf numFmtId="0" fontId="12" fillId="0" borderId="0" xfId="12" applyFont="1" applyAlignment="1">
      <alignment horizontal="right"/>
    </xf>
    <xf numFmtId="0" fontId="24" fillId="6" borderId="0" xfId="12" applyFont="1" applyFill="1"/>
    <xf numFmtId="0" fontId="24" fillId="6" borderId="0" xfId="12" applyFont="1" applyFill="1" applyAlignment="1">
      <alignment horizontal="right"/>
    </xf>
    <xf numFmtId="166" fontId="12" fillId="0" borderId="0" xfId="1" applyNumberFormat="1" applyFont="1"/>
    <xf numFmtId="0" fontId="15" fillId="0" borderId="0" xfId="12" applyFont="1"/>
    <xf numFmtId="0" fontId="11" fillId="2" borderId="11" xfId="12" applyFont="1" applyFill="1" applyBorder="1" applyProtection="1">
      <protection locked="0"/>
    </xf>
    <xf numFmtId="0" fontId="11" fillId="6" borderId="15" xfId="3" applyFont="1" applyFill="1" applyBorder="1"/>
    <xf numFmtId="0" fontId="11" fillId="6" borderId="16" xfId="12" applyFont="1" applyFill="1" applyBorder="1"/>
    <xf numFmtId="0" fontId="11" fillId="6" borderId="17" xfId="12" applyFont="1" applyFill="1" applyBorder="1"/>
    <xf numFmtId="0" fontId="11" fillId="6" borderId="18" xfId="3" applyFont="1" applyFill="1" applyBorder="1"/>
    <xf numFmtId="0" fontId="11" fillId="6" borderId="19" xfId="12" applyFont="1" applyFill="1" applyBorder="1"/>
    <xf numFmtId="0" fontId="11" fillId="6" borderId="20" xfId="12" applyFont="1" applyFill="1" applyBorder="1"/>
    <xf numFmtId="0" fontId="11" fillId="6" borderId="21" xfId="3" applyFont="1" applyFill="1" applyBorder="1"/>
    <xf numFmtId="0" fontId="11" fillId="6" borderId="0" xfId="12" applyFont="1" applyFill="1"/>
    <xf numFmtId="0" fontId="11" fillId="6" borderId="22" xfId="12" applyFont="1" applyFill="1" applyBorder="1"/>
    <xf numFmtId="0" fontId="11" fillId="6" borderId="23" xfId="3" applyFont="1" applyFill="1" applyBorder="1"/>
    <xf numFmtId="0" fontId="11" fillId="6" borderId="24" xfId="12" applyFont="1" applyFill="1" applyBorder="1"/>
    <xf numFmtId="0" fontId="11" fillId="6" borderId="25" xfId="12" applyFont="1" applyFill="1" applyBorder="1"/>
    <xf numFmtId="0" fontId="36" fillId="0" borderId="0" xfId="12" applyFont="1"/>
    <xf numFmtId="0" fontId="24" fillId="0" borderId="0" xfId="12" applyFont="1" applyAlignment="1">
      <alignment horizontal="centerContinuous"/>
    </xf>
    <xf numFmtId="0" fontId="21" fillId="2" borderId="2" xfId="12" applyFont="1" applyFill="1" applyBorder="1"/>
    <xf numFmtId="0" fontId="12" fillId="6" borderId="3" xfId="3" applyFont="1" applyFill="1" applyBorder="1" applyAlignment="1">
      <alignment horizontal="center"/>
    </xf>
    <xf numFmtId="0" fontId="37" fillId="0" borderId="0" xfId="3" applyFont="1"/>
    <xf numFmtId="0" fontId="38" fillId="0" borderId="0" xfId="3" applyFont="1"/>
    <xf numFmtId="0" fontId="1" fillId="0" borderId="0" xfId="3" quotePrefix="1"/>
    <xf numFmtId="0" fontId="39" fillId="0" borderId="0" xfId="3" applyFont="1"/>
    <xf numFmtId="0" fontId="25" fillId="0" borderId="0" xfId="3" applyFont="1" applyAlignment="1">
      <alignment vertical="center"/>
    </xf>
    <xf numFmtId="0" fontId="25" fillId="0" borderId="0" xfId="3" applyFont="1"/>
    <xf numFmtId="0" fontId="40" fillId="0" borderId="0" xfId="3" applyFont="1"/>
    <xf numFmtId="0" fontId="11" fillId="12" borderId="0" xfId="3" applyFont="1" applyFill="1"/>
    <xf numFmtId="0" fontId="12" fillId="2" borderId="2" xfId="3" applyFont="1" applyFill="1" applyBorder="1" applyAlignment="1">
      <alignment wrapText="1"/>
    </xf>
    <xf numFmtId="0" fontId="17" fillId="0" borderId="0" xfId="3" quotePrefix="1" applyFont="1"/>
    <xf numFmtId="0" fontId="41" fillId="0" borderId="0" xfId="3" applyFont="1"/>
    <xf numFmtId="0" fontId="11" fillId="6" borderId="0" xfId="3" applyFont="1" applyFill="1" applyAlignment="1">
      <alignment horizontal="center"/>
    </xf>
    <xf numFmtId="0" fontId="11" fillId="3" borderId="2" xfId="3" applyFont="1" applyFill="1" applyBorder="1" applyAlignment="1">
      <alignment horizontal="right"/>
    </xf>
    <xf numFmtId="0" fontId="16" fillId="5" borderId="0" xfId="3" applyFont="1" applyFill="1" applyAlignment="1">
      <alignment horizontal="right"/>
    </xf>
    <xf numFmtId="0" fontId="11" fillId="6" borderId="0" xfId="3" applyFont="1" applyFill="1" applyAlignment="1">
      <alignment horizontal="right"/>
    </xf>
    <xf numFmtId="0" fontId="42" fillId="0" borderId="0" xfId="3" applyFont="1"/>
    <xf numFmtId="0" fontId="43" fillId="0" borderId="0" xfId="3" applyFont="1"/>
    <xf numFmtId="0" fontId="41" fillId="6" borderId="0" xfId="3" applyFont="1" applyFill="1"/>
    <xf numFmtId="1" fontId="12" fillId="2" borderId="2" xfId="3" applyNumberFormat="1" applyFont="1" applyFill="1" applyBorder="1"/>
    <xf numFmtId="0" fontId="11" fillId="13" borderId="0" xfId="3" applyFont="1" applyFill="1"/>
    <xf numFmtId="167" fontId="21" fillId="2" borderId="4" xfId="3" applyNumberFormat="1" applyFont="1" applyFill="1" applyBorder="1" applyProtection="1">
      <protection locked="0"/>
    </xf>
    <xf numFmtId="0" fontId="13" fillId="0" borderId="0" xfId="3" applyFont="1" applyAlignment="1">
      <alignment horizontal="center"/>
    </xf>
    <xf numFmtId="0" fontId="45" fillId="0" borderId="0" xfId="3" applyFont="1"/>
    <xf numFmtId="0" fontId="46" fillId="0" borderId="0" xfId="3" applyFont="1"/>
    <xf numFmtId="0" fontId="47" fillId="0" borderId="0" xfId="3" applyFont="1"/>
    <xf numFmtId="0" fontId="48" fillId="0" borderId="0" xfId="3" applyFont="1"/>
    <xf numFmtId="0" fontId="47" fillId="14" borderId="28" xfId="3" applyFont="1" applyFill="1" applyBorder="1" applyAlignment="1">
      <alignment horizontal="center"/>
    </xf>
    <xf numFmtId="0" fontId="48" fillId="14" borderId="28" xfId="3" applyFont="1" applyFill="1" applyBorder="1" applyAlignment="1">
      <alignment horizontal="center"/>
    </xf>
    <xf numFmtId="0" fontId="47" fillId="0" borderId="0" xfId="3" applyFont="1" applyAlignment="1">
      <alignment horizontal="center"/>
    </xf>
    <xf numFmtId="0" fontId="48" fillId="0" borderId="0" xfId="3" applyFont="1" applyAlignment="1">
      <alignment horizontal="center"/>
    </xf>
    <xf numFmtId="0" fontId="13" fillId="0" borderId="0" xfId="3" applyFont="1" applyAlignment="1">
      <alignment horizontal="left" indent="1"/>
    </xf>
    <xf numFmtId="0" fontId="44" fillId="0" borderId="28" xfId="3" applyFont="1" applyBorder="1" applyAlignment="1">
      <alignment horizontal="center"/>
    </xf>
    <xf numFmtId="0" fontId="13" fillId="0" borderId="29" xfId="3" applyFont="1" applyBorder="1" applyAlignment="1">
      <alignment horizontal="center"/>
    </xf>
    <xf numFmtId="0" fontId="13" fillId="0" borderId="30" xfId="3" applyFont="1" applyBorder="1" applyAlignment="1">
      <alignment horizontal="center"/>
    </xf>
    <xf numFmtId="0" fontId="49" fillId="0" borderId="29" xfId="3" applyFont="1" applyBorder="1" applyAlignment="1">
      <alignment vertical="top" wrapText="1"/>
    </xf>
    <xf numFmtId="0" fontId="47" fillId="0" borderId="29" xfId="3" applyFont="1" applyBorder="1" applyAlignment="1">
      <alignment horizontal="right"/>
    </xf>
    <xf numFmtId="0" fontId="48" fillId="0" borderId="29" xfId="3" applyFont="1" applyBorder="1" applyAlignment="1">
      <alignment horizontal="right"/>
    </xf>
    <xf numFmtId="0" fontId="13" fillId="0" borderId="29" xfId="3" applyFont="1" applyBorder="1" applyAlignment="1">
      <alignment horizontal="right"/>
    </xf>
    <xf numFmtId="0" fontId="11" fillId="0" borderId="0" xfId="3" applyFont="1" applyAlignment="1">
      <alignment horizontal="right" vertical="top" wrapText="1"/>
    </xf>
    <xf numFmtId="0" fontId="11" fillId="0" borderId="29" xfId="3" applyFont="1" applyBorder="1" applyAlignment="1">
      <alignment vertical="top" wrapText="1"/>
    </xf>
    <xf numFmtId="0" fontId="11" fillId="0" borderId="29" xfId="3" applyFont="1" applyBorder="1"/>
    <xf numFmtId="175" fontId="11" fillId="3" borderId="3" xfId="11" applyNumberFormat="1" applyFont="1" applyFill="1" applyBorder="1"/>
    <xf numFmtId="0" fontId="11" fillId="0" borderId="0" xfId="3" applyFont="1" applyAlignment="1">
      <alignment wrapText="1"/>
    </xf>
    <xf numFmtId="0" fontId="21" fillId="2" borderId="2" xfId="3" applyFont="1" applyFill="1" applyBorder="1" applyAlignment="1" applyProtection="1">
      <alignment vertical="center"/>
      <protection locked="0"/>
    </xf>
    <xf numFmtId="166" fontId="11" fillId="3" borderId="3" xfId="1" applyNumberFormat="1" applyFont="1" applyFill="1" applyBorder="1" applyAlignment="1">
      <alignment horizontal="right"/>
    </xf>
    <xf numFmtId="166" fontId="11" fillId="0" borderId="0" xfId="1" applyNumberFormat="1" applyFont="1"/>
    <xf numFmtId="166" fontId="11" fillId="6" borderId="0" xfId="1" applyNumberFormat="1" applyFont="1" applyFill="1"/>
    <xf numFmtId="166" fontId="11" fillId="0" borderId="2" xfId="1" applyNumberFormat="1" applyFont="1" applyFill="1" applyBorder="1"/>
    <xf numFmtId="166" fontId="11" fillId="6" borderId="2" xfId="1" applyNumberFormat="1" applyFont="1" applyFill="1" applyBorder="1"/>
    <xf numFmtId="179" fontId="41" fillId="0" borderId="0" xfId="14" applyFont="1" applyFill="1">
      <alignment vertical="top"/>
    </xf>
    <xf numFmtId="0" fontId="41" fillId="0" borderId="0" xfId="3" applyFont="1" applyAlignment="1">
      <alignment vertical="top"/>
    </xf>
    <xf numFmtId="179" fontId="41" fillId="0" borderId="0" xfId="14" applyFont="1" applyFill="1" applyBorder="1">
      <alignment vertical="top"/>
    </xf>
    <xf numFmtId="0" fontId="11" fillId="0" borderId="0" xfId="0" applyNumberFormat="1" applyFont="1">
      <alignment vertical="top"/>
    </xf>
    <xf numFmtId="0" fontId="11" fillId="0" borderId="0" xfId="0" applyNumberFormat="1" applyFont="1" applyAlignment="1">
      <alignment vertical="center"/>
    </xf>
    <xf numFmtId="168" fontId="24" fillId="6" borderId="32" xfId="0" applyFont="1" applyFill="1" applyBorder="1">
      <alignment vertical="top"/>
    </xf>
    <xf numFmtId="168" fontId="24" fillId="6" borderId="31" xfId="0" applyFont="1" applyFill="1" applyBorder="1">
      <alignment vertical="top"/>
    </xf>
    <xf numFmtId="168" fontId="24" fillId="6" borderId="33" xfId="0" applyFont="1" applyFill="1" applyBorder="1">
      <alignment vertical="top"/>
    </xf>
    <xf numFmtId="168" fontId="11" fillId="0" borderId="0" xfId="0" applyFont="1" applyAlignment="1">
      <alignment horizontal="left" wrapText="1"/>
    </xf>
    <xf numFmtId="0" fontId="11" fillId="0" borderId="0" xfId="0" applyNumberFormat="1" applyFont="1" applyAlignment="1">
      <alignment horizontal="left" wrapText="1"/>
    </xf>
    <xf numFmtId="0" fontId="45" fillId="6" borderId="0" xfId="3" applyFont="1" applyFill="1"/>
    <xf numFmtId="0" fontId="11" fillId="13" borderId="0" xfId="3" applyFont="1" applyFill="1" applyAlignment="1">
      <alignment horizontal="center"/>
    </xf>
    <xf numFmtId="0" fontId="12" fillId="2" borderId="6" xfId="3" applyFont="1" applyFill="1" applyBorder="1" applyAlignment="1">
      <alignment horizontal="center"/>
    </xf>
    <xf numFmtId="0" fontId="12" fillId="2" borderId="27" xfId="3" applyFont="1" applyFill="1" applyBorder="1" applyAlignment="1">
      <alignment horizontal="center"/>
    </xf>
    <xf numFmtId="0" fontId="12" fillId="2" borderId="26" xfId="3" applyFont="1" applyFill="1" applyBorder="1" applyAlignment="1">
      <alignment horizontal="center"/>
    </xf>
    <xf numFmtId="0" fontId="12" fillId="2" borderId="28" xfId="3" applyFont="1" applyFill="1" applyBorder="1" applyAlignment="1">
      <alignment horizontal="center"/>
    </xf>
    <xf numFmtId="0" fontId="41" fillId="0" borderId="31" xfId="3" applyFont="1" applyBorder="1" applyAlignment="1">
      <alignment horizontal="left" vertical="top" wrapText="1"/>
    </xf>
    <xf numFmtId="0" fontId="41" fillId="0" borderId="0" xfId="3" applyFont="1" applyAlignment="1">
      <alignment horizontal="left" vertical="top" wrapText="1"/>
    </xf>
  </cellXfs>
  <cellStyles count="15">
    <cellStyle name="Comma" xfId="1" builtinId="3"/>
    <cellStyle name="Comma 2" xfId="2" xr:uid="{00000000-0005-0000-0000-000001000000}"/>
    <cellStyle name="Currency" xfId="11" builtinId="4"/>
    <cellStyle name="Currency 2" xfId="13" xr:uid="{09C26A38-3EE7-46F4-8C7A-A02E6A7612FB}"/>
    <cellStyle name="DateLong" xfId="8" xr:uid="{EFEC4A20-A95F-4671-9CB3-788FA2536DD4}"/>
    <cellStyle name="DateShort" xfId="9" xr:uid="{A88AB7EA-5511-45C3-AB51-D172302E2B02}"/>
    <cellStyle name="DateShort 2" xfId="14" xr:uid="{97D71ECE-E5B6-430D-82EC-AB93C7833E27}"/>
    <cellStyle name="Factor" xfId="7" xr:uid="{D7DA50E4-079B-40DE-8787-2ABCD72C4969}"/>
    <cellStyle name="Normal" xfId="0" builtinId="0" customBuiltin="1"/>
    <cellStyle name="Normal 2" xfId="3" xr:uid="{00000000-0005-0000-0000-000003000000}"/>
    <cellStyle name="Normal 2 2" xfId="4" xr:uid="{00000000-0005-0000-0000-000004000000}"/>
    <cellStyle name="Normal 3" xfId="5" xr:uid="{00000000-0005-0000-0000-000005000000}"/>
    <cellStyle name="Normal 4" xfId="12" xr:uid="{98AAD361-512B-46F6-A65F-465A8430353E}"/>
    <cellStyle name="Percent" xfId="6" builtinId="5" customBuiltin="1"/>
    <cellStyle name="Year" xfId="10" xr:uid="{413F8929-14BB-4F8A-A0B2-307195C18FAE}"/>
  </cellStyles>
  <dxfs count="37">
    <dxf>
      <font>
        <b val="0"/>
        <i val="0"/>
        <strike val="0"/>
        <condense val="0"/>
        <extend val="0"/>
        <outline val="0"/>
        <shadow val="0"/>
        <u val="none"/>
        <vertAlign val="baseline"/>
        <sz val="10"/>
        <color rgb="FF000000"/>
        <name val="Verdana"/>
        <family val="2"/>
        <scheme val="none"/>
      </font>
      <fill>
        <patternFill patternType="solid">
          <fgColor indexed="64"/>
          <bgColor rgb="FFFFFFAF"/>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style="thin">
          <color theme="0" tint="-0.24994659260841701"/>
        </horizontal>
      </border>
      <protection locked="0" hidden="0"/>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Verdana"/>
        <family val="2"/>
        <scheme val="none"/>
      </font>
      <fill>
        <patternFill patternType="solid">
          <fgColor indexed="64"/>
          <bgColor rgb="FFFFFFAF"/>
        </patternFill>
      </fill>
      <protection locked="0" hidden="0"/>
    </dxf>
    <dxf>
      <border outline="0">
        <bottom style="thin">
          <color indexed="64"/>
        </bottom>
      </border>
    </dxf>
    <dxf>
      <font>
        <b/>
        <i val="0"/>
        <strike val="0"/>
        <condense val="0"/>
        <extend val="0"/>
        <outline val="0"/>
        <shadow val="0"/>
        <u val="none"/>
        <vertAlign val="baseline"/>
        <sz val="13"/>
        <color theme="0"/>
        <name val="Arial Narrow"/>
        <family val="2"/>
        <scheme val="none"/>
      </font>
      <fill>
        <patternFill patternType="solid">
          <fgColor indexed="64"/>
          <bgColor rgb="FF28385E"/>
        </patternFill>
      </fill>
    </dxf>
    <dxf>
      <font>
        <b val="0"/>
        <i val="0"/>
        <strike val="0"/>
        <condense val="0"/>
        <extend val="0"/>
        <outline val="0"/>
        <shadow val="0"/>
        <u val="none"/>
        <vertAlign val="baseline"/>
        <sz val="10"/>
        <color rgb="FF000000"/>
        <name val="Verdana"/>
        <family val="2"/>
        <scheme val="none"/>
      </font>
      <fill>
        <patternFill patternType="solid">
          <fgColor indexed="64"/>
          <bgColor rgb="FFFFFFAF"/>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style="thin">
          <color theme="0" tint="-0.24994659260841701"/>
        </horizontal>
      </border>
      <protection locked="0" hidden="0"/>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Verdana"/>
        <family val="2"/>
        <scheme val="none"/>
      </font>
      <fill>
        <patternFill patternType="solid">
          <fgColor indexed="64"/>
          <bgColor rgb="FFFFFFAF"/>
        </patternFill>
      </fill>
      <protection locked="0" hidden="0"/>
    </dxf>
    <dxf>
      <border outline="0">
        <bottom style="thin">
          <color indexed="64"/>
        </bottom>
      </border>
    </dxf>
    <dxf>
      <font>
        <b/>
        <i val="0"/>
        <strike val="0"/>
        <condense val="0"/>
        <extend val="0"/>
        <outline val="0"/>
        <shadow val="0"/>
        <u val="none"/>
        <vertAlign val="baseline"/>
        <sz val="13"/>
        <color theme="0"/>
        <name val="Arial Narrow"/>
        <family val="2"/>
        <scheme val="none"/>
      </font>
      <fill>
        <patternFill patternType="solid">
          <fgColor indexed="64"/>
          <bgColor rgb="FF28385E"/>
        </patternFill>
      </fill>
    </dxf>
    <dxf>
      <font>
        <b val="0"/>
        <i val="0"/>
        <strike val="0"/>
        <condense val="0"/>
        <extend val="0"/>
        <outline val="0"/>
        <shadow val="0"/>
        <u val="none"/>
        <vertAlign val="baseline"/>
        <sz val="10"/>
        <color rgb="FF000000"/>
        <name val="Verdana"/>
        <family val="2"/>
        <scheme val="none"/>
      </font>
      <fill>
        <patternFill patternType="solid">
          <fgColor indexed="64"/>
          <bgColor rgb="FFFFFFAF"/>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style="thin">
          <color theme="0" tint="-0.24994659260841701"/>
        </horizontal>
      </border>
      <protection locked="0" hidden="0"/>
    </dxf>
    <dxf>
      <border outline="0">
        <bottom style="thin">
          <color indexed="64"/>
        </bottom>
      </border>
    </dxf>
    <dxf>
      <font>
        <b val="0"/>
        <i val="0"/>
        <strike val="0"/>
        <condense val="0"/>
        <extend val="0"/>
        <outline val="0"/>
        <shadow val="0"/>
        <u val="none"/>
        <vertAlign val="baseline"/>
        <sz val="10"/>
        <color rgb="FF000000"/>
        <name val="Verdana"/>
        <family val="2"/>
        <scheme val="none"/>
      </font>
      <fill>
        <patternFill patternType="solid">
          <fgColor indexed="64"/>
          <bgColor rgb="FFFFFFAF"/>
        </patternFill>
      </fill>
      <protection locked="0" hidden="0"/>
    </dxf>
    <dxf>
      <border outline="0">
        <bottom style="thin">
          <color indexed="64"/>
        </bottom>
      </border>
    </dxf>
    <dxf>
      <font>
        <b/>
        <i val="0"/>
        <strike val="0"/>
        <condense val="0"/>
        <extend val="0"/>
        <outline val="0"/>
        <shadow val="0"/>
        <u val="none"/>
        <vertAlign val="baseline"/>
        <sz val="13"/>
        <color theme="0"/>
        <name val="Arial Narrow"/>
        <family val="2"/>
        <scheme val="none"/>
      </font>
      <fill>
        <patternFill patternType="solid">
          <fgColor indexed="64"/>
          <bgColor rgb="FF28385E"/>
        </patternFill>
      </fill>
    </dxf>
    <dxf>
      <font>
        <b val="0"/>
        <i val="0"/>
        <strike val="0"/>
        <condense val="0"/>
        <extend val="0"/>
        <outline val="0"/>
        <shadow val="0"/>
        <u val="none"/>
        <vertAlign val="baseline"/>
        <sz val="10"/>
        <color rgb="FF000000"/>
        <name val="Verdana"/>
        <family val="2"/>
        <scheme val="none"/>
      </font>
      <fill>
        <patternFill patternType="solid">
          <fgColor indexed="64"/>
          <bgColor rgb="FFFFFFAF"/>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style="thin">
          <color theme="0" tint="-0.24994659260841701"/>
        </horizontal>
      </border>
      <protection locked="0" hidden="0"/>
    </dxf>
    <dxf>
      <border outline="0">
        <bottom style="thin">
          <color indexed="64"/>
        </bottom>
      </border>
    </dxf>
    <dxf>
      <font>
        <b val="0"/>
        <i val="0"/>
        <strike val="0"/>
        <condense val="0"/>
        <extend val="0"/>
        <outline val="0"/>
        <shadow val="0"/>
        <u val="none"/>
        <vertAlign val="baseline"/>
        <sz val="10"/>
        <color rgb="FF000000"/>
        <name val="Verdana"/>
        <family val="2"/>
        <scheme val="none"/>
      </font>
      <fill>
        <patternFill patternType="solid">
          <fgColor indexed="64"/>
          <bgColor rgb="FFFFFFAF"/>
        </patternFill>
      </fill>
      <protection locked="0" hidden="0"/>
    </dxf>
    <dxf>
      <border outline="0">
        <bottom style="thin">
          <color indexed="64"/>
        </bottom>
      </border>
    </dxf>
    <dxf>
      <font>
        <b/>
        <i val="0"/>
        <strike val="0"/>
        <condense val="0"/>
        <extend val="0"/>
        <outline val="0"/>
        <shadow val="0"/>
        <u val="none"/>
        <vertAlign val="baseline"/>
        <sz val="13"/>
        <color theme="0"/>
        <name val="Arial Narrow"/>
        <family val="2"/>
        <scheme val="none"/>
      </font>
      <fill>
        <patternFill patternType="solid">
          <fgColor indexed="64"/>
          <bgColor rgb="FF28385E"/>
        </patternFill>
      </fill>
    </dxf>
    <dxf>
      <font>
        <b val="0"/>
        <i val="0"/>
        <strike val="0"/>
        <condense val="0"/>
        <extend val="0"/>
        <outline val="0"/>
        <shadow val="0"/>
        <u val="none"/>
        <vertAlign val="baseline"/>
        <sz val="13"/>
        <color rgb="FF000000"/>
        <name val="Arial Narrow"/>
        <family val="2"/>
        <scheme val="none"/>
      </font>
      <numFmt numFmtId="167" formatCode="##,##0_-;[Red]\(##,##0\);\-_;\ "/>
      <fill>
        <patternFill patternType="solid">
          <fgColor indexed="64"/>
          <bgColor rgb="FFFFFFAF"/>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3"/>
        <color rgb="FF000000"/>
        <name val="Arial Narrow"/>
        <family val="2"/>
        <scheme val="none"/>
      </font>
      <fill>
        <patternFill patternType="solid">
          <fgColor indexed="64"/>
          <bgColor rgb="FFFFFFAF"/>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border outline="0">
        <top style="thin">
          <color indexed="64"/>
        </top>
        <bottom style="thin">
          <color theme="0" tint="-0.24994659260841701"/>
        </bottom>
      </border>
    </dxf>
    <dxf>
      <font>
        <b/>
        <i val="0"/>
        <strike val="0"/>
        <condense val="0"/>
        <extend val="0"/>
        <outline val="0"/>
        <shadow val="0"/>
        <u val="none"/>
        <vertAlign val="baseline"/>
        <sz val="13"/>
        <color theme="0"/>
        <name val="Arial Narrow"/>
        <family val="2"/>
        <scheme val="none"/>
      </font>
      <fill>
        <patternFill patternType="solid">
          <fgColor indexed="64"/>
          <bgColor rgb="FF28385E"/>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3"/>
        <color rgb="FF000000"/>
        <name val="Arial Narrow"/>
        <family val="2"/>
        <scheme val="none"/>
      </font>
      <numFmt numFmtId="167" formatCode="##,##0_-;[Red]\(##,##0\);\-_;\ "/>
      <fill>
        <patternFill patternType="solid">
          <fgColor indexed="64"/>
          <bgColor rgb="FFFFFFAF"/>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3"/>
        <color rgb="FF000000"/>
        <name val="Arial Narrow"/>
        <family val="2"/>
        <scheme val="none"/>
      </font>
      <fill>
        <patternFill patternType="solid">
          <fgColor indexed="64"/>
          <bgColor rgb="FFFFFFAF"/>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border outline="0">
        <top style="thin">
          <color indexed="64"/>
        </top>
        <bottom style="thin">
          <color theme="0" tint="-0.24994659260841701"/>
        </bottom>
      </border>
    </dxf>
    <dxf>
      <font>
        <b/>
        <i val="0"/>
        <strike val="0"/>
        <condense val="0"/>
        <extend val="0"/>
        <outline val="0"/>
        <shadow val="0"/>
        <u val="none"/>
        <vertAlign val="baseline"/>
        <sz val="13"/>
        <color theme="0"/>
        <name val="Arial Narrow"/>
        <family val="2"/>
        <scheme val="none"/>
      </font>
      <fill>
        <patternFill patternType="solid">
          <fgColor indexed="64"/>
          <bgColor rgb="FF28385E"/>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3"/>
        <color auto="1"/>
        <name val="Arial Narrow"/>
        <family val="2"/>
        <scheme val="none"/>
      </font>
      <alignment horizontal="left" vertical="bottom" textRotation="0" wrapText="1" indent="0" justifyLastLine="0" shrinkToFit="0" readingOrder="0"/>
    </dxf>
    <dxf>
      <font>
        <b val="0"/>
        <i val="0"/>
        <strike val="0"/>
        <condense val="0"/>
        <extend val="0"/>
        <outline val="0"/>
        <shadow val="0"/>
        <u val="none"/>
        <vertAlign val="baseline"/>
        <sz val="13"/>
        <color auto="1"/>
        <name val="Arial Narrow"/>
        <family val="2"/>
        <scheme val="none"/>
      </font>
      <alignment horizontal="left" vertical="bottom" textRotation="0" wrapText="1" indent="0" justifyLastLine="0" shrinkToFit="0" readingOrder="0"/>
    </dxf>
    <dxf>
      <font>
        <b val="0"/>
        <i val="0"/>
        <strike val="0"/>
        <condense val="0"/>
        <extend val="0"/>
        <outline val="0"/>
        <shadow val="0"/>
        <u val="none"/>
        <vertAlign val="baseline"/>
        <sz val="13"/>
        <color auto="1"/>
        <name val="Arial Narrow"/>
        <family val="2"/>
        <scheme val="none"/>
      </font>
      <numFmt numFmtId="0" formatCode="General"/>
      <alignment horizontal="left" vertical="bottom" textRotation="0" wrapText="1" indent="0" justifyLastLine="0" shrinkToFit="0" readingOrder="0"/>
    </dxf>
    <dxf>
      <border outline="0">
        <top style="thin">
          <color indexed="64"/>
        </top>
      </border>
    </dxf>
    <dxf>
      <font>
        <b val="0"/>
        <i val="0"/>
        <strike val="0"/>
        <condense val="0"/>
        <extend val="0"/>
        <outline val="0"/>
        <shadow val="0"/>
        <u val="none"/>
        <vertAlign val="baseline"/>
        <sz val="13"/>
        <color auto="1"/>
        <name val="Arial Narrow"/>
        <family val="2"/>
        <scheme val="none"/>
      </font>
      <alignment horizontal="left"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3"/>
        <color theme="1"/>
        <name val="Arial Narrow"/>
        <family val="2"/>
        <scheme val="none"/>
      </font>
      <fill>
        <patternFill patternType="solid">
          <fgColor indexed="64"/>
          <bgColor theme="0" tint="-0.14999847407452621"/>
        </patternFill>
      </fill>
    </dxf>
  </dxfs>
  <tableStyles count="0" defaultTableStyle="TableStyleMedium9"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50"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fullstackmodeller.com"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8</xdr:row>
      <xdr:rowOff>272153</xdr:rowOff>
    </xdr:from>
    <xdr:to>
      <xdr:col>7</xdr:col>
      <xdr:colOff>556986</xdr:colOff>
      <xdr:row>12</xdr:row>
      <xdr:rowOff>1545</xdr:rowOff>
    </xdr:to>
    <xdr:sp macro="" textlink="">
      <xdr:nvSpPr>
        <xdr:cNvPr id="5" name="TextBox 4">
          <a:extLst>
            <a:ext uri="{FF2B5EF4-FFF2-40B4-BE49-F238E27FC236}">
              <a16:creationId xmlns:a16="http://schemas.microsoft.com/office/drawing/2014/main" id="{855141EB-172F-4DBD-9709-7DC0440FFE99}"/>
            </a:ext>
          </a:extLst>
        </xdr:cNvPr>
        <xdr:cNvSpPr txBox="1"/>
      </xdr:nvSpPr>
      <xdr:spPr>
        <a:xfrm>
          <a:off x="0" y="1621982"/>
          <a:ext cx="4824186" cy="562149"/>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800">
              <a:solidFill>
                <a:srgbClr val="28385E"/>
              </a:solidFill>
              <a:latin typeface="Arial Black" panose="020B0A04020102020204" pitchFamily="34" charset="0"/>
            </a:rPr>
            <a:t>Battle</a:t>
          </a:r>
          <a:r>
            <a:rPr lang="en-GB" sz="1800" baseline="0">
              <a:solidFill>
                <a:srgbClr val="28385E"/>
              </a:solidFill>
              <a:latin typeface="Arial Black" panose="020B0A04020102020204" pitchFamily="34" charset="0"/>
            </a:rPr>
            <a:t> </a:t>
          </a:r>
          <a:r>
            <a:rPr lang="en-GB" sz="1800">
              <a:solidFill>
                <a:srgbClr val="28385E"/>
              </a:solidFill>
              <a:latin typeface="Arial Black" panose="020B0A04020102020204" pitchFamily="34" charset="0"/>
            </a:rPr>
            <a:t>Functions</a:t>
          </a:r>
        </a:p>
      </xdr:txBody>
    </xdr:sp>
    <xdr:clientData/>
  </xdr:twoCellAnchor>
  <xdr:twoCellAnchor editAs="oneCell">
    <xdr:from>
      <xdr:col>1</xdr:col>
      <xdr:colOff>655053</xdr:colOff>
      <xdr:row>3</xdr:row>
      <xdr:rowOff>33421</xdr:rowOff>
    </xdr:from>
    <xdr:to>
      <xdr:col>5</xdr:col>
      <xdr:colOff>528922</xdr:colOff>
      <xdr:row>9</xdr:row>
      <xdr:rowOff>37414</xdr:rowOff>
    </xdr:to>
    <xdr:pic>
      <xdr:nvPicPr>
        <xdr:cNvPr id="2" name="Picture 1">
          <a:hlinkClick xmlns:r="http://schemas.openxmlformats.org/officeDocument/2006/relationships" r:id="rId1"/>
          <a:extLst>
            <a:ext uri="{FF2B5EF4-FFF2-40B4-BE49-F238E27FC236}">
              <a16:creationId xmlns:a16="http://schemas.microsoft.com/office/drawing/2014/main" id="{94974A42-0281-B241-A6BB-C09B5AF97E6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30158" y="534737"/>
          <a:ext cx="2574290" cy="116704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190501</xdr:colOff>
      <xdr:row>93</xdr:row>
      <xdr:rowOff>43458</xdr:rowOff>
    </xdr:from>
    <xdr:to>
      <xdr:col>6</xdr:col>
      <xdr:colOff>901700</xdr:colOff>
      <xdr:row>95</xdr:row>
      <xdr:rowOff>215899</xdr:rowOff>
    </xdr:to>
    <xdr:pic>
      <xdr:nvPicPr>
        <xdr:cNvPr id="3" name="Picture 2">
          <a:extLst>
            <a:ext uri="{FF2B5EF4-FFF2-40B4-BE49-F238E27FC236}">
              <a16:creationId xmlns:a16="http://schemas.microsoft.com/office/drawing/2014/main" id="{95EF0394-E55E-F161-3F70-A3846BA27F7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32701" y="20376158"/>
          <a:ext cx="711199" cy="60424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33163</xdr:colOff>
      <xdr:row>207</xdr:row>
      <xdr:rowOff>41625</xdr:rowOff>
    </xdr:from>
    <xdr:to>
      <xdr:col>4</xdr:col>
      <xdr:colOff>343609</xdr:colOff>
      <xdr:row>209</xdr:row>
      <xdr:rowOff>203903</xdr:rowOff>
    </xdr:to>
    <xdr:sp macro="" textlink="">
      <xdr:nvSpPr>
        <xdr:cNvPr id="2" name="Arrow: Right 1">
          <a:extLst>
            <a:ext uri="{FF2B5EF4-FFF2-40B4-BE49-F238E27FC236}">
              <a16:creationId xmlns:a16="http://schemas.microsoft.com/office/drawing/2014/main" id="{C8C4F06C-B8A7-450B-839E-A265F1D6EF3B}"/>
            </a:ext>
          </a:extLst>
        </xdr:cNvPr>
        <xdr:cNvSpPr/>
      </xdr:nvSpPr>
      <xdr:spPr>
        <a:xfrm rot="16200000">
          <a:off x="3676265" y="45859943"/>
          <a:ext cx="585188" cy="312351"/>
        </a:xfrm>
        <a:prstGeom prst="rightArrow">
          <a:avLst/>
        </a:prstGeom>
        <a:solidFill>
          <a:srgbClr val="28385E"/>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7762</xdr:colOff>
      <xdr:row>190</xdr:row>
      <xdr:rowOff>24693</xdr:rowOff>
    </xdr:from>
    <xdr:to>
      <xdr:col>4</xdr:col>
      <xdr:colOff>318206</xdr:colOff>
      <xdr:row>192</xdr:row>
      <xdr:rowOff>186971</xdr:rowOff>
    </xdr:to>
    <xdr:sp macro="" textlink="">
      <xdr:nvSpPr>
        <xdr:cNvPr id="5" name="Arrow: Right 4">
          <a:extLst>
            <a:ext uri="{FF2B5EF4-FFF2-40B4-BE49-F238E27FC236}">
              <a16:creationId xmlns:a16="http://schemas.microsoft.com/office/drawing/2014/main" id="{75890F4E-CD1C-4561-9AB8-B088F93654E2}"/>
            </a:ext>
          </a:extLst>
        </xdr:cNvPr>
        <xdr:cNvSpPr/>
      </xdr:nvSpPr>
      <xdr:spPr>
        <a:xfrm rot="5400000">
          <a:off x="3654673" y="42276852"/>
          <a:ext cx="585188" cy="312349"/>
        </a:xfrm>
        <a:prstGeom prst="rightArrow">
          <a:avLst/>
        </a:prstGeom>
        <a:solidFill>
          <a:srgbClr val="28385E"/>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500944</xdr:colOff>
      <xdr:row>237</xdr:row>
      <xdr:rowOff>148166</xdr:rowOff>
    </xdr:from>
    <xdr:to>
      <xdr:col>4</xdr:col>
      <xdr:colOff>1128890</xdr:colOff>
      <xdr:row>240</xdr:row>
      <xdr:rowOff>63499</xdr:rowOff>
    </xdr:to>
    <xdr:sp macro="" textlink="">
      <xdr:nvSpPr>
        <xdr:cNvPr id="6" name="TextBox 5">
          <a:extLst>
            <a:ext uri="{FF2B5EF4-FFF2-40B4-BE49-F238E27FC236}">
              <a16:creationId xmlns:a16="http://schemas.microsoft.com/office/drawing/2014/main" id="{B01C802C-4330-4B29-95D9-7289F6858EB4}"/>
            </a:ext>
          </a:extLst>
        </xdr:cNvPr>
        <xdr:cNvSpPr txBox="1"/>
      </xdr:nvSpPr>
      <xdr:spPr>
        <a:xfrm>
          <a:off x="2836474" y="51200261"/>
          <a:ext cx="2070031" cy="542078"/>
        </a:xfrm>
        <a:prstGeom prst="rect">
          <a:avLst/>
        </a:prstGeom>
        <a:solidFill>
          <a:schemeClr val="lt1"/>
        </a:solidFill>
        <a:ln w="9525" cmpd="sng">
          <a:solidFill>
            <a:srgbClr val="00206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300">
              <a:latin typeface="Arial Narrow" panose="020B0606020202030204" pitchFamily="34" charset="0"/>
            </a:rPr>
            <a:t>The formula</a:t>
          </a:r>
          <a:r>
            <a:rPr lang="en-GB" sz="1300" baseline="0">
              <a:latin typeface="Arial Narrow" panose="020B0606020202030204" pitchFamily="34" charset="0"/>
            </a:rPr>
            <a:t> is o</a:t>
          </a:r>
          <a:r>
            <a:rPr lang="en-GB" sz="1300">
              <a:latin typeface="Arial Narrow" panose="020B0606020202030204" pitchFamily="34" charset="0"/>
            </a:rPr>
            <a:t>nly entered in the first cell</a:t>
          </a:r>
        </a:p>
      </xdr:txBody>
    </xdr:sp>
    <xdr:clientData/>
  </xdr:twoCellAnchor>
  <xdr:twoCellAnchor>
    <xdr:from>
      <xdr:col>2</xdr:col>
      <xdr:colOff>1608667</xdr:colOff>
      <xdr:row>236</xdr:row>
      <xdr:rowOff>70556</xdr:rowOff>
    </xdr:from>
    <xdr:to>
      <xdr:col>3</xdr:col>
      <xdr:colOff>444501</xdr:colOff>
      <xdr:row>238</xdr:row>
      <xdr:rowOff>49389</xdr:rowOff>
    </xdr:to>
    <xdr:cxnSp macro="">
      <xdr:nvCxnSpPr>
        <xdr:cNvPr id="7" name="Straight Arrow Connector 6">
          <a:extLst>
            <a:ext uri="{FF2B5EF4-FFF2-40B4-BE49-F238E27FC236}">
              <a16:creationId xmlns:a16="http://schemas.microsoft.com/office/drawing/2014/main" id="{7411BA47-FF81-4987-8C9A-F0E688A04B4F}"/>
            </a:ext>
          </a:extLst>
        </xdr:cNvPr>
        <xdr:cNvCxnSpPr/>
      </xdr:nvCxnSpPr>
      <xdr:spPr>
        <a:xfrm flipH="1" flipV="1">
          <a:off x="2105872" y="50913101"/>
          <a:ext cx="668444" cy="401743"/>
        </a:xfrm>
        <a:prstGeom prst="straightConnector1">
          <a:avLst/>
        </a:prstGeom>
        <a:ln w="28575">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368300</xdr:colOff>
      <xdr:row>236</xdr:row>
      <xdr:rowOff>25400</xdr:rowOff>
    </xdr:from>
    <xdr:to>
      <xdr:col>5</xdr:col>
      <xdr:colOff>80436</xdr:colOff>
      <xdr:row>238</xdr:row>
      <xdr:rowOff>46566</xdr:rowOff>
    </xdr:to>
    <xdr:cxnSp macro="">
      <xdr:nvCxnSpPr>
        <xdr:cNvPr id="8" name="Straight Arrow Connector 7">
          <a:extLst>
            <a:ext uri="{FF2B5EF4-FFF2-40B4-BE49-F238E27FC236}">
              <a16:creationId xmlns:a16="http://schemas.microsoft.com/office/drawing/2014/main" id="{FC2955EB-3319-49B5-A9DD-16FE692AB0C1}"/>
            </a:ext>
          </a:extLst>
        </xdr:cNvPr>
        <xdr:cNvCxnSpPr/>
      </xdr:nvCxnSpPr>
      <xdr:spPr>
        <a:xfrm flipH="1" flipV="1">
          <a:off x="3962400" y="52425600"/>
          <a:ext cx="690036" cy="452966"/>
        </a:xfrm>
        <a:prstGeom prst="straightConnector1">
          <a:avLst/>
        </a:prstGeom>
        <a:ln w="28575">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135468</xdr:colOff>
      <xdr:row>237</xdr:row>
      <xdr:rowOff>110063</xdr:rowOff>
    </xdr:from>
    <xdr:to>
      <xdr:col>7</xdr:col>
      <xdr:colOff>196148</xdr:colOff>
      <xdr:row>240</xdr:row>
      <xdr:rowOff>25396</xdr:rowOff>
    </xdr:to>
    <xdr:sp macro="" textlink="">
      <xdr:nvSpPr>
        <xdr:cNvPr id="9" name="TextBox 8">
          <a:extLst>
            <a:ext uri="{FF2B5EF4-FFF2-40B4-BE49-F238E27FC236}">
              <a16:creationId xmlns:a16="http://schemas.microsoft.com/office/drawing/2014/main" id="{E800622C-A4D3-49E7-9E40-B4DAE52D9B57}"/>
            </a:ext>
          </a:extLst>
        </xdr:cNvPr>
        <xdr:cNvSpPr txBox="1"/>
      </xdr:nvSpPr>
      <xdr:spPr>
        <a:xfrm>
          <a:off x="5799033" y="51162158"/>
          <a:ext cx="2076170" cy="542078"/>
        </a:xfrm>
        <a:prstGeom prst="rect">
          <a:avLst/>
        </a:prstGeom>
        <a:solidFill>
          <a:schemeClr val="lt1"/>
        </a:solidFill>
        <a:ln w="9525" cmpd="sng">
          <a:solidFill>
            <a:srgbClr val="00206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300">
              <a:latin typeface="Arial Narrow" panose="020B0606020202030204" pitchFamily="34" charset="0"/>
            </a:rPr>
            <a:t>The formula</a:t>
          </a:r>
          <a:r>
            <a:rPr lang="en-GB" sz="1300" baseline="0">
              <a:latin typeface="Arial Narrow" panose="020B0606020202030204" pitchFamily="34" charset="0"/>
            </a:rPr>
            <a:t> automatically extends to columns D and E</a:t>
          </a:r>
          <a:endParaRPr lang="en-GB" sz="1300">
            <a:latin typeface="Arial Narrow" panose="020B0606020202030204" pitchFamily="34" charset="0"/>
          </a:endParaRPr>
        </a:p>
      </xdr:txBody>
    </xdr:sp>
    <xdr:clientData/>
  </xdr:twoCellAnchor>
  <xdr:twoCellAnchor>
    <xdr:from>
      <xdr:col>3</xdr:col>
      <xdr:colOff>1000477</xdr:colOff>
      <xdr:row>249</xdr:row>
      <xdr:rowOff>169333</xdr:rowOff>
    </xdr:from>
    <xdr:to>
      <xdr:col>5</xdr:col>
      <xdr:colOff>498123</xdr:colOff>
      <xdr:row>252</xdr:row>
      <xdr:rowOff>101600</xdr:rowOff>
    </xdr:to>
    <xdr:sp macro="" textlink="">
      <xdr:nvSpPr>
        <xdr:cNvPr id="3" name="TextBox 2">
          <a:extLst>
            <a:ext uri="{FF2B5EF4-FFF2-40B4-BE49-F238E27FC236}">
              <a16:creationId xmlns:a16="http://schemas.microsoft.com/office/drawing/2014/main" id="{6D5D2606-FF64-8F49-9128-9D121BF6FEE2}"/>
            </a:ext>
          </a:extLst>
        </xdr:cNvPr>
        <xdr:cNvSpPr txBox="1"/>
      </xdr:nvSpPr>
      <xdr:spPr>
        <a:xfrm>
          <a:off x="3502377" y="55376233"/>
          <a:ext cx="1567746" cy="579967"/>
        </a:xfrm>
        <a:prstGeom prst="rect">
          <a:avLst/>
        </a:prstGeom>
        <a:solidFill>
          <a:schemeClr val="lt1"/>
        </a:solidFill>
        <a:ln w="9525" cmpd="sng">
          <a:solidFill>
            <a:srgbClr val="00206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300">
              <a:latin typeface="Arial Narrow" panose="020B0606020202030204" pitchFamily="34" charset="0"/>
            </a:rPr>
            <a:t>The formula</a:t>
          </a:r>
          <a:r>
            <a:rPr lang="en-GB" sz="1300" baseline="0">
              <a:latin typeface="Arial Narrow" panose="020B0606020202030204" pitchFamily="34" charset="0"/>
            </a:rPr>
            <a:t> is o</a:t>
          </a:r>
          <a:r>
            <a:rPr lang="en-GB" sz="1300">
              <a:latin typeface="Arial Narrow" panose="020B0606020202030204" pitchFamily="34" charset="0"/>
            </a:rPr>
            <a:t>nly entered in the first cell</a:t>
          </a:r>
        </a:p>
      </xdr:txBody>
    </xdr:sp>
    <xdr:clientData/>
  </xdr:twoCellAnchor>
  <xdr:twoCellAnchor>
    <xdr:from>
      <xdr:col>3</xdr:col>
      <xdr:colOff>38100</xdr:colOff>
      <xdr:row>251</xdr:row>
      <xdr:rowOff>27517</xdr:rowOff>
    </xdr:from>
    <xdr:to>
      <xdr:col>3</xdr:col>
      <xdr:colOff>1000477</xdr:colOff>
      <xdr:row>253</xdr:row>
      <xdr:rowOff>53623</xdr:rowOff>
    </xdr:to>
    <xdr:cxnSp macro="">
      <xdr:nvCxnSpPr>
        <xdr:cNvPr id="4" name="Straight Arrow Connector 3">
          <a:extLst>
            <a:ext uri="{FF2B5EF4-FFF2-40B4-BE49-F238E27FC236}">
              <a16:creationId xmlns:a16="http://schemas.microsoft.com/office/drawing/2014/main" id="{71F9144B-08FB-FA44-826B-E80FD4A4E6F4}"/>
            </a:ext>
          </a:extLst>
        </xdr:cNvPr>
        <xdr:cNvCxnSpPr>
          <a:stCxn id="3" idx="1"/>
        </xdr:cNvCxnSpPr>
      </xdr:nvCxnSpPr>
      <xdr:spPr>
        <a:xfrm flipH="1">
          <a:off x="2540000" y="55666217"/>
          <a:ext cx="962377" cy="457906"/>
        </a:xfrm>
        <a:prstGeom prst="straightConnector1">
          <a:avLst/>
        </a:prstGeom>
        <a:ln w="28575">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1926169</xdr:colOff>
      <xdr:row>254</xdr:row>
      <xdr:rowOff>127000</xdr:rowOff>
    </xdr:from>
    <xdr:to>
      <xdr:col>3</xdr:col>
      <xdr:colOff>901701</xdr:colOff>
      <xdr:row>256</xdr:row>
      <xdr:rowOff>52916</xdr:rowOff>
    </xdr:to>
    <xdr:cxnSp macro="">
      <xdr:nvCxnSpPr>
        <xdr:cNvPr id="10" name="Straight Arrow Connector 9">
          <a:extLst>
            <a:ext uri="{FF2B5EF4-FFF2-40B4-BE49-F238E27FC236}">
              <a16:creationId xmlns:a16="http://schemas.microsoft.com/office/drawing/2014/main" id="{FA0F0BDB-DEC5-BD4F-B012-16E7C851A6B7}"/>
            </a:ext>
          </a:extLst>
        </xdr:cNvPr>
        <xdr:cNvCxnSpPr>
          <a:stCxn id="11" idx="1"/>
        </xdr:cNvCxnSpPr>
      </xdr:nvCxnSpPr>
      <xdr:spPr>
        <a:xfrm flipH="1" flipV="1">
          <a:off x="2484969" y="56413400"/>
          <a:ext cx="918632" cy="357716"/>
        </a:xfrm>
        <a:prstGeom prst="straightConnector1">
          <a:avLst/>
        </a:prstGeom>
        <a:ln w="28575">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901701</xdr:colOff>
      <xdr:row>254</xdr:row>
      <xdr:rowOff>182031</xdr:rowOff>
    </xdr:from>
    <xdr:to>
      <xdr:col>5</xdr:col>
      <xdr:colOff>848081</xdr:colOff>
      <xdr:row>257</xdr:row>
      <xdr:rowOff>139701</xdr:rowOff>
    </xdr:to>
    <xdr:sp macro="" textlink="">
      <xdr:nvSpPr>
        <xdr:cNvPr id="11" name="TextBox 10">
          <a:extLst>
            <a:ext uri="{FF2B5EF4-FFF2-40B4-BE49-F238E27FC236}">
              <a16:creationId xmlns:a16="http://schemas.microsoft.com/office/drawing/2014/main" id="{DB1359F6-B854-2B44-ABA5-8E9399BA147F}"/>
            </a:ext>
          </a:extLst>
        </xdr:cNvPr>
        <xdr:cNvSpPr txBox="1"/>
      </xdr:nvSpPr>
      <xdr:spPr>
        <a:xfrm>
          <a:off x="3403601" y="56468431"/>
          <a:ext cx="2016480" cy="605370"/>
        </a:xfrm>
        <a:prstGeom prst="rect">
          <a:avLst/>
        </a:prstGeom>
        <a:solidFill>
          <a:schemeClr val="lt1"/>
        </a:solidFill>
        <a:ln w="9525" cmpd="sng">
          <a:solidFill>
            <a:srgbClr val="00206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300">
              <a:latin typeface="Arial Narrow" panose="020B0606020202030204" pitchFamily="34" charset="0"/>
            </a:rPr>
            <a:t>The formula</a:t>
          </a:r>
          <a:r>
            <a:rPr lang="en-GB" sz="1300" baseline="0">
              <a:latin typeface="Arial Narrow" panose="020B0606020202030204" pitchFamily="34" charset="0"/>
            </a:rPr>
            <a:t> automatically extends down to a second row</a:t>
          </a:r>
          <a:endParaRPr lang="en-GB" sz="1300">
            <a:latin typeface="Arial Narrow" panose="020B0606020202030204" pitchFamily="34" charset="0"/>
          </a:endParaRPr>
        </a:p>
      </xdr:txBody>
    </xdr:sp>
    <xdr:clientData/>
  </xdr:twoCellAnchor>
  <xdr:twoCellAnchor>
    <xdr:from>
      <xdr:col>5</xdr:col>
      <xdr:colOff>598308</xdr:colOff>
      <xdr:row>266</xdr:row>
      <xdr:rowOff>88900</xdr:rowOff>
    </xdr:from>
    <xdr:to>
      <xdr:col>7</xdr:col>
      <xdr:colOff>812800</xdr:colOff>
      <xdr:row>270</xdr:row>
      <xdr:rowOff>177800</xdr:rowOff>
    </xdr:to>
    <xdr:sp macro="" textlink="">
      <xdr:nvSpPr>
        <xdr:cNvPr id="15" name="TextBox 14">
          <a:extLst>
            <a:ext uri="{FF2B5EF4-FFF2-40B4-BE49-F238E27FC236}">
              <a16:creationId xmlns:a16="http://schemas.microsoft.com/office/drawing/2014/main" id="{F9D0EC5C-9198-C848-9702-CB3482480ECD}"/>
            </a:ext>
          </a:extLst>
        </xdr:cNvPr>
        <xdr:cNvSpPr txBox="1"/>
      </xdr:nvSpPr>
      <xdr:spPr>
        <a:xfrm>
          <a:off x="5170308" y="58966100"/>
          <a:ext cx="2170292" cy="952500"/>
        </a:xfrm>
        <a:prstGeom prst="rect">
          <a:avLst/>
        </a:prstGeom>
        <a:solidFill>
          <a:schemeClr val="lt1"/>
        </a:solidFill>
        <a:ln w="9525" cmpd="sng">
          <a:solidFill>
            <a:srgbClr val="00206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300">
              <a:latin typeface="Arial Narrow" panose="020B0606020202030204" pitchFamily="34" charset="0"/>
            </a:rPr>
            <a:t>We may have expected the formula to spill here as well, but Excel doesn't allow this (at the moment)</a:t>
          </a:r>
        </a:p>
      </xdr:txBody>
    </xdr:sp>
    <xdr:clientData/>
  </xdr:twoCellAnchor>
  <xdr:twoCellAnchor>
    <xdr:from>
      <xdr:col>4</xdr:col>
      <xdr:colOff>613831</xdr:colOff>
      <xdr:row>268</xdr:row>
      <xdr:rowOff>133350</xdr:rowOff>
    </xdr:from>
    <xdr:to>
      <xdr:col>5</xdr:col>
      <xdr:colOff>598308</xdr:colOff>
      <xdr:row>269</xdr:row>
      <xdr:rowOff>189090</xdr:rowOff>
    </xdr:to>
    <xdr:cxnSp macro="">
      <xdr:nvCxnSpPr>
        <xdr:cNvPr id="16" name="Straight Arrow Connector 15">
          <a:extLst>
            <a:ext uri="{FF2B5EF4-FFF2-40B4-BE49-F238E27FC236}">
              <a16:creationId xmlns:a16="http://schemas.microsoft.com/office/drawing/2014/main" id="{E2680024-49FF-804F-A50F-8B08FEF7D75B}"/>
            </a:ext>
          </a:extLst>
        </xdr:cNvPr>
        <xdr:cNvCxnSpPr>
          <a:stCxn id="15" idx="1"/>
        </xdr:cNvCxnSpPr>
      </xdr:nvCxnSpPr>
      <xdr:spPr>
        <a:xfrm flipH="1">
          <a:off x="4207931" y="59442350"/>
          <a:ext cx="962377" cy="271640"/>
        </a:xfrm>
        <a:prstGeom prst="straightConnector1">
          <a:avLst/>
        </a:prstGeom>
        <a:ln w="28575">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1892300</xdr:colOff>
      <xdr:row>270</xdr:row>
      <xdr:rowOff>59267</xdr:rowOff>
    </xdr:from>
    <xdr:to>
      <xdr:col>3</xdr:col>
      <xdr:colOff>867832</xdr:colOff>
      <xdr:row>274</xdr:row>
      <xdr:rowOff>25399</xdr:rowOff>
    </xdr:to>
    <xdr:cxnSp macro="">
      <xdr:nvCxnSpPr>
        <xdr:cNvPr id="17" name="Straight Arrow Connector 16">
          <a:extLst>
            <a:ext uri="{FF2B5EF4-FFF2-40B4-BE49-F238E27FC236}">
              <a16:creationId xmlns:a16="http://schemas.microsoft.com/office/drawing/2014/main" id="{0E6BE41D-0FAA-B94A-9562-518195ED3DB8}"/>
            </a:ext>
          </a:extLst>
        </xdr:cNvPr>
        <xdr:cNvCxnSpPr>
          <a:stCxn id="18" idx="1"/>
        </xdr:cNvCxnSpPr>
      </xdr:nvCxnSpPr>
      <xdr:spPr>
        <a:xfrm flipH="1" flipV="1">
          <a:off x="2451100" y="59800067"/>
          <a:ext cx="918632" cy="829732"/>
        </a:xfrm>
        <a:prstGeom prst="straightConnector1">
          <a:avLst/>
        </a:prstGeom>
        <a:ln w="28575">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867832</xdr:colOff>
      <xdr:row>270</xdr:row>
      <xdr:rowOff>114298</xdr:rowOff>
    </xdr:from>
    <xdr:to>
      <xdr:col>5</xdr:col>
      <xdr:colOff>814212</xdr:colOff>
      <xdr:row>277</xdr:row>
      <xdr:rowOff>152400</xdr:rowOff>
    </xdr:to>
    <xdr:sp macro="" textlink="">
      <xdr:nvSpPr>
        <xdr:cNvPr id="18" name="TextBox 17">
          <a:extLst>
            <a:ext uri="{FF2B5EF4-FFF2-40B4-BE49-F238E27FC236}">
              <a16:creationId xmlns:a16="http://schemas.microsoft.com/office/drawing/2014/main" id="{4AD334FE-8D34-A646-BB9C-4BE148781C46}"/>
            </a:ext>
          </a:extLst>
        </xdr:cNvPr>
        <xdr:cNvSpPr txBox="1"/>
      </xdr:nvSpPr>
      <xdr:spPr>
        <a:xfrm>
          <a:off x="3369732" y="59855098"/>
          <a:ext cx="2016480" cy="1549402"/>
        </a:xfrm>
        <a:prstGeom prst="rect">
          <a:avLst/>
        </a:prstGeom>
        <a:solidFill>
          <a:schemeClr val="lt1"/>
        </a:solidFill>
        <a:ln w="9525" cmpd="sng">
          <a:solidFill>
            <a:srgbClr val="00206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300">
              <a:latin typeface="Arial Narrow" panose="020B0606020202030204" pitchFamily="34" charset="0"/>
            </a:rPr>
            <a:t>This time we're using a range for both the input values and the lookup</a:t>
          </a:r>
          <a:r>
            <a:rPr lang="en-GB" sz="1300" baseline="0">
              <a:latin typeface="Arial Narrow" panose="020B0606020202030204" pitchFamily="34" charset="0"/>
            </a:rPr>
            <a:t> ranges.</a:t>
          </a:r>
        </a:p>
        <a:p>
          <a:endParaRPr lang="en-GB" sz="1300" baseline="0">
            <a:latin typeface="Arial Narrow" panose="020B0606020202030204" pitchFamily="34" charset="0"/>
          </a:endParaRPr>
        </a:p>
        <a:p>
          <a:r>
            <a:rPr lang="en-GB" sz="1300" baseline="0">
              <a:latin typeface="Arial Narrow" panose="020B0606020202030204" pitchFamily="34" charset="0"/>
            </a:rPr>
            <a:t>The result is still a dynamic array, but it's only extending down (not across)</a:t>
          </a:r>
          <a:endParaRPr lang="en-GB" sz="1300">
            <a:latin typeface="Arial Narrow" panose="020B0606020202030204"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220130</xdr:colOff>
      <xdr:row>84</xdr:row>
      <xdr:rowOff>84667</xdr:rowOff>
    </xdr:from>
    <xdr:to>
      <xdr:col>8</xdr:col>
      <xdr:colOff>1236130</xdr:colOff>
      <xdr:row>86</xdr:row>
      <xdr:rowOff>93133</xdr:rowOff>
    </xdr:to>
    <xdr:sp macro="" textlink="">
      <xdr:nvSpPr>
        <xdr:cNvPr id="2" name="Arrow: Right 1">
          <a:extLst>
            <a:ext uri="{FF2B5EF4-FFF2-40B4-BE49-F238E27FC236}">
              <a16:creationId xmlns:a16="http://schemas.microsoft.com/office/drawing/2014/main" id="{9D1EFA12-06F9-B24F-8A41-D430218EC6AA}"/>
            </a:ext>
          </a:extLst>
        </xdr:cNvPr>
        <xdr:cNvSpPr/>
      </xdr:nvSpPr>
      <xdr:spPr>
        <a:xfrm rot="10800000">
          <a:off x="8259230" y="19020367"/>
          <a:ext cx="1016000" cy="44026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5995C8D-0965-4D41-AB5E-55DB8D8CCBF4}" name="tbl_Version" displayName="tbl_Version" ref="D4:F5" totalsRowShown="0" headerRowDxfId="36" dataDxfId="34" headerRowBorderDxfId="35" tableBorderDxfId="33">
  <autoFilter ref="D4:F5" xr:uid="{F5995C8D-0965-4D41-AB5E-55DB8D8CCBF4}"/>
  <tableColumns count="3">
    <tableColumn id="1" xr3:uid="{26293502-2886-F34E-B195-945C59562EDB}" name="Version Number" dataDxfId="32"/>
    <tableColumn id="2" xr3:uid="{6182991D-9382-DC4D-B019-E9C73178C105}" name="Date" dataDxfId="31"/>
    <tableColumn id="3" xr3:uid="{F40CAF2E-9A95-A843-8033-E6DF805FD064}" name="Change Description" dataDxfId="30"/>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FD027B2-FC3E-CB47-8900-4354AA724053}" name="tbl_Sales" displayName="tbl_Sales" ref="C23:D54" totalsRowShown="0" headerRowDxfId="29" tableBorderDxfId="28" headerRowCellStyle="Normal 2">
  <autoFilter ref="C23:D54" xr:uid="{3FD027B2-FC3E-CB47-8900-4354AA724053}"/>
  <tableColumns count="2">
    <tableColumn id="1" xr3:uid="{80313A2B-4E9D-BE47-9E3D-646165AE9666}" name="Customer" dataDxfId="27" dataCellStyle="Normal 2"/>
    <tableColumn id="2" xr3:uid="{3C8716C8-4263-9A4B-8A6D-E747D7512AA9}" name="2017 Sales" dataDxfId="26" dataCellStyle="Normal 2"/>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14A6389-7F87-534C-99EE-DA4717E4DF6A}" name="TableSol" displayName="TableSol" ref="C23:D54" totalsRowShown="0" headerRowDxfId="25" tableBorderDxfId="24" headerRowCellStyle="Normal 2">
  <autoFilter ref="C23:D54" xr:uid="{714A6389-7F87-534C-99EE-DA4717E4DF6A}"/>
  <tableColumns count="2">
    <tableColumn id="1" xr3:uid="{FC52837D-5039-3345-A79C-B2359BF2267E}" name="Customer" dataDxfId="23" dataCellStyle="Normal 2"/>
    <tableColumn id="2" xr3:uid="{9C7BD991-DC1E-104D-9EAD-9A6E1ACFECA0}" name="2017 Sales" dataDxfId="22" dataCellStyle="Normal 2"/>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F018AF-0338-5C4A-8063-839EA0583BE3}" name="tbl_Bakeries" displayName="tbl_Bakeries" ref="C75:C78" totalsRowShown="0" headerRowDxfId="21" dataDxfId="19" headerRowBorderDxfId="20" tableBorderDxfId="18" dataCellStyle="Normal 4">
  <autoFilter ref="C75:C78" xr:uid="{EFA4DDC1-FCC5-4047-A5BE-0D57C79CCB24}"/>
  <tableColumns count="1">
    <tableColumn id="1" xr3:uid="{34FCC538-3477-D145-80DA-72B22C31A53E}" name="Bakeries" dataDxfId="17" dataCellStyle="Normal 4"/>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B17F957-4D6B-B946-AB24-4ECBB499A67C}" name="tbl_StaffBakery1" displayName="tbl_StaffBakery1" ref="E75:E79" totalsRowShown="0" headerRowDxfId="16" dataDxfId="14" headerRowBorderDxfId="15" tableBorderDxfId="13" dataCellStyle="Normal 4">
  <autoFilter ref="E75:E79" xr:uid="{DD0A7426-2FE0-4D19-942C-D24994E4FAA1}"/>
  <tableColumns count="1">
    <tableColumn id="1" xr3:uid="{3228B80A-9C35-5A4F-8837-16AD940F9F5E}" name="Bakery_1" dataDxfId="12" dataCellStyle="Normal 4"/>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F676060-7A9D-4145-865D-D8BA0D8E4F64}" name="tbl_StaffBakery2" displayName="tbl_StaffBakery2" ref="F75:F78" totalsRowShown="0" headerRowDxfId="11" dataDxfId="9" headerRowBorderDxfId="10" tableBorderDxfId="8" totalsRowBorderDxfId="7" dataCellStyle="Normal 4">
  <autoFilter ref="F75:F78" xr:uid="{CCBD4722-F129-471E-9CCE-4F44F1C2173E}"/>
  <tableColumns count="1">
    <tableColumn id="1" xr3:uid="{A580E981-5133-F347-9B12-27761493979F}" name="Bakery_2" dataDxfId="6" dataCellStyle="Normal 4"/>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8BD1F86-7AB1-6143-A6E9-A8AF0AD18DC9}" name="tbl_StaffBakery3" displayName="tbl_StaffBakery3" ref="G75:G77" totalsRowShown="0" headerRowDxfId="5" dataDxfId="3" headerRowBorderDxfId="4" tableBorderDxfId="2" totalsRowBorderDxfId="1" dataCellStyle="Normal 4">
  <autoFilter ref="G75:G77" xr:uid="{A5C79B22-9D73-44F9-9EC9-4DBAD616A55F}"/>
  <tableColumns count="1">
    <tableColumn id="1" xr3:uid="{53D621E5-EF4D-F344-9E2E-971C215ED2C2}" name="Bakery_3" dataDxfId="0" dataCellStyle="Normal 4"/>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3.bin"/><Relationship Id="rId1" Type="http://schemas.openxmlformats.org/officeDocument/2006/relationships/hyperlink" Target="https://exceljet.net/glossary/wildcard" TargetMode="External"/></Relationships>
</file>

<file path=xl/worksheets/_rels/sheet1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rinterSettings" Target="../printerSettings/printerSettings38.bin"/><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tint="0.249977111117893"/>
  </sheetPr>
  <dimension ref="A1:H19"/>
  <sheetViews>
    <sheetView showGridLines="0" showRowColHeaders="0" zoomScale="190" zoomScaleNormal="190" workbookViewId="0">
      <selection activeCell="B7" sqref="B7"/>
    </sheetView>
  </sheetViews>
  <sheetFormatPr defaultColWidth="0" defaultRowHeight="13.2" zeroHeight="1" x14ac:dyDescent="0.25"/>
  <cols>
    <col min="1" max="7" width="8.77734375" customWidth="1"/>
    <col min="8" max="8" width="7.44140625" customWidth="1"/>
    <col min="9" max="16384" width="8.77734375" hidden="1"/>
  </cols>
  <sheetData>
    <row r="1" spans="2:2" x14ac:dyDescent="0.25"/>
    <row r="2" spans="2:2" x14ac:dyDescent="0.25"/>
    <row r="3" spans="2:2" x14ac:dyDescent="0.25"/>
    <row r="4" spans="2:2" x14ac:dyDescent="0.25"/>
    <row r="5" spans="2:2" x14ac:dyDescent="0.25"/>
    <row r="6" spans="2:2" x14ac:dyDescent="0.25"/>
    <row r="7" spans="2:2" x14ac:dyDescent="0.25"/>
    <row r="8" spans="2:2" x14ac:dyDescent="0.25"/>
    <row r="9" spans="2:2" ht="25.8" x14ac:dyDescent="0.5">
      <c r="B9" s="1"/>
    </row>
    <row r="10" spans="2:2" x14ac:dyDescent="0.25"/>
    <row r="11" spans="2:2" x14ac:dyDescent="0.25"/>
    <row r="12" spans="2:2" x14ac:dyDescent="0.25"/>
    <row r="13" spans="2:2" x14ac:dyDescent="0.25"/>
    <row r="14" spans="2:2" x14ac:dyDescent="0.25"/>
    <row r="15" spans="2:2" x14ac:dyDescent="0.25"/>
    <row r="16" spans="2:2" x14ac:dyDescent="0.25"/>
    <row r="17" x14ac:dyDescent="0.25"/>
    <row r="18" x14ac:dyDescent="0.25"/>
    <row r="19" ht="9.4499999999999993" customHeight="1" x14ac:dyDescent="0.25"/>
  </sheetData>
  <sheetProtection algorithmName="SHA-512" hashValue="So9Qlvd4GnCf8MNYMYbkBCyowgXZbgqthcVQ3RnnoEHYXm2YnShi5XTrVnPF8tTqnCjqNWDYIXNsfAlPiPL1vA==" saltValue="KfCQgXS0kgbt6fELX8IfYg==" spinCount="100000"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86956-6439-3045-B47D-13D9E6A2D608}">
  <sheetPr>
    <tabColor theme="1" tint="0.249977111117893"/>
  </sheetPr>
  <dimension ref="A1:AJ5"/>
  <sheetViews>
    <sheetView showGridLines="0" zoomScale="120" zoomScaleNormal="120" workbookViewId="0">
      <pane ySplit="1" topLeftCell="A2" activePane="bottomLeft" state="frozen"/>
      <selection pane="bottomLeft"/>
    </sheetView>
  </sheetViews>
  <sheetFormatPr defaultColWidth="0" defaultRowHeight="16.8" x14ac:dyDescent="0.25"/>
  <cols>
    <col min="1" max="2" width="3.6640625" style="7" customWidth="1"/>
    <col min="3" max="3" width="4" style="7" customWidth="1"/>
    <col min="4" max="4" width="18.6640625" style="7" customWidth="1"/>
    <col min="5" max="5" width="21.33203125" style="7" customWidth="1"/>
    <col min="6" max="6" width="118.44140625" style="7" customWidth="1"/>
    <col min="7" max="7" width="20.44140625" style="7" customWidth="1"/>
    <col min="8" max="8" width="41.109375" style="7" customWidth="1"/>
    <col min="9" max="9" width="39.44140625" style="7" customWidth="1"/>
    <col min="10" max="10" width="70.77734375" style="7" customWidth="1"/>
    <col min="11" max="36" width="0" style="7" hidden="1" customWidth="1"/>
    <col min="37" max="16384" width="8.77734375" style="7" hidden="1"/>
  </cols>
  <sheetData>
    <row r="1" spans="1:10" s="5" customFormat="1" ht="49.95" customHeight="1" x14ac:dyDescent="0.3">
      <c r="A1" s="2"/>
      <c r="B1" s="3" t="s">
        <v>1327</v>
      </c>
      <c r="C1" s="2"/>
      <c r="D1" s="2"/>
      <c r="E1" s="2"/>
      <c r="F1" s="4"/>
      <c r="G1" s="4"/>
      <c r="H1" s="4"/>
      <c r="I1" s="4"/>
      <c r="J1" s="4"/>
    </row>
    <row r="4" spans="1:10" x14ac:dyDescent="0.25">
      <c r="D4" s="229" t="s">
        <v>1328</v>
      </c>
      <c r="E4" s="230" t="s">
        <v>749</v>
      </c>
      <c r="F4" s="231" t="s">
        <v>1329</v>
      </c>
    </row>
    <row r="5" spans="1:10" x14ac:dyDescent="0.3">
      <c r="D5" s="233">
        <v>1.01</v>
      </c>
      <c r="E5" s="232" t="s">
        <v>1330</v>
      </c>
      <c r="F5" s="232"/>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tint="0.249977111117893"/>
  </sheetPr>
  <dimension ref="A1:AJ26"/>
  <sheetViews>
    <sheetView showGridLines="0" zoomScaleNormal="100" workbookViewId="0">
      <pane ySplit="1" topLeftCell="A12" activePane="bottomLeft" state="frozen"/>
      <selection pane="bottomLeft"/>
    </sheetView>
  </sheetViews>
  <sheetFormatPr defaultColWidth="0" defaultRowHeight="16.8" x14ac:dyDescent="0.25"/>
  <cols>
    <col min="1" max="2" width="3.6640625" style="7" customWidth="1"/>
    <col min="3" max="3" width="10.44140625" style="7" customWidth="1"/>
    <col min="4" max="4" width="27.109375" style="7" customWidth="1"/>
    <col min="5" max="5" width="21.33203125" style="7" customWidth="1"/>
    <col min="6" max="6" width="22.44140625" style="7" customWidth="1"/>
    <col min="7" max="7" width="20.44140625" style="7" customWidth="1"/>
    <col min="8" max="8" width="41.109375" style="7" customWidth="1"/>
    <col min="9" max="9" width="39.44140625" style="7" customWidth="1"/>
    <col min="10" max="10" width="70.77734375" style="7" customWidth="1"/>
    <col min="11" max="36" width="0" style="7" hidden="1" customWidth="1"/>
    <col min="37" max="16384" width="8.77734375" style="7" hidden="1"/>
  </cols>
  <sheetData>
    <row r="1" spans="1:10" s="5" customFormat="1" ht="49.95" customHeight="1" x14ac:dyDescent="0.3">
      <c r="A1" s="2"/>
      <c r="B1" s="3" t="s">
        <v>1</v>
      </c>
      <c r="C1" s="2"/>
      <c r="D1" s="2"/>
      <c r="E1" s="2"/>
      <c r="F1" s="4"/>
      <c r="G1" s="4"/>
      <c r="H1" s="4"/>
      <c r="I1" s="4"/>
      <c r="J1" s="4"/>
    </row>
    <row r="3" spans="1:10" s="5" customFormat="1" ht="21" x14ac:dyDescent="0.5">
      <c r="A3" s="13"/>
      <c r="B3" s="13" t="s">
        <v>2</v>
      </c>
      <c r="C3" s="13"/>
      <c r="D3" s="13"/>
      <c r="E3" s="13"/>
      <c r="F3" s="13"/>
      <c r="G3" s="13"/>
      <c r="H3" s="13"/>
      <c r="I3" s="13"/>
      <c r="J3" s="13"/>
    </row>
    <row r="4" spans="1:10" s="6" customFormat="1" ht="19.95" customHeight="1" x14ac:dyDescent="0.25">
      <c r="C4" s="12" t="s">
        <v>1273</v>
      </c>
    </row>
    <row r="5" spans="1:10" s="6" customFormat="1" ht="19.95" customHeight="1" x14ac:dyDescent="0.25">
      <c r="C5" s="12" t="s">
        <v>766</v>
      </c>
    </row>
    <row r="6" spans="1:10" s="6" customFormat="1" ht="19.95" customHeight="1" x14ac:dyDescent="0.25">
      <c r="C6" s="12" t="s">
        <v>898</v>
      </c>
    </row>
    <row r="7" spans="1:10" s="6" customFormat="1" ht="19.95" customHeight="1" x14ac:dyDescent="0.25">
      <c r="C7" s="12" t="s">
        <v>1274</v>
      </c>
    </row>
    <row r="8" spans="1:10" s="6" customFormat="1" ht="19.95" customHeight="1" x14ac:dyDescent="0.25">
      <c r="C8" s="12" t="s">
        <v>767</v>
      </c>
    </row>
    <row r="9" spans="1:10" x14ac:dyDescent="0.25">
      <c r="C9" s="227" t="s">
        <v>1277</v>
      </c>
    </row>
    <row r="11" spans="1:10" s="5" customFormat="1" ht="21" x14ac:dyDescent="0.5">
      <c r="A11" s="13"/>
      <c r="B11" s="13" t="s">
        <v>3</v>
      </c>
      <c r="C11" s="13"/>
      <c r="D11" s="13"/>
      <c r="E11" s="13"/>
      <c r="F11" s="13"/>
      <c r="G11" s="13"/>
      <c r="H11" s="13"/>
      <c r="I11" s="13"/>
      <c r="J11" s="13"/>
    </row>
    <row r="12" spans="1:10" s="6" customFormat="1" ht="19.95" customHeight="1" x14ac:dyDescent="0.25">
      <c r="C12" s="12" t="s">
        <v>5</v>
      </c>
    </row>
    <row r="13" spans="1:10" s="6" customFormat="1" ht="19.95" customHeight="1" x14ac:dyDescent="0.25">
      <c r="C13" s="12" t="s">
        <v>1275</v>
      </c>
    </row>
    <row r="14" spans="1:10" s="6" customFormat="1" ht="19.95" customHeight="1" x14ac:dyDescent="0.25">
      <c r="C14" s="12" t="s">
        <v>13</v>
      </c>
    </row>
    <row r="16" spans="1:10" s="5" customFormat="1" ht="21" x14ac:dyDescent="0.5">
      <c r="A16" s="13"/>
      <c r="B16" s="13" t="s">
        <v>4</v>
      </c>
      <c r="C16" s="13"/>
      <c r="D16" s="13"/>
      <c r="E16" s="13"/>
      <c r="F16" s="13"/>
      <c r="G16" s="13"/>
      <c r="H16" s="13"/>
      <c r="I16" s="13"/>
      <c r="J16" s="13"/>
    </row>
    <row r="18" spans="3:4" ht="19.95" customHeight="1" x14ac:dyDescent="0.3">
      <c r="C18" s="8"/>
      <c r="D18" s="9" t="s">
        <v>6</v>
      </c>
    </row>
    <row r="19" spans="3:4" ht="19.95" customHeight="1" x14ac:dyDescent="0.3">
      <c r="C19" s="10" t="b">
        <f xml:space="preserve"> 1 + 1 = 2</f>
        <v>1</v>
      </c>
      <c r="D19" s="9" t="s">
        <v>12</v>
      </c>
    </row>
    <row r="23" spans="3:4" x14ac:dyDescent="0.25">
      <c r="C23" s="7" t="s">
        <v>1323</v>
      </c>
    </row>
    <row r="24" spans="3:4" x14ac:dyDescent="0.25">
      <c r="C24" s="7" t="s">
        <v>1324</v>
      </c>
    </row>
    <row r="25" spans="3:4" x14ac:dyDescent="0.25">
      <c r="C25" s="7" t="s">
        <v>1325</v>
      </c>
    </row>
    <row r="26" spans="3:4" x14ac:dyDescent="0.25">
      <c r="C26" s="7" t="s">
        <v>1326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70E03-54BA-439C-9BF7-178996EAB59F}">
  <sheetPr>
    <pageSetUpPr fitToPage="1"/>
  </sheetPr>
  <dimension ref="A1:AO73"/>
  <sheetViews>
    <sheetView showGridLines="0" zoomScaleNormal="100" workbookViewId="0">
      <pane ySplit="1" topLeftCell="A2" activePane="bottomLeft" state="frozen"/>
      <selection pane="bottomLeft"/>
    </sheetView>
  </sheetViews>
  <sheetFormatPr defaultColWidth="0" defaultRowHeight="16.8" x14ac:dyDescent="0.3"/>
  <cols>
    <col min="1" max="2" width="3.6640625" style="21" customWidth="1"/>
    <col min="3" max="3" width="42.77734375" style="21" customWidth="1"/>
    <col min="4" max="4" width="11.109375" style="21" bestFit="1" customWidth="1"/>
    <col min="5" max="5" width="5" style="21" customWidth="1"/>
    <col min="6" max="6" width="5.109375" style="21" customWidth="1"/>
    <col min="7" max="7" width="20.109375" style="21" customWidth="1"/>
    <col min="8" max="8" width="9.109375" style="21" customWidth="1"/>
    <col min="9" max="9" width="11.77734375" style="21" bestFit="1" customWidth="1"/>
    <col min="10" max="13" width="11.77734375" style="21" customWidth="1"/>
    <col min="14" max="14" width="106" style="21" customWidth="1"/>
    <col min="15" max="41" width="0" style="21" hidden="1" customWidth="1"/>
    <col min="42" max="16384" width="9.109375" style="21" hidden="1"/>
  </cols>
  <sheetData>
    <row r="1" spans="1:14" s="52" customFormat="1" ht="49.95" customHeight="1" x14ac:dyDescent="0.3">
      <c r="A1" s="49"/>
      <c r="B1" s="50" t="s">
        <v>561</v>
      </c>
      <c r="C1" s="49"/>
      <c r="D1" s="49"/>
      <c r="E1" s="49"/>
      <c r="F1" s="51"/>
      <c r="G1" s="51"/>
      <c r="H1" s="51"/>
      <c r="I1" s="51"/>
      <c r="J1" s="51"/>
      <c r="K1" s="51"/>
      <c r="L1" s="51"/>
      <c r="M1" s="51"/>
      <c r="N1" s="51"/>
    </row>
    <row r="3" spans="1:14" ht="21" x14ac:dyDescent="0.5">
      <c r="B3" s="53" t="s">
        <v>562</v>
      </c>
      <c r="C3" s="53"/>
    </row>
    <row r="4" spans="1:14" ht="10.050000000000001" customHeight="1" x14ac:dyDescent="0.5">
      <c r="B4" s="53"/>
      <c r="C4" s="53"/>
    </row>
    <row r="5" spans="1:14" ht="21" x14ac:dyDescent="0.5">
      <c r="B5" s="53"/>
      <c r="C5" s="53" t="s">
        <v>563</v>
      </c>
    </row>
    <row r="6" spans="1:14" ht="21" x14ac:dyDescent="0.5">
      <c r="B6" s="53"/>
      <c r="C6" s="53" t="s">
        <v>564</v>
      </c>
    </row>
    <row r="8" spans="1:14" s="52" customFormat="1" ht="21" x14ac:dyDescent="0.5">
      <c r="A8" s="56"/>
      <c r="B8" s="56" t="s">
        <v>7</v>
      </c>
      <c r="C8" s="56"/>
      <c r="D8" s="56"/>
      <c r="E8" s="56"/>
      <c r="F8" s="56"/>
      <c r="G8" s="56"/>
      <c r="H8" s="56"/>
      <c r="I8" s="56"/>
      <c r="J8" s="56"/>
      <c r="K8" s="56"/>
      <c r="L8" s="56"/>
      <c r="M8" s="56"/>
      <c r="N8" s="56"/>
    </row>
    <row r="9" spans="1:14" ht="19.95" customHeight="1" x14ac:dyDescent="0.3">
      <c r="C9" s="21" t="s">
        <v>565</v>
      </c>
    </row>
    <row r="11" spans="1:14" s="52" customFormat="1" ht="21" x14ac:dyDescent="0.5">
      <c r="A11" s="56"/>
      <c r="B11" s="56" t="s">
        <v>8</v>
      </c>
      <c r="C11" s="56"/>
      <c r="D11" s="56"/>
      <c r="E11" s="56"/>
      <c r="F11" s="56"/>
      <c r="G11" s="56"/>
      <c r="H11" s="56"/>
      <c r="I11" s="56"/>
      <c r="J11" s="56"/>
      <c r="K11" s="56"/>
      <c r="L11" s="56"/>
      <c r="M11" s="56"/>
      <c r="N11" s="56"/>
    </row>
    <row r="13" spans="1:14" x14ac:dyDescent="0.3">
      <c r="C13" s="21" t="s">
        <v>566</v>
      </c>
    </row>
    <row r="15" spans="1:14" x14ac:dyDescent="0.3">
      <c r="C15" s="98" t="s">
        <v>567</v>
      </c>
      <c r="G15" s="114" t="str">
        <f>LEFT(C15, 21)</f>
        <v>************  5623154</v>
      </c>
      <c r="I15" s="21" t="str">
        <f ca="1">_xlfn.FORMULATEXT(G15)</f>
        <v>=LEFT(C15, 21)</v>
      </c>
    </row>
    <row r="17" spans="1:14" x14ac:dyDescent="0.3">
      <c r="C17" s="21" t="s">
        <v>568</v>
      </c>
    </row>
    <row r="19" spans="1:14" x14ac:dyDescent="0.3">
      <c r="C19" s="32" t="s">
        <v>34</v>
      </c>
    </row>
    <row r="20" spans="1:14" x14ac:dyDescent="0.3">
      <c r="C20" s="21" t="s">
        <v>569</v>
      </c>
    </row>
    <row r="22" spans="1:14" s="52" customFormat="1" ht="21" x14ac:dyDescent="0.5">
      <c r="A22" s="56"/>
      <c r="B22" s="56" t="s">
        <v>570</v>
      </c>
      <c r="C22" s="56"/>
      <c r="D22" s="56"/>
      <c r="E22" s="56"/>
      <c r="F22" s="56"/>
      <c r="G22" s="56"/>
      <c r="H22" s="56"/>
      <c r="I22" s="56"/>
      <c r="J22" s="56"/>
      <c r="K22" s="56"/>
      <c r="L22" s="56"/>
      <c r="M22" s="56"/>
      <c r="N22" s="56"/>
    </row>
    <row r="24" spans="1:14" x14ac:dyDescent="0.3">
      <c r="C24" s="21" t="s">
        <v>1276</v>
      </c>
    </row>
    <row r="26" spans="1:14" x14ac:dyDescent="0.3">
      <c r="C26" s="115" t="s">
        <v>571</v>
      </c>
      <c r="D26" s="115" t="s">
        <v>572</v>
      </c>
    </row>
    <row r="27" spans="1:14" x14ac:dyDescent="0.3">
      <c r="C27" s="98" t="s">
        <v>567</v>
      </c>
      <c r="D27" s="98">
        <v>21</v>
      </c>
      <c r="G27" s="114" t="str">
        <f>LEFT(C27, D27)</f>
        <v>************  5623154</v>
      </c>
      <c r="I27" s="21" t="str">
        <f ca="1">_xlfn.FORMULATEXT(G27)</f>
        <v>=LEFT(C27, D27)</v>
      </c>
    </row>
    <row r="29" spans="1:14" s="52" customFormat="1" ht="21" x14ac:dyDescent="0.5">
      <c r="A29" s="56"/>
      <c r="B29" s="56" t="s">
        <v>114</v>
      </c>
      <c r="C29" s="56"/>
      <c r="D29" s="56"/>
      <c r="E29" s="56"/>
      <c r="F29" s="56"/>
      <c r="G29" s="56"/>
      <c r="H29" s="56"/>
      <c r="I29" s="56"/>
      <c r="J29" s="56"/>
      <c r="K29" s="56"/>
      <c r="L29" s="56"/>
      <c r="M29" s="56"/>
      <c r="N29" s="56"/>
    </row>
    <row r="31" spans="1:14" x14ac:dyDescent="0.3">
      <c r="C31" s="37" t="s">
        <v>573</v>
      </c>
    </row>
    <row r="33" spans="3:9" x14ac:dyDescent="0.3">
      <c r="C33" s="21" t="s">
        <v>574</v>
      </c>
    </row>
    <row r="35" spans="3:9" x14ac:dyDescent="0.3">
      <c r="C35" s="98" t="s">
        <v>575</v>
      </c>
      <c r="G35" s="187" t="str">
        <f t="shared" ref="G35:G40" si="0">LEFT(C35, 8)</f>
        <v>1573f821</v>
      </c>
      <c r="I35" s="21" t="str">
        <f t="shared" ref="I35:I40" ca="1" si="1">_xlfn.FORMULATEXT(G35)</f>
        <v>=LEFT(C35, 8)</v>
      </c>
    </row>
    <row r="36" spans="3:9" x14ac:dyDescent="0.3">
      <c r="C36" s="98" t="s">
        <v>576</v>
      </c>
      <c r="G36" s="187" t="str">
        <f t="shared" si="0"/>
        <v>f46a8843</v>
      </c>
      <c r="I36" s="21" t="str">
        <f t="shared" ca="1" si="1"/>
        <v>=LEFT(C36, 8)</v>
      </c>
    </row>
    <row r="37" spans="3:9" x14ac:dyDescent="0.3">
      <c r="C37" s="98" t="s">
        <v>577</v>
      </c>
      <c r="G37" s="187" t="str">
        <f t="shared" si="0"/>
        <v>3b27d9e0</v>
      </c>
      <c r="I37" s="21" t="str">
        <f t="shared" ca="1" si="1"/>
        <v>=LEFT(C37, 8)</v>
      </c>
    </row>
    <row r="38" spans="3:9" x14ac:dyDescent="0.3">
      <c r="C38" s="98" t="s">
        <v>578</v>
      </c>
      <c r="G38" s="187" t="str">
        <f t="shared" si="0"/>
        <v>c4t30530</v>
      </c>
      <c r="I38" s="21" t="str">
        <f t="shared" ca="1" si="1"/>
        <v>=LEFT(C38, 8)</v>
      </c>
    </row>
    <row r="39" spans="3:9" x14ac:dyDescent="0.3">
      <c r="C39" s="98" t="s">
        <v>579</v>
      </c>
      <c r="G39" s="187" t="str">
        <f t="shared" si="0"/>
        <v>d11512d1</v>
      </c>
      <c r="I39" s="21" t="str">
        <f t="shared" ca="1" si="1"/>
        <v>=LEFT(C39, 8)</v>
      </c>
    </row>
    <row r="40" spans="3:9" x14ac:dyDescent="0.3">
      <c r="C40" s="98" t="s">
        <v>580</v>
      </c>
      <c r="G40" s="187" t="str">
        <f t="shared" si="0"/>
        <v>bd40b730</v>
      </c>
      <c r="I40" s="21" t="str">
        <f t="shared" ca="1" si="1"/>
        <v>=LEFT(C40, 8)</v>
      </c>
    </row>
    <row r="43" spans="3:9" x14ac:dyDescent="0.3">
      <c r="C43" s="21" t="s">
        <v>972</v>
      </c>
    </row>
    <row r="45" spans="3:9" x14ac:dyDescent="0.3">
      <c r="C45" s="128" t="s">
        <v>973</v>
      </c>
      <c r="G45" s="187" t="str" cm="1">
        <f t="array" ref="G45:G51">LEFT(C45:C51, 4)</f>
        <v>2018</v>
      </c>
      <c r="I45" s="21" t="str">
        <f ca="1">_xlfn.FORMULATEXT(G45)</f>
        <v>=LEFT(C45:C51, 4)</v>
      </c>
    </row>
    <row r="46" spans="3:9" x14ac:dyDescent="0.3">
      <c r="C46" s="128" t="s">
        <v>974</v>
      </c>
      <c r="G46" s="137" t="str">
        <v>2018</v>
      </c>
    </row>
    <row r="47" spans="3:9" x14ac:dyDescent="0.3">
      <c r="C47" s="128" t="s">
        <v>975</v>
      </c>
      <c r="G47" s="137" t="str">
        <v>2018</v>
      </c>
    </row>
    <row r="48" spans="3:9" x14ac:dyDescent="0.3">
      <c r="C48" s="128" t="s">
        <v>976</v>
      </c>
      <c r="G48" s="137" t="str">
        <v>2018</v>
      </c>
    </row>
    <row r="49" spans="1:14" x14ac:dyDescent="0.3">
      <c r="C49" s="128" t="s">
        <v>977</v>
      </c>
      <c r="G49" s="137" t="str">
        <v>2019</v>
      </c>
    </row>
    <row r="50" spans="1:14" x14ac:dyDescent="0.3">
      <c r="C50" s="128" t="s">
        <v>978</v>
      </c>
      <c r="G50" s="137" t="str">
        <v>2020</v>
      </c>
    </row>
    <row r="51" spans="1:14" x14ac:dyDescent="0.3">
      <c r="C51" s="128" t="s">
        <v>979</v>
      </c>
      <c r="G51" s="137" t="str">
        <v>2021</v>
      </c>
    </row>
    <row r="53" spans="1:14" x14ac:dyDescent="0.3">
      <c r="C53" s="21" t="s">
        <v>1278</v>
      </c>
    </row>
    <row r="56" spans="1:14" s="52" customFormat="1" ht="21" x14ac:dyDescent="0.5">
      <c r="A56" s="56"/>
      <c r="B56" s="56" t="s">
        <v>10</v>
      </c>
      <c r="C56" s="56"/>
      <c r="D56" s="56"/>
      <c r="E56" s="56"/>
      <c r="F56" s="56"/>
      <c r="G56" s="56"/>
      <c r="H56" s="56"/>
      <c r="I56" s="56"/>
      <c r="J56" s="56"/>
      <c r="K56" s="56"/>
      <c r="L56" s="56"/>
      <c r="M56" s="56"/>
      <c r="N56" s="56"/>
    </row>
    <row r="58" spans="1:14" x14ac:dyDescent="0.3">
      <c r="C58" s="37" t="s">
        <v>581</v>
      </c>
    </row>
    <row r="60" spans="1:14" x14ac:dyDescent="0.3">
      <c r="C60" s="98" t="s">
        <v>582</v>
      </c>
      <c r="G60" s="187"/>
    </row>
    <row r="61" spans="1:14" x14ac:dyDescent="0.3">
      <c r="C61" s="98" t="s">
        <v>583</v>
      </c>
      <c r="G61" s="187"/>
    </row>
    <row r="62" spans="1:14" x14ac:dyDescent="0.3">
      <c r="C62" s="98" t="s">
        <v>584</v>
      </c>
      <c r="G62" s="187"/>
    </row>
    <row r="63" spans="1:14" x14ac:dyDescent="0.3">
      <c r="C63" s="98" t="s">
        <v>585</v>
      </c>
      <c r="G63" s="187"/>
    </row>
    <row r="64" spans="1:14" x14ac:dyDescent="0.3">
      <c r="G64" s="137"/>
    </row>
    <row r="65" spans="1:14" s="52" customFormat="1" ht="21" x14ac:dyDescent="0.5">
      <c r="A65" s="56"/>
      <c r="B65" s="56" t="s">
        <v>11</v>
      </c>
      <c r="C65" s="56"/>
      <c r="D65" s="56"/>
      <c r="E65" s="56"/>
      <c r="F65" s="56"/>
      <c r="G65" s="188"/>
      <c r="H65" s="56"/>
      <c r="I65" s="56"/>
      <c r="J65" s="56"/>
      <c r="K65" s="56"/>
      <c r="L65" s="56"/>
      <c r="M65" s="56"/>
      <c r="N65" s="56"/>
    </row>
    <row r="66" spans="1:14" x14ac:dyDescent="0.3">
      <c r="G66" s="137"/>
    </row>
    <row r="67" spans="1:14" x14ac:dyDescent="0.3">
      <c r="C67" s="37" t="s">
        <v>581</v>
      </c>
      <c r="G67" s="137"/>
    </row>
    <row r="68" spans="1:14" x14ac:dyDescent="0.3">
      <c r="G68" s="137"/>
    </row>
    <row r="69" spans="1:14" x14ac:dyDescent="0.3">
      <c r="C69" s="98" t="s">
        <v>582</v>
      </c>
      <c r="G69" s="187" t="str">
        <f>LEFT(C69, 3)</f>
        <v>Jan</v>
      </c>
      <c r="I69" s="21" t="str">
        <f ca="1">_xlfn.FORMULATEXT(G69)</f>
        <v>=LEFT(C69, 3)</v>
      </c>
      <c r="L69" s="187" t="str" cm="1">
        <f t="array" ref="L69:L72">LEFT(C69:C72, 3)</f>
        <v>Jan</v>
      </c>
    </row>
    <row r="70" spans="1:14" x14ac:dyDescent="0.3">
      <c r="C70" s="98" t="s">
        <v>583</v>
      </c>
      <c r="G70" s="187" t="str">
        <f>LEFT(C70, 3)</f>
        <v>Mar</v>
      </c>
      <c r="I70" s="21" t="str">
        <f t="shared" ref="I70:I72" ca="1" si="2">_xlfn.FORMULATEXT(G70)</f>
        <v>=LEFT(C70, 3)</v>
      </c>
      <c r="K70" s="21" t="s">
        <v>1169</v>
      </c>
      <c r="L70" s="137" t="str">
        <v>Mar</v>
      </c>
    </row>
    <row r="71" spans="1:14" x14ac:dyDescent="0.3">
      <c r="C71" s="98" t="s">
        <v>584</v>
      </c>
      <c r="G71" s="187" t="str">
        <f>LEFT(C71, 3)</f>
        <v>Jan</v>
      </c>
      <c r="I71" s="21" t="str">
        <f t="shared" ca="1" si="2"/>
        <v>=LEFT(C71, 3)</v>
      </c>
      <c r="L71" s="137" t="str">
        <v>Jan</v>
      </c>
    </row>
    <row r="72" spans="1:14" x14ac:dyDescent="0.3">
      <c r="C72" s="98" t="s">
        <v>1282</v>
      </c>
      <c r="G72" s="187" t="str">
        <f>LEFT(C72, 3)</f>
        <v>Dec</v>
      </c>
      <c r="I72" s="21" t="str">
        <f t="shared" ca="1" si="2"/>
        <v>=LEFT(C72, 3)</v>
      </c>
      <c r="L72" s="137" t="str">
        <v>Dec</v>
      </c>
    </row>
    <row r="73" spans="1:14" x14ac:dyDescent="0.3">
      <c r="G73" s="137"/>
    </row>
  </sheetData>
  <printOptions horizontalCentered="1"/>
  <pageMargins left="0.15748031496063" right="0.15748031496063" top="0.78740157480314998" bottom="0.78740157480314998" header="0.511811023622047" footer="0.511811023622047"/>
  <pageSetup paperSize="9" scale="47" orientation="landscape" r:id="rId1"/>
  <headerFooter alignWithMargins="0">
    <oddFooter xml:space="preserve">&amp;CClarity Consultancy Services Ltd   info@clarityconsultancyservices.co.uk
Registered in the UK (6619745). Registered Office:  Suite 6 Bourne Gate, Bourne Valley Rd, Poole, BH12 1DY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DA100-716E-4D7E-B83F-0A83495282E4}">
  <sheetPr>
    <pageSetUpPr fitToPage="1"/>
  </sheetPr>
  <dimension ref="A1:AN72"/>
  <sheetViews>
    <sheetView showGridLines="0" zoomScaleNormal="100" workbookViewId="0">
      <pane ySplit="1" topLeftCell="A2" activePane="bottomLeft" state="frozen"/>
      <selection pane="bottomLeft"/>
    </sheetView>
  </sheetViews>
  <sheetFormatPr defaultColWidth="0" defaultRowHeight="16.8" x14ac:dyDescent="0.3"/>
  <cols>
    <col min="1" max="2" width="3.6640625" style="21" customWidth="1"/>
    <col min="3" max="3" width="42.77734375" style="21" customWidth="1"/>
    <col min="4" max="4" width="11.77734375" style="21" customWidth="1"/>
    <col min="5" max="5" width="13.44140625" style="21" customWidth="1"/>
    <col min="6" max="6" width="9.109375" style="21" customWidth="1"/>
    <col min="7" max="7" width="13.109375" style="21" bestFit="1" customWidth="1"/>
    <col min="8" max="8" width="9.109375" style="21" customWidth="1"/>
    <col min="9" max="12" width="19.44140625" style="21" customWidth="1"/>
    <col min="13" max="13" width="125" style="21" customWidth="1"/>
    <col min="14" max="40" width="0" style="21" hidden="1" customWidth="1"/>
    <col min="41" max="16384" width="9.109375" style="21" hidden="1"/>
  </cols>
  <sheetData>
    <row r="1" spans="1:13" s="52" customFormat="1" ht="49.95" customHeight="1" x14ac:dyDescent="0.3">
      <c r="A1" s="49"/>
      <c r="B1" s="50" t="s">
        <v>586</v>
      </c>
      <c r="C1" s="49"/>
      <c r="D1" s="49"/>
      <c r="E1" s="49"/>
      <c r="F1" s="51"/>
      <c r="G1" s="51"/>
      <c r="H1" s="51"/>
      <c r="I1" s="51"/>
      <c r="J1" s="51"/>
      <c r="K1" s="51"/>
      <c r="L1" s="51"/>
      <c r="M1" s="51"/>
    </row>
    <row r="3" spans="1:13" ht="21" x14ac:dyDescent="0.5">
      <c r="B3" s="53" t="s">
        <v>587</v>
      </c>
      <c r="C3" s="53"/>
    </row>
    <row r="4" spans="1:13" ht="10.050000000000001" customHeight="1" x14ac:dyDescent="0.5">
      <c r="B4" s="53"/>
      <c r="C4" s="53"/>
    </row>
    <row r="5" spans="1:13" ht="21" x14ac:dyDescent="0.5">
      <c r="B5" s="53"/>
      <c r="C5" s="53" t="s">
        <v>563</v>
      </c>
    </row>
    <row r="6" spans="1:13" ht="21" x14ac:dyDescent="0.5">
      <c r="B6" s="53"/>
      <c r="C6" s="53" t="s">
        <v>564</v>
      </c>
    </row>
    <row r="8" spans="1:13" s="52" customFormat="1" ht="21" x14ac:dyDescent="0.5">
      <c r="A8" s="56"/>
      <c r="B8" s="56" t="s">
        <v>7</v>
      </c>
      <c r="C8" s="56"/>
      <c r="D8" s="56"/>
      <c r="E8" s="56"/>
      <c r="F8" s="56"/>
      <c r="G8" s="56"/>
      <c r="H8" s="56"/>
      <c r="I8" s="56"/>
      <c r="J8" s="56"/>
      <c r="K8" s="56"/>
      <c r="L8" s="56"/>
      <c r="M8" s="56"/>
    </row>
    <row r="9" spans="1:13" ht="19.95" customHeight="1" x14ac:dyDescent="0.3">
      <c r="C9" s="21" t="s">
        <v>588</v>
      </c>
    </row>
    <row r="11" spans="1:13" s="52" customFormat="1" ht="21" x14ac:dyDescent="0.5">
      <c r="A11" s="56"/>
      <c r="B11" s="56" t="s">
        <v>8</v>
      </c>
      <c r="C11" s="56"/>
      <c r="D11" s="56"/>
      <c r="E11" s="56"/>
      <c r="F11" s="56"/>
      <c r="G11" s="56"/>
      <c r="H11" s="56"/>
      <c r="I11" s="56"/>
      <c r="J11" s="56"/>
      <c r="K11" s="56"/>
      <c r="L11" s="56"/>
      <c r="M11" s="56"/>
    </row>
    <row r="13" spans="1:13" x14ac:dyDescent="0.3">
      <c r="C13" s="21" t="s">
        <v>589</v>
      </c>
    </row>
    <row r="15" spans="1:13" x14ac:dyDescent="0.3">
      <c r="C15" s="98" t="s">
        <v>567</v>
      </c>
      <c r="G15" s="114" t="str">
        <f>RIGHT(C15, 7)</f>
        <v>Debtors</v>
      </c>
      <c r="I15" s="21" t="str">
        <f ca="1">_xlfn.FORMULATEXT(G15)</f>
        <v>=RIGHT(C15, 7)</v>
      </c>
    </row>
    <row r="17" spans="1:13" x14ac:dyDescent="0.3">
      <c r="C17" s="21" t="s">
        <v>590</v>
      </c>
    </row>
    <row r="19" spans="1:13" x14ac:dyDescent="0.3">
      <c r="C19" s="32" t="s">
        <v>34</v>
      </c>
    </row>
    <row r="20" spans="1:13" x14ac:dyDescent="0.3">
      <c r="C20" s="21" t="s">
        <v>591</v>
      </c>
    </row>
    <row r="22" spans="1:13" s="52" customFormat="1" ht="21" x14ac:dyDescent="0.5">
      <c r="A22" s="56"/>
      <c r="B22" s="56" t="s">
        <v>570</v>
      </c>
      <c r="C22" s="56"/>
      <c r="D22" s="56"/>
      <c r="E22" s="56"/>
      <c r="F22" s="56"/>
      <c r="G22" s="56"/>
      <c r="H22" s="56"/>
      <c r="I22" s="56"/>
      <c r="J22" s="56"/>
      <c r="K22" s="56"/>
      <c r="L22" s="56"/>
      <c r="M22" s="56"/>
    </row>
    <row r="24" spans="1:13" x14ac:dyDescent="0.3">
      <c r="C24" s="21" t="s">
        <v>1279</v>
      </c>
    </row>
    <row r="26" spans="1:13" x14ac:dyDescent="0.3">
      <c r="C26" s="115" t="s">
        <v>571</v>
      </c>
      <c r="D26" s="115" t="s">
        <v>572</v>
      </c>
    </row>
    <row r="27" spans="1:13" x14ac:dyDescent="0.3">
      <c r="C27" s="98" t="s">
        <v>567</v>
      </c>
      <c r="D27" s="98">
        <v>7</v>
      </c>
      <c r="G27" s="114" t="str">
        <f>RIGHT(C27, D27)</f>
        <v>Debtors</v>
      </c>
      <c r="I27" s="21" t="str">
        <f ca="1">_xlfn.FORMULATEXT(G27)</f>
        <v>=RIGHT(C27, D27)</v>
      </c>
    </row>
    <row r="29" spans="1:13" s="52" customFormat="1" ht="21" x14ac:dyDescent="0.5">
      <c r="A29" s="56"/>
      <c r="B29" s="56" t="s">
        <v>114</v>
      </c>
      <c r="C29" s="56"/>
      <c r="D29" s="56"/>
      <c r="E29" s="56"/>
      <c r="F29" s="56"/>
      <c r="G29" s="56"/>
      <c r="H29" s="56"/>
      <c r="I29" s="56"/>
      <c r="J29" s="56"/>
      <c r="K29" s="56"/>
      <c r="L29" s="56"/>
      <c r="M29" s="56"/>
    </row>
    <row r="31" spans="1:13" x14ac:dyDescent="0.3">
      <c r="C31" s="37" t="s">
        <v>592</v>
      </c>
    </row>
    <row r="33" spans="3:9" x14ac:dyDescent="0.3">
      <c r="C33" s="21" t="s">
        <v>593</v>
      </c>
    </row>
    <row r="35" spans="3:9" x14ac:dyDescent="0.3">
      <c r="C35" s="98" t="s">
        <v>575</v>
      </c>
      <c r="G35" s="114" t="str">
        <f t="shared" ref="G35:G40" si="0">RIGHT(C35, 12)</f>
        <v>63c10f701efb</v>
      </c>
      <c r="I35" s="21" t="str">
        <f t="shared" ref="I35:I40" ca="1" si="1">_xlfn.FORMULATEXT(G35)</f>
        <v>=RIGHT(C35, 12)</v>
      </c>
    </row>
    <row r="36" spans="3:9" x14ac:dyDescent="0.3">
      <c r="C36" s="98" t="s">
        <v>576</v>
      </c>
      <c r="G36" s="114" t="str">
        <f t="shared" si="0"/>
        <v>e37067a67149</v>
      </c>
      <c r="I36" s="21" t="str">
        <f t="shared" ca="1" si="1"/>
        <v>=RIGHT(C36, 12)</v>
      </c>
    </row>
    <row r="37" spans="3:9" x14ac:dyDescent="0.3">
      <c r="C37" s="98" t="s">
        <v>577</v>
      </c>
      <c r="G37" s="114" t="str">
        <f t="shared" si="0"/>
        <v>6038eeab7261</v>
      </c>
      <c r="I37" s="21" t="str">
        <f t="shared" ca="1" si="1"/>
        <v>=RIGHT(C37, 12)</v>
      </c>
    </row>
    <row r="38" spans="3:9" x14ac:dyDescent="0.3">
      <c r="C38" s="98" t="s">
        <v>578</v>
      </c>
      <c r="G38" s="114" t="str">
        <f t="shared" si="0"/>
        <v>fb58a28046d3</v>
      </c>
      <c r="I38" s="21" t="str">
        <f t="shared" ca="1" si="1"/>
        <v>=RIGHT(C38, 12)</v>
      </c>
    </row>
    <row r="39" spans="3:9" x14ac:dyDescent="0.3">
      <c r="C39" s="98" t="s">
        <v>579</v>
      </c>
      <c r="G39" s="114" t="str">
        <f t="shared" si="0"/>
        <v>b134323debbf</v>
      </c>
      <c r="I39" s="21" t="str">
        <f t="shared" ca="1" si="1"/>
        <v>=RIGHT(C39, 12)</v>
      </c>
    </row>
    <row r="40" spans="3:9" x14ac:dyDescent="0.3">
      <c r="C40" s="98" t="s">
        <v>580</v>
      </c>
      <c r="G40" s="114" t="str">
        <f t="shared" si="0"/>
        <v>f1692b6fb8dh</v>
      </c>
      <c r="I40" s="21" t="str">
        <f t="shared" ca="1" si="1"/>
        <v>=RIGHT(C40, 12)</v>
      </c>
    </row>
    <row r="43" spans="3:9" x14ac:dyDescent="0.3">
      <c r="C43" s="21" t="s">
        <v>1280</v>
      </c>
    </row>
    <row r="45" spans="3:9" x14ac:dyDescent="0.3">
      <c r="C45" s="128" t="s">
        <v>973</v>
      </c>
      <c r="G45" s="187" t="str" cm="1">
        <f t="array" ref="G45:G51">RIGHT(C45:C51, 3)</f>
        <v>3rd</v>
      </c>
    </row>
    <row r="46" spans="3:9" x14ac:dyDescent="0.3">
      <c r="C46" s="128" t="s">
        <v>974</v>
      </c>
      <c r="G46" s="137" t="str">
        <v>9th</v>
      </c>
    </row>
    <row r="47" spans="3:9" x14ac:dyDescent="0.3">
      <c r="C47" s="128" t="s">
        <v>975</v>
      </c>
      <c r="G47" s="137" t="str">
        <v>2th</v>
      </c>
      <c r="H47" s="21" t="s">
        <v>980</v>
      </c>
    </row>
    <row r="48" spans="3:9" x14ac:dyDescent="0.3">
      <c r="C48" s="128" t="s">
        <v>976</v>
      </c>
      <c r="G48" s="137" t="str">
        <v>1st</v>
      </c>
      <c r="H48" s="21" t="s">
        <v>980</v>
      </c>
    </row>
    <row r="49" spans="1:13" x14ac:dyDescent="0.3">
      <c r="C49" s="128" t="s">
        <v>977</v>
      </c>
      <c r="G49" s="137" t="str">
        <v>7th</v>
      </c>
    </row>
    <row r="50" spans="1:13" x14ac:dyDescent="0.3">
      <c r="C50" s="128" t="s">
        <v>978</v>
      </c>
      <c r="G50" s="137" t="str">
        <v>5th</v>
      </c>
      <c r="H50" s="21" t="s">
        <v>980</v>
      </c>
    </row>
    <row r="51" spans="1:13" x14ac:dyDescent="0.3">
      <c r="C51" s="128" t="s">
        <v>979</v>
      </c>
      <c r="G51" s="137" t="str">
        <v>0th</v>
      </c>
      <c r="H51" s="21" t="s">
        <v>980</v>
      </c>
    </row>
    <row r="53" spans="1:13" x14ac:dyDescent="0.3">
      <c r="C53" s="21" t="s">
        <v>1281</v>
      </c>
    </row>
    <row r="55" spans="1:13" s="52" customFormat="1" ht="21" x14ac:dyDescent="0.5">
      <c r="A55" s="56"/>
      <c r="B55" s="56" t="s">
        <v>10</v>
      </c>
      <c r="C55" s="56"/>
      <c r="D55" s="56"/>
      <c r="E55" s="56"/>
      <c r="F55" s="56"/>
      <c r="G55" s="56"/>
      <c r="H55" s="56"/>
      <c r="I55" s="56"/>
      <c r="J55" s="56"/>
      <c r="K55" s="56"/>
      <c r="L55" s="56"/>
      <c r="M55" s="56"/>
    </row>
    <row r="57" spans="1:13" x14ac:dyDescent="0.3">
      <c r="C57" s="37" t="s">
        <v>594</v>
      </c>
    </row>
    <row r="59" spans="1:13" x14ac:dyDescent="0.3">
      <c r="C59" s="98" t="s">
        <v>582</v>
      </c>
      <c r="G59" s="187"/>
    </row>
    <row r="60" spans="1:13" x14ac:dyDescent="0.3">
      <c r="C60" s="98" t="s">
        <v>583</v>
      </c>
      <c r="G60" s="187"/>
    </row>
    <row r="61" spans="1:13" x14ac:dyDescent="0.3">
      <c r="C61" s="98" t="s">
        <v>584</v>
      </c>
      <c r="G61" s="187"/>
    </row>
    <row r="62" spans="1:13" x14ac:dyDescent="0.3">
      <c r="C62" s="98" t="s">
        <v>595</v>
      </c>
      <c r="G62" s="187"/>
    </row>
    <row r="63" spans="1:13" x14ac:dyDescent="0.3">
      <c r="G63" s="137"/>
    </row>
    <row r="64" spans="1:13" x14ac:dyDescent="0.3">
      <c r="G64" s="137"/>
    </row>
    <row r="65" spans="1:13" s="52" customFormat="1" ht="21" x14ac:dyDescent="0.5">
      <c r="A65" s="56"/>
      <c r="B65" s="56" t="s">
        <v>11</v>
      </c>
      <c r="C65" s="56"/>
      <c r="D65" s="56"/>
      <c r="E65" s="56"/>
      <c r="F65" s="56"/>
      <c r="G65" s="188"/>
      <c r="H65" s="56"/>
      <c r="I65" s="56"/>
      <c r="J65" s="56"/>
      <c r="K65" s="56"/>
      <c r="L65" s="56"/>
      <c r="M65" s="56"/>
    </row>
    <row r="66" spans="1:13" x14ac:dyDescent="0.3">
      <c r="G66" s="137"/>
    </row>
    <row r="67" spans="1:13" x14ac:dyDescent="0.3">
      <c r="C67" s="37" t="s">
        <v>594</v>
      </c>
      <c r="G67" s="137"/>
    </row>
    <row r="68" spans="1:13" x14ac:dyDescent="0.3">
      <c r="G68" s="137"/>
    </row>
    <row r="69" spans="1:13" x14ac:dyDescent="0.3">
      <c r="C69" s="98" t="s">
        <v>582</v>
      </c>
      <c r="G69" s="187" t="str">
        <f>RIGHT(C69, 7)</f>
        <v>Peter H</v>
      </c>
      <c r="I69" s="21" t="str">
        <f ca="1">_xlfn.FORMULATEXT(G69)</f>
        <v>=RIGHT(C69, 7)</v>
      </c>
      <c r="K69" s="187" t="str" cm="1">
        <f t="array" ref="K69:K72">RIGHT(C69:C72, 7)</f>
        <v>Peter H</v>
      </c>
      <c r="L69" s="21" t="str">
        <f ca="1">_xlfn.FORMULATEXT(K69)</f>
        <v>=RIGHT(C69:C72, 7)</v>
      </c>
    </row>
    <row r="70" spans="1:13" x14ac:dyDescent="0.3">
      <c r="C70" s="98" t="s">
        <v>583</v>
      </c>
      <c r="G70" s="187" t="str">
        <f>RIGHT(C70, 7)</f>
        <v>Sarah O</v>
      </c>
      <c r="I70" s="21" t="str">
        <f ca="1">_xlfn.FORMULATEXT(G70)</f>
        <v>=RIGHT(C70, 7)</v>
      </c>
      <c r="J70" s="21" t="s">
        <v>1169</v>
      </c>
      <c r="K70" s="137" t="str">
        <v>Sarah O</v>
      </c>
      <c r="L70" s="137"/>
    </row>
    <row r="71" spans="1:13" x14ac:dyDescent="0.3">
      <c r="C71" s="98" t="s">
        <v>584</v>
      </c>
      <c r="G71" s="187" t="str">
        <f>RIGHT(C71, 7)</f>
        <v>James D</v>
      </c>
      <c r="I71" s="21" t="str">
        <f ca="1">_xlfn.FORMULATEXT(G71)</f>
        <v>=RIGHT(C71, 7)</v>
      </c>
      <c r="K71" s="137" t="str">
        <v>James D</v>
      </c>
      <c r="L71" s="137"/>
    </row>
    <row r="72" spans="1:13" x14ac:dyDescent="0.3">
      <c r="C72" s="98" t="s">
        <v>1282</v>
      </c>
      <c r="G72" s="187" t="str">
        <f>RIGHT(C72, 7)</f>
        <v>Shaun H</v>
      </c>
      <c r="I72" s="21" t="str">
        <f ca="1">_xlfn.FORMULATEXT(G72)</f>
        <v>=RIGHT(C72, 7)</v>
      </c>
      <c r="K72" s="137" t="str">
        <v>Shaun H</v>
      </c>
      <c r="L72" s="137"/>
    </row>
  </sheetData>
  <printOptions horizontalCentered="1"/>
  <pageMargins left="0.15748031496063" right="0.15748031496063" top="0.78740157480314998" bottom="0.78740157480314998" header="0.511811023622047" footer="0.511811023622047"/>
  <pageSetup paperSize="9" scale="46" orientation="landscape" r:id="rId1"/>
  <headerFooter alignWithMargins="0">
    <oddFooter xml:space="preserve">&amp;CClarity Consultancy Services Ltd   info@clarityconsultancyservices.co.uk
Registered in the UK (6619745). Registered Office:  Suite 6 Bourne Gate, Bourne Valley Rd, Poole, BH12 1DY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627DD-B99B-4810-B312-42ADF08AB153}">
  <sheetPr>
    <pageSetUpPr fitToPage="1"/>
  </sheetPr>
  <dimension ref="A1:AN73"/>
  <sheetViews>
    <sheetView showGridLines="0" zoomScaleNormal="100" workbookViewId="0">
      <pane ySplit="1" topLeftCell="A2" activePane="bottomLeft" state="frozen"/>
      <selection pane="bottomLeft"/>
    </sheetView>
  </sheetViews>
  <sheetFormatPr defaultColWidth="0" defaultRowHeight="16.8" x14ac:dyDescent="0.3"/>
  <cols>
    <col min="1" max="2" width="3.6640625" style="21" customWidth="1"/>
    <col min="3" max="3" width="47.33203125" style="21" bestFit="1" customWidth="1"/>
    <col min="4" max="5" width="7.109375" style="21" customWidth="1"/>
    <col min="6" max="8" width="9.109375" style="21" customWidth="1"/>
    <col min="9" max="10" width="17.77734375" style="21" customWidth="1"/>
    <col min="11" max="12" width="13.33203125" style="21" customWidth="1"/>
    <col min="13" max="13" width="111.44140625" style="21" customWidth="1"/>
    <col min="14" max="40" width="0" style="21" hidden="1" customWidth="1"/>
    <col min="41" max="16384" width="9.109375" style="21" hidden="1"/>
  </cols>
  <sheetData>
    <row r="1" spans="1:13" s="52" customFormat="1" ht="49.95" customHeight="1" x14ac:dyDescent="0.3">
      <c r="A1" s="49"/>
      <c r="B1" s="50" t="s">
        <v>607</v>
      </c>
      <c r="C1" s="49"/>
      <c r="D1" s="49"/>
      <c r="E1" s="49"/>
      <c r="F1" s="51"/>
      <c r="G1" s="51"/>
      <c r="H1" s="51"/>
      <c r="I1" s="51"/>
      <c r="J1" s="51"/>
      <c r="K1" s="51"/>
      <c r="L1" s="51"/>
      <c r="M1" s="51"/>
    </row>
    <row r="3" spans="1:13" ht="21" x14ac:dyDescent="0.5">
      <c r="B3" s="53" t="s">
        <v>608</v>
      </c>
      <c r="C3" s="53"/>
    </row>
    <row r="4" spans="1:13" ht="15" customHeight="1" x14ac:dyDescent="0.5">
      <c r="B4" s="53"/>
      <c r="C4" s="53"/>
    </row>
    <row r="5" spans="1:13" ht="21" x14ac:dyDescent="0.5">
      <c r="B5" s="53"/>
      <c r="C5" s="53" t="s">
        <v>1283</v>
      </c>
    </row>
    <row r="6" spans="1:13" ht="17.55" customHeight="1" x14ac:dyDescent="0.5">
      <c r="B6" s="53"/>
      <c r="C6" s="53"/>
    </row>
    <row r="7" spans="1:13" s="52" customFormat="1" ht="21" x14ac:dyDescent="0.5">
      <c r="A7" s="56"/>
      <c r="B7" s="56" t="s">
        <v>7</v>
      </c>
      <c r="C7" s="56"/>
      <c r="D7" s="56"/>
      <c r="E7" s="56"/>
      <c r="F7" s="56"/>
      <c r="G7" s="56"/>
      <c r="H7" s="56"/>
      <c r="I7" s="56"/>
      <c r="J7" s="56"/>
      <c r="K7" s="56"/>
      <c r="L7" s="56"/>
      <c r="M7" s="56"/>
    </row>
    <row r="8" spans="1:13" ht="19.95" customHeight="1" x14ac:dyDescent="0.3">
      <c r="C8" s="21" t="s">
        <v>609</v>
      </c>
    </row>
    <row r="9" spans="1:13" ht="19.95" customHeight="1" x14ac:dyDescent="0.3">
      <c r="C9" s="21" t="s">
        <v>610</v>
      </c>
    </row>
    <row r="10" spans="1:13" ht="19.95" customHeight="1" x14ac:dyDescent="0.3">
      <c r="C10" s="21" t="s">
        <v>611</v>
      </c>
    </row>
    <row r="12" spans="1:13" s="52" customFormat="1" ht="21" x14ac:dyDescent="0.5">
      <c r="A12" s="56"/>
      <c r="B12" s="56" t="s">
        <v>8</v>
      </c>
      <c r="C12" s="56"/>
      <c r="D12" s="56"/>
      <c r="E12" s="56"/>
      <c r="F12" s="56"/>
      <c r="G12" s="56"/>
      <c r="H12" s="56"/>
      <c r="I12" s="56"/>
      <c r="J12" s="56"/>
      <c r="K12" s="56"/>
      <c r="L12" s="56"/>
      <c r="M12" s="56"/>
    </row>
    <row r="14" spans="1:13" x14ac:dyDescent="0.3">
      <c r="C14" s="21" t="s">
        <v>612</v>
      </c>
    </row>
    <row r="16" spans="1:13" x14ac:dyDescent="0.3">
      <c r="C16" s="98" t="s">
        <v>567</v>
      </c>
      <c r="G16" s="187">
        <f>LEN(C16)</f>
        <v>32</v>
      </c>
      <c r="I16" s="21" t="str">
        <f ca="1">_xlfn.FORMULATEXT(G16)</f>
        <v>=LEN(C16)</v>
      </c>
    </row>
    <row r="18" spans="1:13" x14ac:dyDescent="0.3">
      <c r="C18" s="21" t="s">
        <v>613</v>
      </c>
    </row>
    <row r="20" spans="1:13" x14ac:dyDescent="0.3">
      <c r="C20" s="32" t="s">
        <v>34</v>
      </c>
    </row>
    <row r="21" spans="1:13" x14ac:dyDescent="0.3">
      <c r="C21" s="21" t="s">
        <v>614</v>
      </c>
    </row>
    <row r="23" spans="1:13" s="52" customFormat="1" ht="21" x14ac:dyDescent="0.5">
      <c r="A23" s="56"/>
      <c r="B23" s="56" t="s">
        <v>114</v>
      </c>
      <c r="C23" s="56"/>
      <c r="D23" s="56"/>
      <c r="E23" s="56"/>
      <c r="F23" s="56"/>
      <c r="G23" s="56"/>
      <c r="H23" s="56"/>
      <c r="I23" s="56"/>
      <c r="J23" s="56"/>
      <c r="K23" s="56"/>
      <c r="L23" s="56"/>
      <c r="M23" s="56"/>
    </row>
    <row r="25" spans="1:13" x14ac:dyDescent="0.3">
      <c r="C25" s="37" t="s">
        <v>615</v>
      </c>
    </row>
    <row r="27" spans="1:13" x14ac:dyDescent="0.3">
      <c r="C27" s="21" t="s">
        <v>616</v>
      </c>
    </row>
    <row r="29" spans="1:13" x14ac:dyDescent="0.3">
      <c r="C29" s="98" t="s">
        <v>575</v>
      </c>
      <c r="G29" s="187">
        <f t="shared" ref="G29:G34" si="0">LEN(C29)</f>
        <v>36</v>
      </c>
      <c r="I29" s="21" t="str">
        <f t="shared" ref="I29:I34" ca="1" si="1">_xlfn.FORMULATEXT(G29)</f>
        <v>=LEN(C29)</v>
      </c>
    </row>
    <row r="30" spans="1:13" x14ac:dyDescent="0.3">
      <c r="C30" s="98" t="s">
        <v>576</v>
      </c>
      <c r="G30" s="187">
        <f t="shared" si="0"/>
        <v>36</v>
      </c>
      <c r="I30" s="21" t="str">
        <f t="shared" ca="1" si="1"/>
        <v>=LEN(C30)</v>
      </c>
    </row>
    <row r="31" spans="1:13" x14ac:dyDescent="0.3">
      <c r="C31" s="98" t="s">
        <v>577</v>
      </c>
      <c r="G31" s="187">
        <f t="shared" si="0"/>
        <v>36</v>
      </c>
      <c r="I31" s="21" t="str">
        <f t="shared" ca="1" si="1"/>
        <v>=LEN(C31)</v>
      </c>
    </row>
    <row r="32" spans="1:13" x14ac:dyDescent="0.3">
      <c r="C32" s="98" t="s">
        <v>578</v>
      </c>
      <c r="G32" s="187">
        <f t="shared" si="0"/>
        <v>36</v>
      </c>
      <c r="I32" s="21" t="str">
        <f t="shared" ca="1" si="1"/>
        <v>=LEN(C32)</v>
      </c>
    </row>
    <row r="33" spans="1:13" x14ac:dyDescent="0.3">
      <c r="C33" s="98" t="s">
        <v>579</v>
      </c>
      <c r="G33" s="187">
        <f t="shared" si="0"/>
        <v>36</v>
      </c>
      <c r="I33" s="21" t="str">
        <f t="shared" ca="1" si="1"/>
        <v>=LEN(C33)</v>
      </c>
    </row>
    <row r="34" spans="1:13" x14ac:dyDescent="0.3">
      <c r="C34" s="98" t="s">
        <v>617</v>
      </c>
      <c r="G34" s="187">
        <f t="shared" si="0"/>
        <v>34</v>
      </c>
      <c r="I34" s="21" t="str">
        <f t="shared" ca="1" si="1"/>
        <v>=LEN(C34)</v>
      </c>
    </row>
    <row r="38" spans="1:13" s="52" customFormat="1" ht="21" x14ac:dyDescent="0.5">
      <c r="A38" s="56"/>
      <c r="B38" s="56" t="s">
        <v>1009</v>
      </c>
      <c r="C38" s="56"/>
      <c r="D38" s="56"/>
      <c r="E38" s="56"/>
      <c r="F38" s="56"/>
      <c r="G38" s="56"/>
      <c r="H38" s="56"/>
      <c r="I38" s="56"/>
      <c r="J38" s="56"/>
      <c r="K38" s="56"/>
      <c r="L38" s="56"/>
      <c r="M38" s="56"/>
    </row>
    <row r="40" spans="1:13" x14ac:dyDescent="0.3">
      <c r="C40" s="21" t="s">
        <v>1010</v>
      </c>
    </row>
    <row r="41" spans="1:13" x14ac:dyDescent="0.3">
      <c r="C41" s="21" t="s">
        <v>1284</v>
      </c>
    </row>
    <row r="42" spans="1:13" x14ac:dyDescent="0.3">
      <c r="C42" s="21" t="s">
        <v>1285</v>
      </c>
    </row>
    <row r="44" spans="1:13" x14ac:dyDescent="0.3">
      <c r="C44" s="128" t="s">
        <v>973</v>
      </c>
      <c r="G44" s="187" cm="1">
        <f t="array" ref="G44:G50">LEN(C44:C50)</f>
        <v>20</v>
      </c>
      <c r="I44" s="21" t="str">
        <f ca="1">_xlfn.FORMULATEXT(G44)</f>
        <v>=LEN(C44:C50)</v>
      </c>
    </row>
    <row r="45" spans="1:13" x14ac:dyDescent="0.3">
      <c r="C45" s="128" t="s">
        <v>974</v>
      </c>
      <c r="G45" s="137">
        <v>20</v>
      </c>
    </row>
    <row r="46" spans="1:13" x14ac:dyDescent="0.3">
      <c r="C46" s="128" t="s">
        <v>975</v>
      </c>
      <c r="G46" s="137">
        <v>21</v>
      </c>
    </row>
    <row r="47" spans="1:13" x14ac:dyDescent="0.3">
      <c r="C47" s="128" t="s">
        <v>976</v>
      </c>
      <c r="G47" s="137">
        <v>22</v>
      </c>
    </row>
    <row r="48" spans="1:13" x14ac:dyDescent="0.3">
      <c r="C48" s="128" t="s">
        <v>977</v>
      </c>
      <c r="G48" s="137">
        <v>20</v>
      </c>
    </row>
    <row r="49" spans="1:13" x14ac:dyDescent="0.3">
      <c r="C49" s="128" t="s">
        <v>978</v>
      </c>
      <c r="G49" s="137">
        <v>22</v>
      </c>
    </row>
    <row r="50" spans="1:13" x14ac:dyDescent="0.3">
      <c r="C50" s="128" t="s">
        <v>979</v>
      </c>
      <c r="G50" s="137">
        <v>21</v>
      </c>
    </row>
    <row r="52" spans="1:13" x14ac:dyDescent="0.3">
      <c r="C52" s="21" t="s">
        <v>1011</v>
      </c>
    </row>
    <row r="55" spans="1:13" s="52" customFormat="1" ht="21" x14ac:dyDescent="0.5">
      <c r="A55" s="56"/>
      <c r="B55" s="56" t="s">
        <v>10</v>
      </c>
      <c r="C55" s="56"/>
      <c r="D55" s="56"/>
      <c r="E55" s="56"/>
      <c r="F55" s="56"/>
      <c r="G55" s="56"/>
      <c r="H55" s="56"/>
      <c r="I55" s="56"/>
      <c r="J55" s="56"/>
      <c r="K55" s="56"/>
      <c r="L55" s="56"/>
      <c r="M55" s="56"/>
    </row>
    <row r="57" spans="1:13" x14ac:dyDescent="0.3">
      <c r="C57" s="37" t="s">
        <v>618</v>
      </c>
    </row>
    <row r="59" spans="1:13" x14ac:dyDescent="0.3">
      <c r="C59" s="98" t="s">
        <v>582</v>
      </c>
      <c r="G59" s="187"/>
    </row>
    <row r="60" spans="1:13" x14ac:dyDescent="0.3">
      <c r="C60" s="98" t="s">
        <v>583</v>
      </c>
      <c r="G60" s="187"/>
    </row>
    <row r="61" spans="1:13" x14ac:dyDescent="0.3">
      <c r="C61" s="98" t="s">
        <v>584</v>
      </c>
      <c r="G61" s="187"/>
    </row>
    <row r="62" spans="1:13" x14ac:dyDescent="0.3">
      <c r="C62" s="98" t="s">
        <v>595</v>
      </c>
      <c r="G62" s="187"/>
    </row>
    <row r="63" spans="1:13" x14ac:dyDescent="0.3">
      <c r="G63" s="137"/>
    </row>
    <row r="64" spans="1:13" x14ac:dyDescent="0.3">
      <c r="G64" s="137"/>
    </row>
    <row r="65" spans="1:13" s="52" customFormat="1" ht="21" x14ac:dyDescent="0.5">
      <c r="A65" s="56"/>
      <c r="B65" s="56" t="s">
        <v>11</v>
      </c>
      <c r="C65" s="56"/>
      <c r="D65" s="56"/>
      <c r="E65" s="56"/>
      <c r="F65" s="56"/>
      <c r="G65" s="188"/>
      <c r="H65" s="56"/>
      <c r="I65" s="56"/>
      <c r="J65" s="56"/>
      <c r="K65" s="56"/>
      <c r="L65" s="56"/>
      <c r="M65" s="56"/>
    </row>
    <row r="66" spans="1:13" x14ac:dyDescent="0.3">
      <c r="G66" s="137"/>
    </row>
    <row r="67" spans="1:13" x14ac:dyDescent="0.3">
      <c r="C67" s="37" t="s">
        <v>618</v>
      </c>
      <c r="G67" s="137"/>
    </row>
    <row r="68" spans="1:13" x14ac:dyDescent="0.3">
      <c r="G68" s="137"/>
    </row>
    <row r="69" spans="1:13" x14ac:dyDescent="0.3">
      <c r="C69" s="98" t="s">
        <v>582</v>
      </c>
      <c r="G69" s="187">
        <f>LEN(C69)</f>
        <v>25</v>
      </c>
      <c r="I69" s="21" t="str">
        <f ca="1">_xlfn.FORMULATEXT(G69)</f>
        <v>=LEN(C69)</v>
      </c>
      <c r="K69" s="187" cm="1">
        <f t="array" ref="K69:K72">LEN(C69:C72)</f>
        <v>25</v>
      </c>
      <c r="L69" s="21" t="str">
        <f ca="1">_xlfn.FORMULATEXT(K69)</f>
        <v>=LEN(C69:C72)</v>
      </c>
    </row>
    <row r="70" spans="1:13" x14ac:dyDescent="0.3">
      <c r="C70" s="98" t="s">
        <v>583</v>
      </c>
      <c r="G70" s="187">
        <f>LEN(C70)</f>
        <v>25</v>
      </c>
      <c r="I70" s="21" t="str">
        <f ca="1">_xlfn.FORMULATEXT(G70)</f>
        <v>=LEN(C70)</v>
      </c>
      <c r="J70" s="21" t="s">
        <v>1169</v>
      </c>
      <c r="K70" s="21">
        <v>25</v>
      </c>
    </row>
    <row r="71" spans="1:13" x14ac:dyDescent="0.3">
      <c r="C71" s="98" t="s">
        <v>584</v>
      </c>
      <c r="G71" s="187">
        <f>LEN(C71)</f>
        <v>25</v>
      </c>
      <c r="I71" s="21" t="str">
        <f ca="1">_xlfn.FORMULATEXT(G71)</f>
        <v>=LEN(C71)</v>
      </c>
      <c r="K71" s="21">
        <v>25</v>
      </c>
    </row>
    <row r="72" spans="1:13" x14ac:dyDescent="0.3">
      <c r="C72" s="98" t="s">
        <v>595</v>
      </c>
      <c r="G72" s="187">
        <f>LEN(C72)</f>
        <v>24</v>
      </c>
      <c r="I72" s="21" t="str">
        <f ca="1">_xlfn.FORMULATEXT(G72)</f>
        <v>=LEN(C72)</v>
      </c>
      <c r="K72" s="21">
        <v>24</v>
      </c>
    </row>
    <row r="73" spans="1:13" x14ac:dyDescent="0.3">
      <c r="G73" s="137"/>
    </row>
  </sheetData>
  <printOptions horizontalCentered="1"/>
  <pageMargins left="0.15748031496063" right="0.15748031496063" top="0.78740157480314998" bottom="0.78740157480314998" header="0.511811023622047" footer="0.511811023622047"/>
  <pageSetup paperSize="9" scale="51" orientation="landscape" r:id="rId1"/>
  <headerFooter alignWithMargins="0">
    <oddFooter xml:space="preserve">&amp;CClarity Consultancy Services Ltd   info@clarityconsultancyservices.co.uk
Registered in the UK (6619745). Registered Office:  Suite 6 Bourne Gate, Bourne Valley Rd, Poole, BH12 1DY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87E33-2546-4179-B557-B44A5E449BF7}">
  <sheetPr>
    <pageSetUpPr fitToPage="1"/>
  </sheetPr>
  <dimension ref="A1:AK185"/>
  <sheetViews>
    <sheetView showGridLines="0" zoomScaleNormal="100" workbookViewId="0">
      <pane ySplit="1" topLeftCell="A2" activePane="bottomLeft" state="frozen"/>
      <selection pane="bottomLeft"/>
    </sheetView>
  </sheetViews>
  <sheetFormatPr defaultColWidth="0" defaultRowHeight="16.8" x14ac:dyDescent="0.3"/>
  <cols>
    <col min="1" max="2" width="3.6640625" style="21" customWidth="1"/>
    <col min="3" max="3" width="47.33203125" style="21" bestFit="1" customWidth="1"/>
    <col min="4" max="8" width="16.109375" style="21" customWidth="1"/>
    <col min="9" max="9" width="32.109375" style="21" customWidth="1"/>
    <col min="10" max="10" width="110.77734375" style="21" customWidth="1"/>
    <col min="11" max="37" width="0" style="21" hidden="1" customWidth="1"/>
    <col min="38" max="16384" width="9.109375" style="21" hidden="1"/>
  </cols>
  <sheetData>
    <row r="1" spans="1:10" s="52" customFormat="1" ht="49.95" customHeight="1" x14ac:dyDescent="0.3">
      <c r="A1" s="49"/>
      <c r="B1" s="50" t="s">
        <v>619</v>
      </c>
      <c r="C1" s="49"/>
      <c r="D1" s="49"/>
      <c r="E1" s="49"/>
      <c r="F1" s="51"/>
      <c r="G1" s="51"/>
      <c r="H1" s="51"/>
      <c r="I1" s="51"/>
      <c r="J1" s="51"/>
    </row>
    <row r="3" spans="1:10" ht="21" x14ac:dyDescent="0.5">
      <c r="B3" s="53" t="s">
        <v>1286</v>
      </c>
      <c r="C3" s="53"/>
    </row>
    <row r="4" spans="1:10" ht="9.4499999999999993" customHeight="1" x14ac:dyDescent="0.5">
      <c r="B4" s="53"/>
      <c r="C4" s="53"/>
    </row>
    <row r="5" spans="1:10" ht="21" x14ac:dyDescent="0.5">
      <c r="B5" s="53"/>
      <c r="C5" s="53" t="s">
        <v>1287</v>
      </c>
    </row>
    <row r="6" spans="1:10" ht="21" x14ac:dyDescent="0.5">
      <c r="B6" s="53"/>
      <c r="C6" s="53" t="s">
        <v>620</v>
      </c>
    </row>
    <row r="7" spans="1:10" ht="21" x14ac:dyDescent="0.5">
      <c r="B7" s="53"/>
      <c r="C7" s="53" t="s">
        <v>1288</v>
      </c>
    </row>
    <row r="9" spans="1:10" s="52" customFormat="1" ht="21" x14ac:dyDescent="0.5">
      <c r="A9" s="56"/>
      <c r="B9" s="56" t="s">
        <v>7</v>
      </c>
      <c r="C9" s="56"/>
      <c r="D9" s="56"/>
      <c r="E9" s="56"/>
      <c r="F9" s="56"/>
      <c r="G9" s="56"/>
      <c r="H9" s="56"/>
      <c r="I9" s="56"/>
      <c r="J9" s="56"/>
    </row>
    <row r="10" spans="1:10" ht="19.95" customHeight="1" x14ac:dyDescent="0.3">
      <c r="C10" s="21" t="s">
        <v>1071</v>
      </c>
    </row>
    <row r="11" spans="1:10" ht="19.95" customHeight="1" x14ac:dyDescent="0.3">
      <c r="C11" s="21" t="s">
        <v>1072</v>
      </c>
    </row>
    <row r="12" spans="1:10" ht="19.95" customHeight="1" x14ac:dyDescent="0.3">
      <c r="C12" s="21" t="s">
        <v>1289</v>
      </c>
    </row>
    <row r="14" spans="1:10" s="52" customFormat="1" ht="21" x14ac:dyDescent="0.5">
      <c r="A14" s="56"/>
      <c r="B14" s="56" t="s">
        <v>8</v>
      </c>
      <c r="C14" s="56"/>
      <c r="D14" s="56"/>
      <c r="E14" s="56"/>
      <c r="F14" s="56"/>
      <c r="G14" s="56"/>
      <c r="H14" s="56"/>
      <c r="I14" s="56"/>
      <c r="J14" s="56"/>
    </row>
    <row r="16" spans="1:10" x14ac:dyDescent="0.3">
      <c r="C16" s="21" t="s">
        <v>621</v>
      </c>
    </row>
    <row r="18" spans="3:9" x14ac:dyDescent="0.3">
      <c r="C18" s="98" t="s">
        <v>567</v>
      </c>
      <c r="G18" s="187">
        <f>FIND("Debtors", C18, 1)</f>
        <v>26</v>
      </c>
      <c r="I18" s="21" t="str">
        <f ca="1">_xlfn.FORMULATEXT(G18)</f>
        <v>=FIND("Debtors", C18, 1)</v>
      </c>
    </row>
    <row r="19" spans="3:9" x14ac:dyDescent="0.3">
      <c r="G19" s="137"/>
    </row>
    <row r="20" spans="3:9" x14ac:dyDescent="0.3">
      <c r="C20" s="21" t="s">
        <v>622</v>
      </c>
      <c r="G20" s="137"/>
    </row>
    <row r="21" spans="3:9" x14ac:dyDescent="0.3">
      <c r="C21" s="21" t="s">
        <v>623</v>
      </c>
      <c r="G21" s="137"/>
    </row>
    <row r="22" spans="3:9" x14ac:dyDescent="0.3">
      <c r="C22" s="21" t="s">
        <v>1292</v>
      </c>
      <c r="G22" s="137"/>
    </row>
    <row r="23" spans="3:9" x14ac:dyDescent="0.3">
      <c r="G23" s="137"/>
    </row>
    <row r="24" spans="3:9" x14ac:dyDescent="0.3">
      <c r="C24" s="32" t="s">
        <v>34</v>
      </c>
      <c r="G24" s="137"/>
    </row>
    <row r="25" spans="3:9" x14ac:dyDescent="0.3">
      <c r="C25" s="21" t="s">
        <v>624</v>
      </c>
      <c r="G25" s="137"/>
    </row>
    <row r="26" spans="3:9" x14ac:dyDescent="0.3">
      <c r="G26" s="137"/>
    </row>
    <row r="27" spans="3:9" x14ac:dyDescent="0.3">
      <c r="C27" s="21" t="s">
        <v>625</v>
      </c>
      <c r="G27" s="187" t="e">
        <f>FIND("debtors", C18)</f>
        <v>#VALUE!</v>
      </c>
      <c r="I27" s="21" t="str">
        <f ca="1">_xlfn.FORMULATEXT(G27)</f>
        <v>=FIND("debtors", C18)</v>
      </c>
    </row>
    <row r="28" spans="3:9" x14ac:dyDescent="0.3">
      <c r="G28" s="137"/>
    </row>
    <row r="29" spans="3:9" x14ac:dyDescent="0.3">
      <c r="C29" s="21" t="s">
        <v>626</v>
      </c>
      <c r="G29" s="137"/>
    </row>
    <row r="30" spans="3:9" x14ac:dyDescent="0.3">
      <c r="G30" s="137"/>
    </row>
    <row r="31" spans="3:9" x14ac:dyDescent="0.3">
      <c r="C31" s="21" t="s">
        <v>1253</v>
      </c>
      <c r="G31" s="187">
        <f>SEARCH("debtors", C18)</f>
        <v>26</v>
      </c>
      <c r="I31" s="21" t="str">
        <f ca="1">_xlfn.FORMULATEXT(G31)</f>
        <v>=SEARCH("debtors", C18)</v>
      </c>
    </row>
    <row r="32" spans="3:9" x14ac:dyDescent="0.3">
      <c r="G32" s="137"/>
    </row>
    <row r="33" spans="3:9" x14ac:dyDescent="0.3">
      <c r="C33" s="21" t="s">
        <v>1254</v>
      </c>
      <c r="G33" s="137"/>
    </row>
    <row r="34" spans="3:9" x14ac:dyDescent="0.3">
      <c r="C34" s="21" t="s">
        <v>1255</v>
      </c>
      <c r="G34" s="137"/>
    </row>
    <row r="35" spans="3:9" x14ac:dyDescent="0.3">
      <c r="C35" s="29" t="s">
        <v>82</v>
      </c>
      <c r="G35" s="137"/>
    </row>
    <row r="36" spans="3:9" x14ac:dyDescent="0.3">
      <c r="C36" s="29" t="s">
        <v>83</v>
      </c>
      <c r="G36" s="137"/>
    </row>
    <row r="37" spans="3:9" x14ac:dyDescent="0.3">
      <c r="C37" s="98" t="s">
        <v>1256</v>
      </c>
      <c r="G37" s="187">
        <f>SEARCH(C37, C18)</f>
        <v>26</v>
      </c>
      <c r="I37" s="21" t="str">
        <f ca="1">_xlfn.FORMULATEXT(G37)</f>
        <v>=SEARCH(C37, C18)</v>
      </c>
    </row>
    <row r="38" spans="3:9" x14ac:dyDescent="0.3">
      <c r="C38" s="98" t="s">
        <v>1257</v>
      </c>
      <c r="G38" s="187">
        <f>SEARCH(C38, C18)</f>
        <v>26</v>
      </c>
      <c r="I38" s="21" t="str">
        <f ca="1">_xlfn.FORMULATEXT(G38)</f>
        <v>=SEARCH(C38, C18)</v>
      </c>
    </row>
    <row r="39" spans="3:9" x14ac:dyDescent="0.3">
      <c r="G39" s="137"/>
    </row>
    <row r="40" spans="3:9" x14ac:dyDescent="0.3">
      <c r="C40" s="98" t="s">
        <v>1256</v>
      </c>
      <c r="G40" s="187" t="e">
        <f>FIND(C40, C18)</f>
        <v>#VALUE!</v>
      </c>
      <c r="I40" s="21" t="str">
        <f ca="1">_xlfn.FORMULATEXT(G40)</f>
        <v>=FIND(C40, C18)</v>
      </c>
    </row>
    <row r="41" spans="3:9" x14ac:dyDescent="0.3">
      <c r="C41" s="98" t="s">
        <v>1257</v>
      </c>
      <c r="G41" s="187" t="e">
        <f>FIND(C41, C18)</f>
        <v>#VALUE!</v>
      </c>
      <c r="I41" s="21" t="str">
        <f ca="1">_xlfn.FORMULATEXT(G41)</f>
        <v>=FIND(C41, C18)</v>
      </c>
    </row>
    <row r="42" spans="3:9" x14ac:dyDescent="0.3">
      <c r="G42" s="137"/>
    </row>
    <row r="43" spans="3:9" x14ac:dyDescent="0.3">
      <c r="C43" s="21" t="s">
        <v>1290</v>
      </c>
      <c r="G43" s="137"/>
    </row>
    <row r="44" spans="3:9" x14ac:dyDescent="0.3">
      <c r="G44" s="137"/>
    </row>
    <row r="45" spans="3:9" x14ac:dyDescent="0.3">
      <c r="C45" s="21" t="s">
        <v>1291</v>
      </c>
      <c r="G45" s="137"/>
    </row>
    <row r="46" spans="3:9" x14ac:dyDescent="0.3">
      <c r="G46" s="137"/>
    </row>
    <row r="47" spans="3:9" x14ac:dyDescent="0.3">
      <c r="C47" s="98" t="s">
        <v>567</v>
      </c>
      <c r="G47" s="187">
        <f>FIND("-", C47)</f>
        <v>24</v>
      </c>
      <c r="I47" s="21" t="str">
        <f ca="1">_xlfn.FORMULATEXT(G47)</f>
        <v>=FIND("-", C47)</v>
      </c>
    </row>
    <row r="48" spans="3:9" x14ac:dyDescent="0.3">
      <c r="G48" s="137"/>
    </row>
    <row r="49" spans="1:10" x14ac:dyDescent="0.3">
      <c r="C49" s="21" t="s">
        <v>1258</v>
      </c>
      <c r="G49" s="137"/>
    </row>
    <row r="50" spans="1:10" x14ac:dyDescent="0.3">
      <c r="G50" s="137"/>
    </row>
    <row r="51" spans="1:10" s="52" customFormat="1" ht="21" x14ac:dyDescent="0.5">
      <c r="A51" s="56"/>
      <c r="B51" s="56" t="s">
        <v>570</v>
      </c>
      <c r="C51" s="56"/>
      <c r="D51" s="56"/>
      <c r="E51" s="56"/>
      <c r="F51" s="56"/>
      <c r="G51" s="56"/>
      <c r="H51" s="56"/>
      <c r="I51" s="56"/>
      <c r="J51" s="56"/>
    </row>
    <row r="53" spans="1:10" x14ac:dyDescent="0.3">
      <c r="C53" s="21" t="s">
        <v>1012</v>
      </c>
    </row>
    <row r="55" spans="1:10" x14ac:dyDescent="0.3">
      <c r="C55" s="115" t="s">
        <v>627</v>
      </c>
      <c r="D55" s="115" t="s">
        <v>628</v>
      </c>
      <c r="E55" s="115" t="s">
        <v>603</v>
      </c>
    </row>
    <row r="56" spans="1:10" x14ac:dyDescent="0.3">
      <c r="C56" s="98" t="s">
        <v>567</v>
      </c>
      <c r="D56" s="98" t="s">
        <v>629</v>
      </c>
      <c r="E56" s="98">
        <v>1</v>
      </c>
      <c r="G56" s="187">
        <f>FIND(D56, C56, E56)</f>
        <v>26</v>
      </c>
      <c r="I56" s="21" t="str">
        <f ca="1">_xlfn.FORMULATEXT(G56)</f>
        <v>=FIND(D56, C56, E56)</v>
      </c>
    </row>
    <row r="57" spans="1:10" x14ac:dyDescent="0.3">
      <c r="G57" s="137"/>
    </row>
    <row r="58" spans="1:10" x14ac:dyDescent="0.3">
      <c r="C58" s="21" t="s">
        <v>630</v>
      </c>
      <c r="G58" s="137"/>
    </row>
    <row r="59" spans="1:10" x14ac:dyDescent="0.3">
      <c r="G59" s="137"/>
    </row>
    <row r="60" spans="1:10" x14ac:dyDescent="0.3">
      <c r="G60" s="137"/>
    </row>
    <row r="61" spans="1:10" x14ac:dyDescent="0.3">
      <c r="C61" s="21" t="s">
        <v>1293</v>
      </c>
      <c r="G61" s="137"/>
    </row>
    <row r="62" spans="1:10" x14ac:dyDescent="0.3">
      <c r="C62" s="21" t="s">
        <v>631</v>
      </c>
      <c r="G62" s="137"/>
    </row>
    <row r="63" spans="1:10" x14ac:dyDescent="0.3">
      <c r="G63" s="137"/>
    </row>
    <row r="64" spans="1:10" x14ac:dyDescent="0.3">
      <c r="C64" s="115" t="s">
        <v>627</v>
      </c>
      <c r="D64" s="115" t="s">
        <v>628</v>
      </c>
      <c r="E64" s="115" t="s">
        <v>603</v>
      </c>
      <c r="G64" s="137"/>
    </row>
    <row r="65" spans="3:9" x14ac:dyDescent="0.3">
      <c r="C65" s="98" t="s">
        <v>632</v>
      </c>
      <c r="D65" s="98" t="s">
        <v>629</v>
      </c>
      <c r="E65" s="98">
        <v>21</v>
      </c>
      <c r="G65" s="187">
        <f>FIND(D65, C65, E65)</f>
        <v>36</v>
      </c>
      <c r="I65" s="21" t="str">
        <f ca="1">_xlfn.FORMULATEXT(G65)</f>
        <v>=FIND(D65, C65, E65)</v>
      </c>
    </row>
    <row r="67" spans="3:9" x14ac:dyDescent="0.3">
      <c r="C67" s="21" t="s">
        <v>1013</v>
      </c>
    </row>
    <row r="69" spans="3:9" x14ac:dyDescent="0.3">
      <c r="C69" s="21" t="s">
        <v>764</v>
      </c>
    </row>
    <row r="71" spans="3:9" x14ac:dyDescent="0.3">
      <c r="C71" s="115" t="s">
        <v>627</v>
      </c>
      <c r="D71" s="115" t="s">
        <v>765</v>
      </c>
      <c r="G71" s="115" t="s">
        <v>628</v>
      </c>
    </row>
    <row r="72" spans="3:9" x14ac:dyDescent="0.3">
      <c r="C72" s="98" t="s">
        <v>759</v>
      </c>
      <c r="D72" s="135" t="b">
        <f>ISNUMBER(FIND($G$72, C72))</f>
        <v>1</v>
      </c>
      <c r="G72" s="98" t="s">
        <v>629</v>
      </c>
    </row>
    <row r="73" spans="3:9" x14ac:dyDescent="0.3">
      <c r="C73" s="98" t="s">
        <v>760</v>
      </c>
      <c r="D73" s="135" t="b">
        <f>ISNUMBER(FIND($G$72, C73))</f>
        <v>0</v>
      </c>
    </row>
    <row r="74" spans="3:9" x14ac:dyDescent="0.3">
      <c r="C74" s="98" t="s">
        <v>761</v>
      </c>
      <c r="D74" s="135" t="b">
        <f>ISNUMBER(FIND($G$72, C74))</f>
        <v>1</v>
      </c>
    </row>
    <row r="75" spans="3:9" x14ac:dyDescent="0.3">
      <c r="C75" s="98" t="s">
        <v>762</v>
      </c>
      <c r="D75" s="135" t="b">
        <f>ISNUMBER(FIND($G$72, C75))</f>
        <v>0</v>
      </c>
    </row>
    <row r="76" spans="3:9" x14ac:dyDescent="0.3">
      <c r="C76" s="98" t="s">
        <v>763</v>
      </c>
      <c r="D76" s="135" t="b">
        <f>ISNUMBER(FIND($G$72, C76))</f>
        <v>1</v>
      </c>
    </row>
    <row r="80" spans="3:9" x14ac:dyDescent="0.3">
      <c r="C80" s="21" t="s">
        <v>996</v>
      </c>
    </row>
    <row r="81" spans="3:9" x14ac:dyDescent="0.3">
      <c r="C81" s="21" t="s">
        <v>1073</v>
      </c>
    </row>
    <row r="83" spans="3:9" x14ac:dyDescent="0.3">
      <c r="C83" s="21" t="s">
        <v>1074</v>
      </c>
    </row>
    <row r="84" spans="3:9" x14ac:dyDescent="0.3">
      <c r="C84" s="21" t="s">
        <v>1294</v>
      </c>
    </row>
    <row r="86" spans="3:9" x14ac:dyDescent="0.3">
      <c r="C86" s="98" t="s">
        <v>991</v>
      </c>
      <c r="F86" s="189" t="str" cm="1">
        <f t="array" ref="F86:F90">LEFT(C86:C90, FIND("_", C86:C90)-1)</f>
        <v>Ref: 338402</v>
      </c>
      <c r="I86" s="21" t="str">
        <f ca="1">_xlfn.FORMULATEXT(F86)</f>
        <v>=LEFT(C86:C90, FIND("_", C86:C90)-1)</v>
      </c>
    </row>
    <row r="87" spans="3:9" x14ac:dyDescent="0.3">
      <c r="C87" s="98" t="s">
        <v>992</v>
      </c>
      <c r="F87" s="137" t="str">
        <v>Ref: 469964402</v>
      </c>
      <c r="I87" s="21" t="s">
        <v>1295</v>
      </c>
    </row>
    <row r="88" spans="3:9" x14ac:dyDescent="0.3">
      <c r="C88" s="98" t="s">
        <v>993</v>
      </c>
      <c r="F88" s="137" t="str">
        <v>Ref: 9944738</v>
      </c>
      <c r="I88" s="21" t="s">
        <v>1014</v>
      </c>
    </row>
    <row r="89" spans="3:9" x14ac:dyDescent="0.3">
      <c r="C89" s="98" t="s">
        <v>994</v>
      </c>
      <c r="F89" s="137" t="str">
        <v>Ref: 338402</v>
      </c>
    </row>
    <row r="90" spans="3:9" x14ac:dyDescent="0.3">
      <c r="C90" s="98" t="s">
        <v>995</v>
      </c>
      <c r="F90" s="137" t="str">
        <v>Ref: 338402</v>
      </c>
    </row>
    <row r="91" spans="3:9" x14ac:dyDescent="0.3">
      <c r="F91" s="137"/>
    </row>
    <row r="92" spans="3:9" x14ac:dyDescent="0.3">
      <c r="C92" s="21" t="s">
        <v>997</v>
      </c>
      <c r="F92" s="137"/>
    </row>
    <row r="93" spans="3:9" x14ac:dyDescent="0.3">
      <c r="D93" s="189" t="str" cm="1">
        <f t="array" ref="D93:D97">RIGHT(_xlfn.ANCHORARRAY(F86), LEN(_xlfn.ANCHORARRAY(F86)) - 5)</f>
        <v>338402</v>
      </c>
      <c r="F93" s="189" t="str" cm="1">
        <f t="array" ref="F93:F97">SUBSTITUTE(_xlfn.ANCHORARRAY(F86), "Ref: ", "")</f>
        <v>338402</v>
      </c>
    </row>
    <row r="94" spans="3:9" x14ac:dyDescent="0.3">
      <c r="D94" s="137" t="str">
        <v>469964402</v>
      </c>
      <c r="F94" s="137" t="str">
        <v>469964402</v>
      </c>
    </row>
    <row r="95" spans="3:9" x14ac:dyDescent="0.3">
      <c r="D95" s="137" t="str">
        <v>9944738</v>
      </c>
      <c r="F95" s="137" t="str">
        <v>9944738</v>
      </c>
    </row>
    <row r="96" spans="3:9" x14ac:dyDescent="0.3">
      <c r="D96" s="137" t="str">
        <v>338402</v>
      </c>
      <c r="F96" s="137" t="str">
        <v>338402</v>
      </c>
    </row>
    <row r="97" spans="1:10" x14ac:dyDescent="0.3">
      <c r="D97" s="137" t="str">
        <v>338402</v>
      </c>
      <c r="F97" s="137" t="str">
        <v>338402</v>
      </c>
    </row>
    <row r="99" spans="1:10" s="52" customFormat="1" ht="21" x14ac:dyDescent="0.5">
      <c r="A99" s="56"/>
      <c r="B99" s="56" t="s">
        <v>990</v>
      </c>
      <c r="C99" s="56"/>
      <c r="D99" s="56"/>
      <c r="E99" s="56"/>
      <c r="F99" s="56"/>
      <c r="G99" s="56"/>
      <c r="H99" s="56"/>
      <c r="I99" s="56"/>
      <c r="J99" s="56"/>
    </row>
    <row r="101" spans="1:10" x14ac:dyDescent="0.3">
      <c r="C101" s="21" t="s">
        <v>1015</v>
      </c>
    </row>
    <row r="103" spans="1:10" x14ac:dyDescent="0.3">
      <c r="C103" s="21" t="s">
        <v>1075</v>
      </c>
    </row>
    <row r="105" spans="1:10" x14ac:dyDescent="0.3">
      <c r="C105" s="128" t="s">
        <v>973</v>
      </c>
      <c r="G105" s="187" cm="1">
        <f t="array" ref="G105:G111">FIND("-", C105:C111, 8) + 1</f>
        <v>17</v>
      </c>
      <c r="I105" s="21" t="str">
        <f ca="1">_xlfn.FORMULATEXT(G105)</f>
        <v>=FIND("-", C105:C111, 8) + 1</v>
      </c>
    </row>
    <row r="106" spans="1:10" x14ac:dyDescent="0.3">
      <c r="C106" s="128" t="s">
        <v>974</v>
      </c>
      <c r="G106" s="137">
        <v>17</v>
      </c>
      <c r="I106" s="21" t="s">
        <v>1076</v>
      </c>
    </row>
    <row r="107" spans="1:10" x14ac:dyDescent="0.3">
      <c r="C107" s="128" t="s">
        <v>975</v>
      </c>
      <c r="G107" s="137">
        <v>17</v>
      </c>
      <c r="I107" s="21" t="s">
        <v>1077</v>
      </c>
    </row>
    <row r="108" spans="1:10" x14ac:dyDescent="0.3">
      <c r="C108" s="128" t="s">
        <v>976</v>
      </c>
      <c r="G108" s="137">
        <v>18</v>
      </c>
      <c r="I108" s="21" t="s">
        <v>1069</v>
      </c>
    </row>
    <row r="109" spans="1:10" x14ac:dyDescent="0.3">
      <c r="C109" s="128" t="s">
        <v>977</v>
      </c>
      <c r="G109" s="137">
        <v>17</v>
      </c>
    </row>
    <row r="110" spans="1:10" x14ac:dyDescent="0.3">
      <c r="C110" s="128" t="s">
        <v>978</v>
      </c>
      <c r="G110" s="137">
        <v>18</v>
      </c>
    </row>
    <row r="111" spans="1:10" x14ac:dyDescent="0.3">
      <c r="C111" s="128" t="s">
        <v>979</v>
      </c>
      <c r="G111" s="137">
        <v>17</v>
      </c>
    </row>
    <row r="112" spans="1:10" x14ac:dyDescent="0.3">
      <c r="G112" s="137"/>
    </row>
    <row r="113" spans="3:9" x14ac:dyDescent="0.3">
      <c r="C113" s="21" t="s">
        <v>981</v>
      </c>
      <c r="G113" s="137"/>
    </row>
    <row r="114" spans="3:9" x14ac:dyDescent="0.3">
      <c r="G114" s="137"/>
    </row>
    <row r="115" spans="3:9" x14ac:dyDescent="0.3">
      <c r="C115" s="128" t="s">
        <v>973</v>
      </c>
      <c r="G115" s="187" t="str" cm="1">
        <f t="array" ref="G115:G121">RIGHT(C115:C121, LEN(C115:C121) - (FIND("-", C115:C121,8)+1))</f>
        <v>3rd</v>
      </c>
      <c r="I115" s="21" t="str">
        <f ca="1">_xlfn.FORMULATEXT(G115)</f>
        <v>=RIGHT(C115:C121, LEN(C115:C121) - (FIND("-", C115:C121,8)+1))</v>
      </c>
    </row>
    <row r="116" spans="3:9" x14ac:dyDescent="0.3">
      <c r="C116" s="128" t="s">
        <v>974</v>
      </c>
      <c r="G116" s="137" t="str">
        <v>9th</v>
      </c>
      <c r="I116" s="21" t="s">
        <v>1016</v>
      </c>
    </row>
    <row r="117" spans="3:9" x14ac:dyDescent="0.3">
      <c r="C117" s="128" t="s">
        <v>975</v>
      </c>
      <c r="G117" s="137" t="str">
        <v>12th</v>
      </c>
    </row>
    <row r="118" spans="3:9" x14ac:dyDescent="0.3">
      <c r="C118" s="128" t="s">
        <v>976</v>
      </c>
      <c r="G118" s="137" t="str">
        <v>21st</v>
      </c>
    </row>
    <row r="119" spans="3:9" x14ac:dyDescent="0.3">
      <c r="C119" s="128" t="s">
        <v>977</v>
      </c>
      <c r="G119" s="137" t="str">
        <v>7th</v>
      </c>
    </row>
    <row r="120" spans="3:9" x14ac:dyDescent="0.3">
      <c r="C120" s="128" t="s">
        <v>978</v>
      </c>
      <c r="G120" s="137" t="str">
        <v>15th</v>
      </c>
    </row>
    <row r="121" spans="3:9" x14ac:dyDescent="0.3">
      <c r="C121" s="128" t="s">
        <v>979</v>
      </c>
      <c r="G121" s="137" t="str">
        <v>20th</v>
      </c>
    </row>
    <row r="123" spans="3:9" x14ac:dyDescent="0.3">
      <c r="C123" s="21" t="s">
        <v>1046</v>
      </c>
    </row>
    <row r="124" spans="3:9" x14ac:dyDescent="0.3">
      <c r="D124" s="21" t="s">
        <v>1047</v>
      </c>
      <c r="E124" s="21" t="s">
        <v>1048</v>
      </c>
      <c r="F124" s="21" t="s">
        <v>1049</v>
      </c>
      <c r="G124" s="21" t="s">
        <v>1050</v>
      </c>
    </row>
    <row r="125" spans="3:9" x14ac:dyDescent="0.3">
      <c r="D125" s="96" cm="1">
        <f t="array" ref="D125:D131">LEN(C115:C121)</f>
        <v>20</v>
      </c>
      <c r="E125" s="96" cm="1">
        <f t="array" ref="E125:E131">FIND("-", C115:C121, 8) + 1</f>
        <v>17</v>
      </c>
      <c r="F125" s="96" cm="1">
        <f t="array" ref="F125:F131">_xlfn.ANCHORARRAY(D125) -_xlfn.ANCHORARRAY( E125)</f>
        <v>3</v>
      </c>
      <c r="G125" s="186" t="str" cm="1">
        <f t="array" ref="G125:G131">RIGHT(C115:C121,_xlfn.ANCHORARRAY( F125))</f>
        <v>3rd</v>
      </c>
      <c r="I125" s="78"/>
    </row>
    <row r="126" spans="3:9" x14ac:dyDescent="0.3">
      <c r="D126" s="21">
        <v>20</v>
      </c>
      <c r="E126" s="21">
        <v>17</v>
      </c>
      <c r="F126" s="21">
        <v>3</v>
      </c>
      <c r="G126" s="78" t="str">
        <v>9th</v>
      </c>
    </row>
    <row r="127" spans="3:9" x14ac:dyDescent="0.3">
      <c r="D127" s="21">
        <v>21</v>
      </c>
      <c r="E127" s="21">
        <v>17</v>
      </c>
      <c r="F127" s="21">
        <v>4</v>
      </c>
      <c r="G127" s="78" t="str">
        <v>12th</v>
      </c>
    </row>
    <row r="128" spans="3:9" x14ac:dyDescent="0.3">
      <c r="D128" s="21">
        <v>22</v>
      </c>
      <c r="E128" s="21">
        <v>18</v>
      </c>
      <c r="F128" s="21">
        <v>4</v>
      </c>
      <c r="G128" s="78" t="str">
        <v>21st</v>
      </c>
    </row>
    <row r="129" spans="1:10" x14ac:dyDescent="0.3">
      <c r="D129" s="21">
        <v>20</v>
      </c>
      <c r="E129" s="21">
        <v>17</v>
      </c>
      <c r="F129" s="21">
        <v>3</v>
      </c>
      <c r="G129" s="78" t="str">
        <v>7th</v>
      </c>
    </row>
    <row r="130" spans="1:10" x14ac:dyDescent="0.3">
      <c r="D130" s="21">
        <v>22</v>
      </c>
      <c r="E130" s="21">
        <v>18</v>
      </c>
      <c r="F130" s="21">
        <v>4</v>
      </c>
      <c r="G130" s="78" t="str">
        <v>15th</v>
      </c>
    </row>
    <row r="131" spans="1:10" x14ac:dyDescent="0.3">
      <c r="D131" s="21">
        <v>21</v>
      </c>
      <c r="E131" s="21">
        <v>17</v>
      </c>
      <c r="F131" s="21">
        <v>4</v>
      </c>
      <c r="G131" s="78" t="str">
        <v>20th</v>
      </c>
    </row>
    <row r="133" spans="1:10" x14ac:dyDescent="0.3">
      <c r="C133" s="21" t="s">
        <v>1070</v>
      </c>
    </row>
    <row r="134" spans="1:10" x14ac:dyDescent="0.3">
      <c r="C134" s="21" t="s">
        <v>1051</v>
      </c>
    </row>
    <row r="136" spans="1:10" x14ac:dyDescent="0.3">
      <c r="C136" s="21" t="s">
        <v>1017</v>
      </c>
    </row>
    <row r="137" spans="1:10" x14ac:dyDescent="0.3">
      <c r="C137" s="21" t="s">
        <v>1018</v>
      </c>
    </row>
    <row r="140" spans="1:10" s="52" customFormat="1" ht="21" x14ac:dyDescent="0.5">
      <c r="A140" s="56"/>
      <c r="B140" s="56" t="s">
        <v>10</v>
      </c>
      <c r="C140" s="56"/>
      <c r="D140" s="56"/>
      <c r="E140" s="56"/>
      <c r="F140" s="56"/>
      <c r="G140" s="56"/>
      <c r="H140" s="56"/>
      <c r="I140" s="56"/>
      <c r="J140" s="56"/>
    </row>
    <row r="142" spans="1:10" x14ac:dyDescent="0.3">
      <c r="B142" s="37">
        <v>1</v>
      </c>
      <c r="C142" s="37" t="s">
        <v>633</v>
      </c>
    </row>
    <row r="144" spans="1:10" x14ac:dyDescent="0.3">
      <c r="C144" s="98" t="s">
        <v>582</v>
      </c>
      <c r="E144" s="98" t="s">
        <v>634</v>
      </c>
      <c r="G144" s="114"/>
    </row>
    <row r="145" spans="2:7" x14ac:dyDescent="0.3">
      <c r="C145" s="98" t="s">
        <v>583</v>
      </c>
      <c r="E145" s="98" t="s">
        <v>534</v>
      </c>
      <c r="G145" s="114"/>
    </row>
    <row r="146" spans="2:7" x14ac:dyDescent="0.3">
      <c r="C146" s="98" t="s">
        <v>584</v>
      </c>
      <c r="E146" s="98" t="s">
        <v>635</v>
      </c>
      <c r="G146" s="114"/>
    </row>
    <row r="147" spans="2:7" x14ac:dyDescent="0.3">
      <c r="C147" s="98" t="s">
        <v>595</v>
      </c>
      <c r="E147" s="98" t="s">
        <v>531</v>
      </c>
      <c r="G147" s="114"/>
    </row>
    <row r="149" spans="2:7" x14ac:dyDescent="0.3">
      <c r="C149" s="37" t="s">
        <v>1019</v>
      </c>
    </row>
    <row r="150" spans="2:7" x14ac:dyDescent="0.3">
      <c r="G150" s="114"/>
    </row>
    <row r="156" spans="2:7" x14ac:dyDescent="0.3">
      <c r="B156" s="37">
        <v>2</v>
      </c>
      <c r="C156" s="37" t="s">
        <v>1055</v>
      </c>
    </row>
    <row r="158" spans="2:7" x14ac:dyDescent="0.3">
      <c r="C158" s="98" t="s">
        <v>1052</v>
      </c>
      <c r="G158" s="114"/>
    </row>
    <row r="159" spans="2:7" x14ac:dyDescent="0.3">
      <c r="C159" s="98" t="s">
        <v>583</v>
      </c>
    </row>
    <row r="160" spans="2:7" x14ac:dyDescent="0.3">
      <c r="C160" s="98" t="s">
        <v>1053</v>
      </c>
    </row>
    <row r="161" spans="1:10" x14ac:dyDescent="0.3">
      <c r="C161" s="98" t="s">
        <v>1054</v>
      </c>
    </row>
    <row r="164" spans="1:10" s="52" customFormat="1" ht="21" x14ac:dyDescent="0.5">
      <c r="A164" s="56"/>
      <c r="B164" s="56" t="s">
        <v>11</v>
      </c>
      <c r="C164" s="56"/>
      <c r="D164" s="56"/>
      <c r="E164" s="56"/>
      <c r="F164" s="56"/>
      <c r="G164" s="56"/>
      <c r="H164" s="56"/>
      <c r="I164" s="56"/>
      <c r="J164" s="56"/>
    </row>
    <row r="166" spans="1:10" x14ac:dyDescent="0.3">
      <c r="C166" s="37" t="s">
        <v>633</v>
      </c>
    </row>
    <row r="168" spans="1:10" x14ac:dyDescent="0.3">
      <c r="C168" s="98" t="s">
        <v>582</v>
      </c>
      <c r="E168" s="98" t="s">
        <v>634</v>
      </c>
      <c r="G168" s="187">
        <f>FIND(E168, C168)</f>
        <v>19</v>
      </c>
      <c r="I168" s="21" t="str">
        <f ca="1">_xlfn.FORMULATEXT(G168)</f>
        <v>=FIND(E168, C168)</v>
      </c>
    </row>
    <row r="169" spans="1:10" x14ac:dyDescent="0.3">
      <c r="C169" s="98" t="s">
        <v>583</v>
      </c>
      <c r="E169" s="98" t="s">
        <v>534</v>
      </c>
      <c r="G169" s="187">
        <f>FIND(E169, C169)</f>
        <v>19</v>
      </c>
      <c r="I169" s="21" t="str">
        <f ca="1">_xlfn.FORMULATEXT(G169)</f>
        <v>=FIND(E169, C169)</v>
      </c>
    </row>
    <row r="170" spans="1:10" x14ac:dyDescent="0.3">
      <c r="C170" s="98" t="s">
        <v>584</v>
      </c>
      <c r="E170" s="98" t="s">
        <v>635</v>
      </c>
      <c r="G170" s="187">
        <f>FIND(E170, C170)</f>
        <v>19</v>
      </c>
      <c r="I170" s="21" t="str">
        <f ca="1">_xlfn.FORMULATEXT(G170)</f>
        <v>=FIND(E170, C170)</v>
      </c>
    </row>
    <row r="171" spans="1:10" x14ac:dyDescent="0.3">
      <c r="C171" s="98" t="s">
        <v>595</v>
      </c>
      <c r="E171" s="98" t="s">
        <v>531</v>
      </c>
      <c r="G171" s="187">
        <f>FIND(E171, C171)</f>
        <v>19</v>
      </c>
      <c r="I171" s="21" t="str">
        <f ca="1">_xlfn.FORMULATEXT(G171)</f>
        <v>=FIND(E171, C171)</v>
      </c>
    </row>
    <row r="172" spans="1:10" x14ac:dyDescent="0.3">
      <c r="G172" s="137"/>
    </row>
    <row r="173" spans="1:10" x14ac:dyDescent="0.3">
      <c r="C173" s="37" t="s">
        <v>1019</v>
      </c>
      <c r="G173" s="137"/>
    </row>
    <row r="174" spans="1:10" x14ac:dyDescent="0.3">
      <c r="G174" s="187" cm="1">
        <f t="array" ref="G174:G177">FIND("-", C168:C171, 6)</f>
        <v>17</v>
      </c>
      <c r="I174" s="21" t="str">
        <f ca="1">_xlfn.FORMULATEXT(G174)</f>
        <v>=FIND("-", C168:C171, 6)</v>
      </c>
    </row>
    <row r="175" spans="1:10" x14ac:dyDescent="0.3">
      <c r="G175" s="137">
        <v>17</v>
      </c>
    </row>
    <row r="176" spans="1:10" x14ac:dyDescent="0.3">
      <c r="G176" s="137">
        <v>17</v>
      </c>
    </row>
    <row r="177" spans="2:9" x14ac:dyDescent="0.3">
      <c r="G177" s="137">
        <v>17</v>
      </c>
    </row>
    <row r="178" spans="2:9" x14ac:dyDescent="0.3">
      <c r="G178" s="137"/>
    </row>
    <row r="179" spans="2:9" x14ac:dyDescent="0.3">
      <c r="G179" s="137"/>
    </row>
    <row r="180" spans="2:9" x14ac:dyDescent="0.3">
      <c r="B180" s="37">
        <v>2</v>
      </c>
      <c r="C180" s="37" t="s">
        <v>1055</v>
      </c>
      <c r="G180" s="137"/>
    </row>
    <row r="181" spans="2:9" x14ac:dyDescent="0.3">
      <c r="G181" s="137"/>
    </row>
    <row r="182" spans="2:9" x14ac:dyDescent="0.3">
      <c r="C182" s="98" t="s">
        <v>1052</v>
      </c>
      <c r="G182" s="187" t="str" cm="1">
        <f t="array" ref="G182:G185">LEFT(C182:C185, FIND("-", C182:C185) - 2)</f>
        <v>January</v>
      </c>
      <c r="I182" s="21" t="str">
        <f ca="1">_xlfn.FORMULATEXT(G182)</f>
        <v>=LEFT(C182:C185, FIND("-", C182:C185) - 2)</v>
      </c>
    </row>
    <row r="183" spans="2:9" x14ac:dyDescent="0.3">
      <c r="C183" s="98" t="s">
        <v>583</v>
      </c>
      <c r="G183" s="137" t="str">
        <v>Mar</v>
      </c>
      <c r="I183" s="21" t="s">
        <v>1056</v>
      </c>
    </row>
    <row r="184" spans="2:9" x14ac:dyDescent="0.3">
      <c r="C184" s="98" t="s">
        <v>1053</v>
      </c>
      <c r="G184" s="137" t="str">
        <v>January</v>
      </c>
      <c r="I184" s="21" t="s">
        <v>1057</v>
      </c>
    </row>
    <row r="185" spans="2:9" x14ac:dyDescent="0.3">
      <c r="C185" s="98" t="s">
        <v>1054</v>
      </c>
      <c r="G185" s="137" t="str">
        <v>12</v>
      </c>
    </row>
  </sheetData>
  <printOptions horizontalCentered="1"/>
  <pageMargins left="0.15748031496063" right="0.15748031496063" top="0.78740157480314998" bottom="0.78740157480314998" header="0.511811023622047" footer="0.511811023622047"/>
  <pageSetup paperSize="9" scale="36" orientation="landscape" r:id="rId1"/>
  <headerFooter alignWithMargins="0">
    <oddFooter xml:space="preserve">&amp;CClarity Consultancy Services Ltd   info@clarityconsultancyservices.co.uk
Registered in the UK (6619745). Registered Office:  Suite 6 Bourne Gate, Bourne Valley Rd, Poole, BH12 1DY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E702A-1863-4121-B0C3-F809C958FA1A}">
  <sheetPr>
    <pageSetUpPr fitToPage="1"/>
  </sheetPr>
  <dimension ref="A1:AN191"/>
  <sheetViews>
    <sheetView showGridLines="0" zoomScaleNormal="100" workbookViewId="0">
      <pane ySplit="1" topLeftCell="A2" activePane="bottomLeft" state="frozen"/>
      <selection pane="bottomLeft"/>
    </sheetView>
  </sheetViews>
  <sheetFormatPr defaultColWidth="0" defaultRowHeight="16.8" x14ac:dyDescent="0.3"/>
  <cols>
    <col min="1" max="2" width="3.6640625" style="21" customWidth="1"/>
    <col min="3" max="3" width="36.44140625" style="21" customWidth="1"/>
    <col min="4" max="4" width="12.6640625" style="21" customWidth="1"/>
    <col min="5" max="5" width="19.6640625" style="21" customWidth="1"/>
    <col min="6" max="6" width="21.44140625" style="21" customWidth="1"/>
    <col min="7" max="7" width="23.109375" style="21" customWidth="1"/>
    <col min="8" max="8" width="17" style="21" customWidth="1"/>
    <col min="9" max="9" width="21.44140625" style="21" customWidth="1"/>
    <col min="10" max="10" width="16.6640625" style="21" customWidth="1"/>
    <col min="11" max="11" width="21.44140625" style="21" customWidth="1"/>
    <col min="12" max="12" width="21.33203125" style="21" customWidth="1"/>
    <col min="13" max="13" width="123.109375" style="21" customWidth="1"/>
    <col min="14" max="40" width="0" style="21" hidden="1" customWidth="1"/>
    <col min="41" max="16384" width="9.109375" style="21" hidden="1"/>
  </cols>
  <sheetData>
    <row r="1" spans="1:13" s="52" customFormat="1" ht="49.95" customHeight="1" x14ac:dyDescent="0.3">
      <c r="A1" s="49"/>
      <c r="B1" s="50" t="s">
        <v>596</v>
      </c>
      <c r="C1" s="49"/>
      <c r="D1" s="49"/>
      <c r="E1" s="49"/>
      <c r="F1" s="51"/>
      <c r="G1" s="51"/>
      <c r="H1" s="51"/>
      <c r="I1" s="51"/>
      <c r="J1" s="51"/>
      <c r="K1" s="51"/>
      <c r="L1" s="51"/>
      <c r="M1" s="51"/>
    </row>
    <row r="3" spans="1:13" ht="21" x14ac:dyDescent="0.5">
      <c r="B3" s="53" t="s">
        <v>597</v>
      </c>
      <c r="C3" s="53"/>
    </row>
    <row r="4" spans="1:13" ht="7.95" customHeight="1" x14ac:dyDescent="0.5">
      <c r="B4" s="53"/>
      <c r="C4" s="53"/>
    </row>
    <row r="5" spans="1:13" ht="21" x14ac:dyDescent="0.5">
      <c r="B5" s="53"/>
      <c r="C5" s="53" t="s">
        <v>563</v>
      </c>
    </row>
    <row r="6" spans="1:13" ht="21" x14ac:dyDescent="0.5">
      <c r="B6" s="53"/>
      <c r="C6" s="53" t="s">
        <v>598</v>
      </c>
    </row>
    <row r="7" spans="1:13" ht="21" x14ac:dyDescent="0.5">
      <c r="B7" s="53"/>
      <c r="C7" s="53" t="s">
        <v>564</v>
      </c>
    </row>
    <row r="9" spans="1:13" s="52" customFormat="1" ht="21" x14ac:dyDescent="0.5">
      <c r="A9" s="56"/>
      <c r="B9" s="56" t="s">
        <v>7</v>
      </c>
      <c r="C9" s="56"/>
      <c r="D9" s="56"/>
      <c r="E9" s="56"/>
      <c r="F9" s="56"/>
      <c r="G9" s="56"/>
      <c r="H9" s="56"/>
      <c r="I9" s="56"/>
      <c r="J9" s="56"/>
      <c r="K9" s="56"/>
      <c r="L9" s="56"/>
      <c r="M9" s="56"/>
    </row>
    <row r="10" spans="1:13" ht="19.95" customHeight="1" x14ac:dyDescent="0.3">
      <c r="C10" s="21" t="s">
        <v>599</v>
      </c>
    </row>
    <row r="12" spans="1:13" s="52" customFormat="1" ht="21" x14ac:dyDescent="0.5">
      <c r="A12" s="56"/>
      <c r="B12" s="56" t="s">
        <v>8</v>
      </c>
      <c r="C12" s="56"/>
      <c r="D12" s="56"/>
      <c r="E12" s="56"/>
      <c r="F12" s="56"/>
      <c r="G12" s="56"/>
      <c r="H12" s="56"/>
      <c r="I12" s="56"/>
      <c r="J12" s="56"/>
      <c r="K12" s="56"/>
      <c r="L12" s="56"/>
      <c r="M12" s="56"/>
    </row>
    <row r="15" spans="1:13" x14ac:dyDescent="0.3">
      <c r="C15" s="21" t="s">
        <v>600</v>
      </c>
    </row>
    <row r="17" spans="1:13" x14ac:dyDescent="0.3">
      <c r="C17" s="98" t="s">
        <v>567</v>
      </c>
      <c r="G17" s="187" t="str">
        <f>MID(C17, 15, 7)</f>
        <v>5623154</v>
      </c>
      <c r="I17" s="21" t="str">
        <f ca="1">_xlfn.FORMULATEXT(G17)</f>
        <v>=MID(C17, 15, 7)</v>
      </c>
    </row>
    <row r="19" spans="1:13" x14ac:dyDescent="0.3">
      <c r="C19" s="21" t="s">
        <v>1296</v>
      </c>
    </row>
    <row r="20" spans="1:13" x14ac:dyDescent="0.3">
      <c r="C20" s="21" t="s">
        <v>601</v>
      </c>
    </row>
    <row r="22" spans="1:13" x14ac:dyDescent="0.3">
      <c r="C22" s="32" t="s">
        <v>34</v>
      </c>
    </row>
    <row r="23" spans="1:13" x14ac:dyDescent="0.3">
      <c r="C23" s="21" t="s">
        <v>602</v>
      </c>
    </row>
    <row r="25" spans="1:13" s="52" customFormat="1" ht="21" x14ac:dyDescent="0.5">
      <c r="A25" s="56"/>
      <c r="B25" s="56" t="s">
        <v>570</v>
      </c>
      <c r="C25" s="56"/>
      <c r="D25" s="56"/>
      <c r="E25" s="56"/>
      <c r="F25" s="56"/>
      <c r="G25" s="56"/>
      <c r="H25" s="56"/>
      <c r="I25" s="56"/>
      <c r="J25" s="56"/>
      <c r="K25" s="56"/>
      <c r="L25" s="56"/>
      <c r="M25" s="56"/>
    </row>
    <row r="27" spans="1:13" x14ac:dyDescent="0.3">
      <c r="C27" s="21" t="s">
        <v>1297</v>
      </c>
    </row>
    <row r="29" spans="1:13" x14ac:dyDescent="0.3">
      <c r="C29" s="115" t="s">
        <v>571</v>
      </c>
      <c r="D29" s="115" t="s">
        <v>603</v>
      </c>
      <c r="E29" s="115" t="s">
        <v>572</v>
      </c>
    </row>
    <row r="30" spans="1:13" x14ac:dyDescent="0.3">
      <c r="C30" s="98" t="s">
        <v>567</v>
      </c>
      <c r="D30" s="98">
        <v>15</v>
      </c>
      <c r="E30" s="98">
        <v>7</v>
      </c>
      <c r="G30" s="187" t="str">
        <f>MID(C30, D30, E30)</f>
        <v>5623154</v>
      </c>
      <c r="I30" s="21" t="str">
        <f ca="1">_xlfn.FORMULATEXT(G30)</f>
        <v>=MID(C30, D30, E30)</v>
      </c>
    </row>
    <row r="32" spans="1:13" s="52" customFormat="1" ht="21" x14ac:dyDescent="0.5">
      <c r="A32" s="56"/>
      <c r="B32" s="56" t="s">
        <v>114</v>
      </c>
      <c r="C32" s="56"/>
      <c r="D32" s="56"/>
      <c r="E32" s="56"/>
      <c r="F32" s="56"/>
      <c r="G32" s="56"/>
      <c r="H32" s="56"/>
      <c r="I32" s="56"/>
      <c r="J32" s="56"/>
      <c r="K32" s="56"/>
      <c r="L32" s="56"/>
      <c r="M32" s="56"/>
    </row>
    <row r="34" spans="3:9" x14ac:dyDescent="0.3">
      <c r="C34" s="37" t="s">
        <v>604</v>
      </c>
    </row>
    <row r="36" spans="3:9" x14ac:dyDescent="0.3">
      <c r="C36" s="21" t="s">
        <v>605</v>
      </c>
    </row>
    <row r="38" spans="3:9" x14ac:dyDescent="0.3">
      <c r="C38" s="98" t="s">
        <v>575</v>
      </c>
      <c r="G38" s="187" t="str" cm="1">
        <f t="array" ref="G38:G43">MID(C38:C43, 10, 9)</f>
        <v>af6e-4826</v>
      </c>
      <c r="I38" s="21" t="str">
        <f ca="1">_xlfn.FORMULATEXT(G38)</f>
        <v>=MID(C38:C43, 10, 9)</v>
      </c>
    </row>
    <row r="39" spans="3:9" x14ac:dyDescent="0.3">
      <c r="C39" s="98" t="s">
        <v>576</v>
      </c>
      <c r="G39" s="137" t="str">
        <v>41cf-4ef6</v>
      </c>
    </row>
    <row r="40" spans="3:9" x14ac:dyDescent="0.3">
      <c r="C40" s="98" t="s">
        <v>577</v>
      </c>
      <c r="G40" s="137" t="str">
        <v>41f7-408c</v>
      </c>
    </row>
    <row r="41" spans="3:9" x14ac:dyDescent="0.3">
      <c r="C41" s="98" t="s">
        <v>578</v>
      </c>
      <c r="G41" s="137" t="str">
        <v>91d8-4508</v>
      </c>
    </row>
    <row r="42" spans="3:9" x14ac:dyDescent="0.3">
      <c r="C42" s="98" t="s">
        <v>579</v>
      </c>
      <c r="G42" s="137" t="str">
        <v>150b-47dr</v>
      </c>
    </row>
    <row r="43" spans="3:9" x14ac:dyDescent="0.3">
      <c r="C43" s="98" t="s">
        <v>580</v>
      </c>
      <c r="G43" s="137" t="str">
        <v>f76d-26db</v>
      </c>
    </row>
    <row r="44" spans="3:9" x14ac:dyDescent="0.3">
      <c r="G44" s="137"/>
    </row>
    <row r="45" spans="3:9" x14ac:dyDescent="0.3">
      <c r="C45" s="21" t="s">
        <v>999</v>
      </c>
      <c r="G45" s="137"/>
    </row>
    <row r="46" spans="3:9" x14ac:dyDescent="0.3">
      <c r="C46" s="21" t="s">
        <v>1005</v>
      </c>
      <c r="G46" s="137"/>
    </row>
    <row r="47" spans="3:9" x14ac:dyDescent="0.3">
      <c r="C47" s="21" t="s">
        <v>1006</v>
      </c>
      <c r="G47" s="137"/>
    </row>
    <row r="48" spans="3:9" x14ac:dyDescent="0.3">
      <c r="G48" s="137"/>
    </row>
    <row r="49" spans="1:13" x14ac:dyDescent="0.3">
      <c r="C49" s="98" t="s">
        <v>1000</v>
      </c>
      <c r="G49" s="189" t="str" cm="1">
        <f t="array" ref="G49:G53">MID(C49:C53, FIND(" ", C49:C53), 10)</f>
        <v xml:space="preserve"> Company A</v>
      </c>
      <c r="I49" s="21" t="str">
        <f ca="1">_xlfn.FORMULATEXT(G49)</f>
        <v>=MID(C49:C53, FIND(" ", C49:C53), 10)</v>
      </c>
    </row>
    <row r="50" spans="1:13" x14ac:dyDescent="0.3">
      <c r="C50" s="98" t="s">
        <v>1001</v>
      </c>
      <c r="G50" s="137" t="str">
        <v xml:space="preserve"> Company F</v>
      </c>
      <c r="I50" s="21" t="s">
        <v>1007</v>
      </c>
    </row>
    <row r="51" spans="1:13" x14ac:dyDescent="0.3">
      <c r="C51" s="98" t="s">
        <v>1002</v>
      </c>
      <c r="G51" s="137" t="str">
        <v xml:space="preserve"> Company U</v>
      </c>
      <c r="I51" s="21" t="s">
        <v>1008</v>
      </c>
    </row>
    <row r="52" spans="1:13" x14ac:dyDescent="0.3">
      <c r="C52" s="98" t="s">
        <v>1004</v>
      </c>
      <c r="G52" s="137" t="str">
        <v xml:space="preserve"> Company S</v>
      </c>
    </row>
    <row r="53" spans="1:13" x14ac:dyDescent="0.3">
      <c r="C53" s="98" t="s">
        <v>1003</v>
      </c>
      <c r="G53" s="137" t="str">
        <v xml:space="preserve"> Company V</v>
      </c>
    </row>
    <row r="54" spans="1:13" x14ac:dyDescent="0.3">
      <c r="G54" s="137"/>
    </row>
    <row r="55" spans="1:13" x14ac:dyDescent="0.3">
      <c r="G55" s="137"/>
    </row>
    <row r="56" spans="1:13" x14ac:dyDescent="0.3">
      <c r="G56" s="137"/>
    </row>
    <row r="57" spans="1:13" s="52" customFormat="1" ht="21" x14ac:dyDescent="0.5">
      <c r="A57" s="56"/>
      <c r="B57" s="56" t="s">
        <v>990</v>
      </c>
      <c r="C57" s="56"/>
      <c r="D57" s="56"/>
      <c r="E57" s="56"/>
      <c r="F57" s="56"/>
      <c r="G57" s="56"/>
      <c r="H57" s="56"/>
      <c r="I57" s="56"/>
      <c r="J57" s="56"/>
      <c r="K57" s="56"/>
      <c r="L57" s="56"/>
      <c r="M57" s="56"/>
    </row>
    <row r="59" spans="1:13" x14ac:dyDescent="0.3">
      <c r="C59" s="21" t="s">
        <v>998</v>
      </c>
    </row>
    <row r="60" spans="1:13" x14ac:dyDescent="0.3">
      <c r="C60" s="21" t="s">
        <v>1058</v>
      </c>
    </row>
    <row r="63" spans="1:13" x14ac:dyDescent="0.3">
      <c r="C63" s="128" t="s">
        <v>973</v>
      </c>
      <c r="G63" s="187" t="str" cm="1">
        <f t="array" ref="G63:G69">MID(C63:C69, 8, FIND("-", C63:C69, 8)-FIND("-", C63:C69) - 2)</f>
        <v xml:space="preserve">Month 3 </v>
      </c>
      <c r="I63" s="21" t="str">
        <f ca="1">_xlfn.FORMULATEXT(G63)</f>
        <v>=MID(C63:C69, 8, FIND("-", C63:C69, 8)-FIND("-", C63:C69) - 2)</v>
      </c>
    </row>
    <row r="64" spans="1:13" x14ac:dyDescent="0.3">
      <c r="C64" s="128" t="s">
        <v>974</v>
      </c>
      <c r="G64" s="137" t="str">
        <v xml:space="preserve">Month 5 </v>
      </c>
      <c r="I64" s="21" t="s">
        <v>1059</v>
      </c>
    </row>
    <row r="65" spans="3:11" x14ac:dyDescent="0.3">
      <c r="C65" s="128" t="s">
        <v>975</v>
      </c>
      <c r="G65" s="137" t="str">
        <v xml:space="preserve">Month 7 </v>
      </c>
    </row>
    <row r="66" spans="3:11" x14ac:dyDescent="0.3">
      <c r="C66" s="128" t="s">
        <v>976</v>
      </c>
      <c r="G66" s="137" t="str">
        <v xml:space="preserve">Month 11 </v>
      </c>
    </row>
    <row r="67" spans="3:11" x14ac:dyDescent="0.3">
      <c r="C67" s="128" t="s">
        <v>977</v>
      </c>
      <c r="G67" s="137" t="str">
        <v xml:space="preserve">Month 1 </v>
      </c>
    </row>
    <row r="68" spans="3:11" x14ac:dyDescent="0.3">
      <c r="C68" s="128" t="s">
        <v>978</v>
      </c>
      <c r="G68" s="137" t="str">
        <v xml:space="preserve">Month 12 </v>
      </c>
    </row>
    <row r="69" spans="3:11" x14ac:dyDescent="0.3">
      <c r="C69" s="128" t="s">
        <v>979</v>
      </c>
      <c r="G69" s="137" t="str">
        <v xml:space="preserve">Month 8 </v>
      </c>
    </row>
    <row r="71" spans="3:11" x14ac:dyDescent="0.3">
      <c r="C71" s="21" t="s">
        <v>982</v>
      </c>
    </row>
    <row r="73" spans="3:11" x14ac:dyDescent="0.3">
      <c r="C73" s="37" t="s">
        <v>983</v>
      </c>
      <c r="E73" s="37" t="s">
        <v>985</v>
      </c>
      <c r="G73" s="37" t="s">
        <v>987</v>
      </c>
      <c r="I73" s="37" t="s">
        <v>988</v>
      </c>
      <c r="J73" s="37"/>
      <c r="K73" s="37"/>
    </row>
    <row r="74" spans="3:11" ht="72" customHeight="1" x14ac:dyDescent="0.3">
      <c r="C74" s="214" t="s">
        <v>984</v>
      </c>
      <c r="D74" s="215"/>
      <c r="E74" s="214" t="s">
        <v>986</v>
      </c>
      <c r="F74" s="215"/>
      <c r="G74" s="214" t="s">
        <v>1060</v>
      </c>
      <c r="H74" s="215"/>
      <c r="I74" s="214" t="s">
        <v>989</v>
      </c>
      <c r="J74" s="37"/>
      <c r="K74" s="37"/>
    </row>
    <row r="75" spans="3:11" ht="22.05" customHeight="1" x14ac:dyDescent="0.3">
      <c r="C75" s="213" t="str">
        <f ca="1">_xlfn.FORMULATEXT(C76)</f>
        <v>=FIND("-", C63:C69, 8)</v>
      </c>
      <c r="E75" s="213" t="str">
        <f ca="1">_xlfn.FORMULATEXT(E76)</f>
        <v>=FIND("-", C63:C69)</v>
      </c>
      <c r="G75" s="213" t="str">
        <f ca="1">_xlfn.FORMULATEXT(G76)</f>
        <v>=C76# - E76# - 2</v>
      </c>
      <c r="I75" s="213" t="str">
        <f ca="1">_xlfn.FORMULATEXT(I76)</f>
        <v>=MID(C63:C69, 8, G76#)</v>
      </c>
      <c r="J75" s="37"/>
      <c r="K75" s="37"/>
    </row>
    <row r="76" spans="3:11" x14ac:dyDescent="0.3">
      <c r="C76" s="189" cm="1">
        <f t="array" ref="C76:C82">FIND("-", C63:C69, 8)</f>
        <v>16</v>
      </c>
      <c r="D76" s="137"/>
      <c r="E76" s="189" cm="1">
        <f t="array" ref="E76:E82">FIND("-", C63:C69)</f>
        <v>6</v>
      </c>
      <c r="F76" s="137"/>
      <c r="G76" s="189" cm="1">
        <f t="array" ref="G76:G82">_xlfn.ANCHORARRAY(C76) -_xlfn.ANCHORARRAY( E76) - 2</f>
        <v>8</v>
      </c>
      <c r="H76" s="137"/>
      <c r="I76" s="189" t="str" cm="1">
        <f t="array" ref="I76:I82">MID(C63:C69, 8,_xlfn.ANCHORARRAY( G76))</f>
        <v xml:space="preserve">Month 3 </v>
      </c>
    </row>
    <row r="77" spans="3:11" x14ac:dyDescent="0.3">
      <c r="C77" s="137">
        <v>16</v>
      </c>
      <c r="D77" s="137"/>
      <c r="E77" s="137">
        <v>6</v>
      </c>
      <c r="F77" s="137"/>
      <c r="G77" s="137">
        <v>8</v>
      </c>
      <c r="H77" s="137"/>
      <c r="I77" s="137" t="str">
        <v xml:space="preserve">Month 5 </v>
      </c>
    </row>
    <row r="78" spans="3:11" x14ac:dyDescent="0.3">
      <c r="C78" s="137">
        <v>16</v>
      </c>
      <c r="D78" s="137"/>
      <c r="E78" s="137">
        <v>6</v>
      </c>
      <c r="F78" s="137"/>
      <c r="G78" s="137">
        <v>8</v>
      </c>
      <c r="H78" s="137"/>
      <c r="I78" s="137" t="str">
        <v xml:space="preserve">Month 7 </v>
      </c>
    </row>
    <row r="79" spans="3:11" x14ac:dyDescent="0.3">
      <c r="C79" s="137">
        <v>17</v>
      </c>
      <c r="D79" s="137"/>
      <c r="E79" s="137">
        <v>6</v>
      </c>
      <c r="F79" s="137"/>
      <c r="G79" s="137">
        <v>9</v>
      </c>
      <c r="H79" s="137"/>
      <c r="I79" s="137" t="str">
        <v xml:space="preserve">Month 11 </v>
      </c>
    </row>
    <row r="80" spans="3:11" x14ac:dyDescent="0.3">
      <c r="C80" s="137">
        <v>16</v>
      </c>
      <c r="D80" s="137"/>
      <c r="E80" s="137">
        <v>6</v>
      </c>
      <c r="F80" s="137"/>
      <c r="G80" s="137">
        <v>8</v>
      </c>
      <c r="H80" s="137"/>
      <c r="I80" s="137" t="str">
        <v xml:space="preserve">Month 1 </v>
      </c>
    </row>
    <row r="81" spans="1:13" x14ac:dyDescent="0.3">
      <c r="C81" s="137">
        <v>17</v>
      </c>
      <c r="D81" s="137"/>
      <c r="E81" s="137">
        <v>6</v>
      </c>
      <c r="F81" s="137"/>
      <c r="G81" s="137">
        <v>9</v>
      </c>
      <c r="H81" s="137"/>
      <c r="I81" s="137" t="str">
        <v xml:space="preserve">Month 12 </v>
      </c>
    </row>
    <row r="82" spans="1:13" x14ac:dyDescent="0.3">
      <c r="C82" s="137">
        <v>16</v>
      </c>
      <c r="D82" s="137"/>
      <c r="E82" s="137">
        <v>6</v>
      </c>
      <c r="F82" s="137"/>
      <c r="G82" s="137">
        <v>8</v>
      </c>
      <c r="H82" s="137"/>
      <c r="I82" s="137" t="str">
        <v xml:space="preserve">Month 8 </v>
      </c>
    </row>
    <row r="83" spans="1:13" x14ac:dyDescent="0.3">
      <c r="C83" s="137"/>
      <c r="D83" s="137"/>
      <c r="E83" s="137"/>
      <c r="F83" s="137"/>
      <c r="G83" s="137"/>
      <c r="H83" s="137"/>
      <c r="I83" s="137"/>
    </row>
    <row r="84" spans="1:13" x14ac:dyDescent="0.3">
      <c r="C84" s="21" t="s">
        <v>1218</v>
      </c>
    </row>
    <row r="85" spans="1:13" x14ac:dyDescent="0.3">
      <c r="C85" s="21" t="s">
        <v>1298</v>
      </c>
    </row>
    <row r="86" spans="1:13" x14ac:dyDescent="0.3">
      <c r="C86" s="21" t="s">
        <v>1219</v>
      </c>
    </row>
    <row r="87" spans="1:13" x14ac:dyDescent="0.3">
      <c r="C87" s="21" t="s">
        <v>1299</v>
      </c>
    </row>
    <row r="90" spans="1:13" s="52" customFormat="1" ht="21" x14ac:dyDescent="0.5">
      <c r="A90" s="56"/>
      <c r="B90" s="56" t="s">
        <v>1088</v>
      </c>
      <c r="C90" s="56"/>
      <c r="D90" s="56"/>
      <c r="E90" s="56"/>
      <c r="F90" s="56"/>
      <c r="G90" s="56"/>
      <c r="H90" s="56"/>
      <c r="I90" s="56"/>
      <c r="J90" s="56"/>
      <c r="K90" s="56"/>
      <c r="L90" s="56"/>
      <c r="M90" s="56"/>
    </row>
    <row r="92" spans="1:13" x14ac:dyDescent="0.3">
      <c r="C92" s="21" t="s">
        <v>1089</v>
      </c>
    </row>
    <row r="93" spans="1:13" x14ac:dyDescent="0.3">
      <c r="C93" s="21" t="s">
        <v>1090</v>
      </c>
    </row>
    <row r="95" spans="1:13" x14ac:dyDescent="0.3">
      <c r="C95" s="21" t="s">
        <v>1300</v>
      </c>
    </row>
    <row r="97" spans="3:6" x14ac:dyDescent="0.3">
      <c r="C97" s="193">
        <v>364534264526453</v>
      </c>
    </row>
    <row r="99" spans="3:6" x14ac:dyDescent="0.3">
      <c r="C99" s="21" t="s">
        <v>1092</v>
      </c>
    </row>
    <row r="101" spans="3:6" x14ac:dyDescent="0.3">
      <c r="C101" s="96" t="str" cm="1">
        <f t="array" ref="C101:C115">MID(C97, _xlfn.SEQUENCE(LEN(C97)),1)</f>
        <v>3</v>
      </c>
      <c r="F101" s="21" t="str">
        <f ca="1">_xlfn.FORMULATEXT(C101)</f>
        <v>=MID(C97, SEQUENCE(LEN(C97)),1)</v>
      </c>
    </row>
    <row r="102" spans="3:6" x14ac:dyDescent="0.3">
      <c r="C102" s="21" t="str">
        <v>6</v>
      </c>
    </row>
    <row r="103" spans="3:6" x14ac:dyDescent="0.3">
      <c r="C103" s="21" t="str">
        <v>4</v>
      </c>
    </row>
    <row r="104" spans="3:6" x14ac:dyDescent="0.3">
      <c r="C104" s="21" t="str">
        <v>5</v>
      </c>
    </row>
    <row r="105" spans="3:6" x14ac:dyDescent="0.3">
      <c r="C105" s="21" t="str">
        <v>3</v>
      </c>
    </row>
    <row r="106" spans="3:6" x14ac:dyDescent="0.3">
      <c r="C106" s="21" t="str">
        <v>4</v>
      </c>
    </row>
    <row r="107" spans="3:6" x14ac:dyDescent="0.3">
      <c r="C107" s="21" t="str">
        <v>2</v>
      </c>
    </row>
    <row r="108" spans="3:6" x14ac:dyDescent="0.3">
      <c r="C108" s="21" t="str">
        <v>6</v>
      </c>
    </row>
    <row r="109" spans="3:6" x14ac:dyDescent="0.3">
      <c r="C109" s="21" t="str">
        <v>4</v>
      </c>
    </row>
    <row r="110" spans="3:6" x14ac:dyDescent="0.3">
      <c r="C110" s="21" t="str">
        <v>5</v>
      </c>
    </row>
    <row r="111" spans="3:6" x14ac:dyDescent="0.3">
      <c r="C111" s="21" t="str">
        <v>2</v>
      </c>
    </row>
    <row r="112" spans="3:6" x14ac:dyDescent="0.3">
      <c r="C112" s="21" t="str">
        <v>6</v>
      </c>
    </row>
    <row r="113" spans="1:13" x14ac:dyDescent="0.3">
      <c r="C113" s="21" t="str">
        <v>4</v>
      </c>
    </row>
    <row r="114" spans="1:13" x14ac:dyDescent="0.3">
      <c r="C114" s="21" t="str">
        <v>5</v>
      </c>
    </row>
    <row r="115" spans="1:13" x14ac:dyDescent="0.3">
      <c r="C115" s="21" t="str">
        <v>3</v>
      </c>
    </row>
    <row r="117" spans="1:13" x14ac:dyDescent="0.3">
      <c r="C117" s="21" t="s">
        <v>1301</v>
      </c>
    </row>
    <row r="119" spans="1:13" x14ac:dyDescent="0.3">
      <c r="C119" s="96" t="str">
        <f>_xlfn.TEXTJOIN("; ",,_xlfn.ANCHORARRAY( C101))</f>
        <v>3; 6; 4; 5; 3; 4; 2; 6; 4; 5; 2; 6; 4; 5; 3</v>
      </c>
      <c r="F119" s="21" t="str">
        <f ca="1">_xlfn.FORMULATEXT(C119)</f>
        <v>=TEXTJOIN("; ",, C101#)</v>
      </c>
    </row>
    <row r="121" spans="1:13" x14ac:dyDescent="0.3">
      <c r="C121" s="21" t="s">
        <v>1091</v>
      </c>
    </row>
    <row r="123" spans="1:13" s="52" customFormat="1" ht="21" x14ac:dyDescent="0.5">
      <c r="A123" s="56"/>
      <c r="B123" s="56" t="s">
        <v>10</v>
      </c>
      <c r="C123" s="56"/>
      <c r="D123" s="56"/>
      <c r="E123" s="56"/>
      <c r="F123" s="56"/>
      <c r="G123" s="56"/>
      <c r="H123" s="56"/>
      <c r="I123" s="56"/>
      <c r="J123" s="56"/>
      <c r="K123" s="56"/>
      <c r="L123" s="56"/>
      <c r="M123" s="56"/>
    </row>
    <row r="125" spans="1:13" x14ac:dyDescent="0.3">
      <c r="B125" s="37">
        <v>1</v>
      </c>
      <c r="C125" s="37" t="s">
        <v>606</v>
      </c>
    </row>
    <row r="127" spans="1:13" x14ac:dyDescent="0.3">
      <c r="C127" s="98" t="s">
        <v>582</v>
      </c>
      <c r="G127" s="187"/>
    </row>
    <row r="128" spans="1:13" x14ac:dyDescent="0.3">
      <c r="C128" s="98" t="s">
        <v>583</v>
      </c>
      <c r="G128" s="187"/>
    </row>
    <row r="129" spans="1:13" x14ac:dyDescent="0.3">
      <c r="C129" s="98" t="s">
        <v>584</v>
      </c>
      <c r="G129" s="187"/>
    </row>
    <row r="130" spans="1:13" x14ac:dyDescent="0.3">
      <c r="C130" s="98" t="s">
        <v>1282</v>
      </c>
      <c r="G130" s="187"/>
    </row>
    <row r="131" spans="1:13" x14ac:dyDescent="0.3">
      <c r="G131" s="137"/>
    </row>
    <row r="132" spans="1:13" x14ac:dyDescent="0.3">
      <c r="G132" s="137"/>
    </row>
    <row r="133" spans="1:13" x14ac:dyDescent="0.3">
      <c r="G133" s="137"/>
    </row>
    <row r="134" spans="1:13" x14ac:dyDescent="0.3">
      <c r="B134" s="37">
        <v>2</v>
      </c>
      <c r="C134" s="37" t="s">
        <v>1078</v>
      </c>
      <c r="G134" s="137"/>
    </row>
    <row r="135" spans="1:13" x14ac:dyDescent="0.3">
      <c r="G135" s="137"/>
    </row>
    <row r="136" spans="1:13" ht="33.6" x14ac:dyDescent="0.3">
      <c r="C136" s="183" t="s">
        <v>1061</v>
      </c>
      <c r="G136" s="187"/>
    </row>
    <row r="137" spans="1:13" ht="33.6" x14ac:dyDescent="0.3">
      <c r="C137" s="183" t="s">
        <v>1062</v>
      </c>
      <c r="G137" s="137"/>
    </row>
    <row r="138" spans="1:13" ht="33.6" x14ac:dyDescent="0.3">
      <c r="C138" s="183" t="s">
        <v>1063</v>
      </c>
      <c r="G138" s="137"/>
    </row>
    <row r="139" spans="1:13" ht="33.6" x14ac:dyDescent="0.3">
      <c r="C139" s="183" t="s">
        <v>1064</v>
      </c>
      <c r="G139" s="137"/>
    </row>
    <row r="140" spans="1:13" x14ac:dyDescent="0.3">
      <c r="G140" s="137"/>
    </row>
    <row r="141" spans="1:13" x14ac:dyDescent="0.3">
      <c r="G141" s="137"/>
    </row>
    <row r="142" spans="1:13" s="52" customFormat="1" ht="21" x14ac:dyDescent="0.5">
      <c r="A142" s="56"/>
      <c r="B142" s="56" t="s">
        <v>11</v>
      </c>
      <c r="C142" s="56"/>
      <c r="D142" s="56"/>
      <c r="E142" s="56"/>
      <c r="F142" s="56"/>
      <c r="G142" s="188"/>
      <c r="H142" s="56"/>
      <c r="I142" s="56"/>
      <c r="J142" s="56"/>
      <c r="K142" s="56"/>
      <c r="L142" s="56"/>
      <c r="M142" s="56"/>
    </row>
    <row r="143" spans="1:13" x14ac:dyDescent="0.3">
      <c r="G143" s="137"/>
    </row>
    <row r="144" spans="1:13" x14ac:dyDescent="0.3">
      <c r="B144" s="37">
        <v>1</v>
      </c>
      <c r="C144" s="37" t="s">
        <v>606</v>
      </c>
      <c r="G144" s="137"/>
    </row>
    <row r="145" spans="2:12" x14ac:dyDescent="0.3">
      <c r="G145" s="137"/>
    </row>
    <row r="146" spans="2:12" x14ac:dyDescent="0.3">
      <c r="C146" s="98" t="s">
        <v>582</v>
      </c>
      <c r="G146" s="187" t="str">
        <f>MID(C146, 7, 9)</f>
        <v>144995535</v>
      </c>
      <c r="I146" s="21" t="str">
        <f ca="1">_xlfn.FORMULATEXT(G146)</f>
        <v>=MID(C146, 7, 9)</v>
      </c>
      <c r="K146" s="187" t="str" cm="1">
        <f t="array" ref="K146:K149">MID(C146:C149, 7, 9)</f>
        <v>144995535</v>
      </c>
      <c r="L146" s="21" t="str">
        <f ca="1">_xlfn.FORMULATEXT(K146)</f>
        <v>=MID(C146:C149, 7, 9)</v>
      </c>
    </row>
    <row r="147" spans="2:12" x14ac:dyDescent="0.3">
      <c r="C147" s="98" t="s">
        <v>583</v>
      </c>
      <c r="G147" s="187" t="str">
        <f>MID(C147, 7, 9)</f>
        <v>195895049</v>
      </c>
      <c r="I147" s="21" t="str">
        <f ca="1">_xlfn.FORMULATEXT(G147)</f>
        <v>=MID(C147, 7, 9)</v>
      </c>
      <c r="J147" s="21" t="s">
        <v>1169</v>
      </c>
      <c r="K147" s="137" t="str">
        <v>195895049</v>
      </c>
    </row>
    <row r="148" spans="2:12" x14ac:dyDescent="0.3">
      <c r="C148" s="98" t="s">
        <v>584</v>
      </c>
      <c r="G148" s="187" t="str">
        <f>MID(C148, 7, 9)</f>
        <v>938560385</v>
      </c>
      <c r="I148" s="21" t="str">
        <f ca="1">_xlfn.FORMULATEXT(G148)</f>
        <v>=MID(C148, 7, 9)</v>
      </c>
      <c r="K148" s="137" t="str">
        <v>938560385</v>
      </c>
    </row>
    <row r="149" spans="2:12" x14ac:dyDescent="0.3">
      <c r="C149" s="98" t="s">
        <v>1282</v>
      </c>
      <c r="G149" s="187" t="str">
        <f>MID(C149, 7, 9)</f>
        <v>839948573</v>
      </c>
      <c r="I149" s="21" t="str">
        <f ca="1">_xlfn.FORMULATEXT(G149)</f>
        <v>=MID(C149, 7, 9)</v>
      </c>
      <c r="K149" s="137" t="str">
        <v>839948573</v>
      </c>
    </row>
    <row r="150" spans="2:12" x14ac:dyDescent="0.3">
      <c r="G150" s="137"/>
    </row>
    <row r="151" spans="2:12" x14ac:dyDescent="0.3">
      <c r="G151" s="137"/>
    </row>
    <row r="152" spans="2:12" x14ac:dyDescent="0.3">
      <c r="G152" s="137"/>
    </row>
    <row r="153" spans="2:12" x14ac:dyDescent="0.3">
      <c r="B153" s="37">
        <v>2</v>
      </c>
      <c r="C153" s="37" t="s">
        <v>1078</v>
      </c>
      <c r="G153" s="137"/>
    </row>
    <row r="154" spans="2:12" x14ac:dyDescent="0.3">
      <c r="G154" s="137"/>
    </row>
    <row r="155" spans="2:12" ht="33.6" x14ac:dyDescent="0.3">
      <c r="C155" s="183" t="s">
        <v>1061</v>
      </c>
      <c r="G155" s="187" t="str" cm="1">
        <f t="array" ref="G155:G158">_xlfn.ANCHORARRAY(C188)</f>
        <v>489553</v>
      </c>
      <c r="I155" s="21" t="s">
        <v>1068</v>
      </c>
    </row>
    <row r="156" spans="2:12" ht="33.6" x14ac:dyDescent="0.3">
      <c r="C156" s="183" t="s">
        <v>1062</v>
      </c>
      <c r="G156" s="137" t="str">
        <v>489544263</v>
      </c>
    </row>
    <row r="157" spans="2:12" ht="33.6" x14ac:dyDescent="0.3">
      <c r="C157" s="183" t="s">
        <v>1063</v>
      </c>
      <c r="G157" s="137" t="str">
        <v>995533223</v>
      </c>
    </row>
    <row r="158" spans="2:12" ht="33.6" x14ac:dyDescent="0.3">
      <c r="C158" s="183" t="s">
        <v>1064</v>
      </c>
      <c r="G158" s="137" t="str">
        <v>9943</v>
      </c>
    </row>
    <row r="161" spans="3:5" x14ac:dyDescent="0.3">
      <c r="C161" s="37" t="s">
        <v>1302</v>
      </c>
    </row>
    <row r="163" spans="3:5" x14ac:dyDescent="0.3">
      <c r="C163" s="189" cm="1">
        <f t="array" ref="C163:C166">FIND("###", C155:C158) + 3</f>
        <v>34</v>
      </c>
      <c r="E163" s="21" t="str">
        <f ca="1">_xlfn.FORMULATEXT(C163)</f>
        <v>=FIND("###", C155:C158) + 3</v>
      </c>
    </row>
    <row r="164" spans="3:5" x14ac:dyDescent="0.3">
      <c r="C164" s="137">
        <v>33</v>
      </c>
    </row>
    <row r="165" spans="3:5" x14ac:dyDescent="0.3">
      <c r="C165" s="137">
        <v>32</v>
      </c>
    </row>
    <row r="166" spans="3:5" x14ac:dyDescent="0.3">
      <c r="C166" s="137">
        <v>32</v>
      </c>
    </row>
    <row r="169" spans="3:5" x14ac:dyDescent="0.3">
      <c r="C169" s="37" t="s">
        <v>1067</v>
      </c>
    </row>
    <row r="171" spans="3:5" x14ac:dyDescent="0.3">
      <c r="C171" s="189" cm="1">
        <f t="array" ref="C171:C174">FIND("###", C155:C158,_xlfn.ANCHORARRAY( C163) + 3)</f>
        <v>40</v>
      </c>
      <c r="E171" s="21" t="str">
        <f ca="1">_xlfn.FORMULATEXT(C171)</f>
        <v>=FIND("###", C155:C158, C163# + 3)</v>
      </c>
    </row>
    <row r="172" spans="3:5" x14ac:dyDescent="0.3">
      <c r="C172" s="137">
        <v>42</v>
      </c>
    </row>
    <row r="173" spans="3:5" x14ac:dyDescent="0.3">
      <c r="C173" s="137">
        <v>41</v>
      </c>
    </row>
    <row r="174" spans="3:5" x14ac:dyDescent="0.3">
      <c r="C174" s="137">
        <v>36</v>
      </c>
    </row>
    <row r="178" spans="3:5" x14ac:dyDescent="0.3">
      <c r="C178" s="37" t="s">
        <v>1066</v>
      </c>
    </row>
    <row r="180" spans="3:5" x14ac:dyDescent="0.3">
      <c r="C180" s="189" cm="1">
        <f t="array" ref="C180:C183">_xlfn.ANCHORARRAY(C171) -_xlfn.ANCHORARRAY( C163)</f>
        <v>6</v>
      </c>
      <c r="E180" s="21" t="str">
        <f ca="1">_xlfn.FORMULATEXT(C180)</f>
        <v>=C171# - C163#</v>
      </c>
    </row>
    <row r="181" spans="3:5" x14ac:dyDescent="0.3">
      <c r="C181" s="137">
        <v>9</v>
      </c>
    </row>
    <row r="182" spans="3:5" x14ac:dyDescent="0.3">
      <c r="C182" s="137">
        <v>9</v>
      </c>
    </row>
    <row r="183" spans="3:5" x14ac:dyDescent="0.3">
      <c r="C183" s="137">
        <v>4</v>
      </c>
    </row>
    <row r="187" spans="3:5" x14ac:dyDescent="0.3">
      <c r="C187" s="37" t="s">
        <v>1065</v>
      </c>
    </row>
    <row r="188" spans="3:5" x14ac:dyDescent="0.3">
      <c r="C188" s="189" t="str" cm="1">
        <f t="array" ref="C188:C191">MID(C155:C158,_xlfn.ANCHORARRAY( C163),_xlfn.ANCHORARRAY( C180))</f>
        <v>489553</v>
      </c>
      <c r="E188" s="21" t="str">
        <f ca="1">_xlfn.FORMULATEXT(C188)</f>
        <v>=MID(C155:C158, C163#, C180#)</v>
      </c>
    </row>
    <row r="189" spans="3:5" x14ac:dyDescent="0.3">
      <c r="C189" s="137" t="str">
        <v>489544263</v>
      </c>
    </row>
    <row r="190" spans="3:5" x14ac:dyDescent="0.3">
      <c r="C190" s="137" t="str">
        <v>995533223</v>
      </c>
    </row>
    <row r="191" spans="3:5" x14ac:dyDescent="0.3">
      <c r="C191" s="137" t="str">
        <v>9943</v>
      </c>
    </row>
  </sheetData>
  <printOptions horizontalCentered="1"/>
  <pageMargins left="0.15748031496063" right="0.15748031496063" top="0.78740157480314998" bottom="0.78740157480314998" header="0.511811023622047" footer="0.511811023622047"/>
  <pageSetup paperSize="9" scale="45" orientation="landscape" r:id="rId1"/>
  <headerFooter alignWithMargins="0">
    <oddFooter xml:space="preserve">&amp;CClarity Consultancy Services Ltd   info@clarityconsultancyservices.co.uk
Registered in the UK (6619745). Registered Office:  Suite 6 Bourne Gate, Bourne Valley Rd, Poole, BH12 1DY
</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CBBA5-BCAC-414F-AF05-B1D3B3894C6A}">
  <sheetPr>
    <pageSetUpPr fitToPage="1"/>
  </sheetPr>
  <dimension ref="A1:AL50"/>
  <sheetViews>
    <sheetView showGridLines="0" zoomScaleNormal="100" workbookViewId="0">
      <pane ySplit="1" topLeftCell="A36" activePane="bottomLeft" state="frozen"/>
      <selection activeCell="D46" sqref="D46:D47"/>
      <selection pane="bottomLeft"/>
    </sheetView>
  </sheetViews>
  <sheetFormatPr defaultColWidth="0" defaultRowHeight="16.8" x14ac:dyDescent="0.3"/>
  <cols>
    <col min="1" max="2" width="3.6640625" style="21" customWidth="1"/>
    <col min="3" max="3" width="35.44140625" style="21" customWidth="1"/>
    <col min="4" max="4" width="11.109375" style="21" customWidth="1"/>
    <col min="5" max="5" width="11.44140625" style="21" customWidth="1"/>
    <col min="6" max="6" width="14.109375" style="21" customWidth="1"/>
    <col min="7" max="7" width="21.44140625" style="21" customWidth="1"/>
    <col min="8" max="8" width="9.109375" style="21" customWidth="1"/>
    <col min="9" max="9" width="28.6640625" style="21" customWidth="1"/>
    <col min="10" max="10" width="75.109375" style="21" customWidth="1"/>
    <col min="11" max="38" width="0" style="21" hidden="1" customWidth="1"/>
    <col min="39" max="16384" width="9.109375" style="21" hidden="1"/>
  </cols>
  <sheetData>
    <row r="1" spans="1:10" s="52" customFormat="1" ht="49.95" customHeight="1" x14ac:dyDescent="0.3">
      <c r="A1" s="49"/>
      <c r="B1" s="50" t="s">
        <v>1020</v>
      </c>
      <c r="C1" s="49"/>
      <c r="D1" s="49"/>
      <c r="E1" s="49"/>
      <c r="F1" s="51"/>
      <c r="G1" s="51"/>
      <c r="H1" s="51"/>
      <c r="I1" s="51"/>
      <c r="J1" s="51"/>
    </row>
    <row r="3" spans="1:10" ht="17.55" customHeight="1" x14ac:dyDescent="0.5">
      <c r="B3" s="53" t="s">
        <v>1021</v>
      </c>
      <c r="C3" s="53"/>
    </row>
    <row r="4" spans="1:10" ht="17.55" customHeight="1" x14ac:dyDescent="0.5">
      <c r="B4" s="53"/>
      <c r="C4" s="53"/>
    </row>
    <row r="5" spans="1:10" ht="17.55" customHeight="1" x14ac:dyDescent="0.5">
      <c r="B5" s="53"/>
      <c r="C5" s="53" t="s">
        <v>1022</v>
      </c>
      <c r="D5" s="37"/>
    </row>
    <row r="6" spans="1:10" ht="17.55" customHeight="1" x14ac:dyDescent="0.5">
      <c r="B6" s="53"/>
      <c r="C6" s="53" t="s">
        <v>1023</v>
      </c>
      <c r="D6" s="37"/>
    </row>
    <row r="7" spans="1:10" ht="17.55" customHeight="1" x14ac:dyDescent="0.5">
      <c r="B7" s="53"/>
      <c r="C7" s="53" t="s">
        <v>1024</v>
      </c>
      <c r="D7" s="37"/>
    </row>
    <row r="8" spans="1:10" ht="17.55" customHeight="1" x14ac:dyDescent="0.5">
      <c r="B8" s="53"/>
      <c r="C8" s="53" t="s">
        <v>1025</v>
      </c>
      <c r="D8" s="37"/>
    </row>
    <row r="9" spans="1:10" ht="17.55" customHeight="1" x14ac:dyDescent="0.3">
      <c r="C9" s="54"/>
    </row>
    <row r="10" spans="1:10" s="52" customFormat="1" ht="21" x14ac:dyDescent="0.5">
      <c r="A10" s="56"/>
      <c r="B10" s="56" t="s">
        <v>7</v>
      </c>
      <c r="C10" s="56"/>
      <c r="D10" s="56"/>
      <c r="E10" s="56"/>
      <c r="F10" s="56"/>
      <c r="G10" s="56"/>
      <c r="H10" s="56"/>
      <c r="I10" s="56"/>
      <c r="J10" s="56"/>
    </row>
    <row r="11" spans="1:10" ht="19.95" customHeight="1" x14ac:dyDescent="0.3">
      <c r="C11" s="21" t="s">
        <v>1026</v>
      </c>
    </row>
    <row r="12" spans="1:10" ht="19.95" customHeight="1" x14ac:dyDescent="0.3">
      <c r="C12" s="21" t="s">
        <v>1027</v>
      </c>
    </row>
    <row r="13" spans="1:10" ht="19.95" customHeight="1" x14ac:dyDescent="0.3">
      <c r="C13" s="21" t="s">
        <v>1028</v>
      </c>
    </row>
    <row r="15" spans="1:10" s="52" customFormat="1" ht="21" x14ac:dyDescent="0.5">
      <c r="A15" s="56"/>
      <c r="B15" s="56" t="s">
        <v>114</v>
      </c>
      <c r="C15" s="56"/>
      <c r="D15" s="56"/>
      <c r="E15" s="56"/>
      <c r="F15" s="56"/>
      <c r="G15" s="56"/>
      <c r="H15" s="56"/>
      <c r="I15" s="56"/>
      <c r="J15" s="56"/>
    </row>
    <row r="17" spans="3:9" x14ac:dyDescent="0.3">
      <c r="C17" s="21" t="s">
        <v>1044</v>
      </c>
    </row>
    <row r="19" spans="3:9" x14ac:dyDescent="0.3">
      <c r="C19" s="98" t="s">
        <v>1033</v>
      </c>
      <c r="G19" s="96" t="str">
        <f>SUBSTITUTE(C19, "#", "")</f>
        <v>99300</v>
      </c>
      <c r="I19" s="21" t="str">
        <f ca="1">_xlfn.FORMULATEXT(G19)</f>
        <v>=SUBSTITUTE(C19, "#", "")</v>
      </c>
    </row>
    <row r="22" spans="3:9" x14ac:dyDescent="0.3">
      <c r="C22" s="21" t="s">
        <v>1045</v>
      </c>
    </row>
    <row r="24" spans="3:9" x14ac:dyDescent="0.3">
      <c r="C24" s="115" t="s">
        <v>571</v>
      </c>
      <c r="D24" s="115" t="s">
        <v>1029</v>
      </c>
      <c r="E24" s="115" t="s">
        <v>1030</v>
      </c>
      <c r="F24" s="115" t="s">
        <v>1031</v>
      </c>
      <c r="G24" s="115" t="s">
        <v>1032</v>
      </c>
    </row>
    <row r="25" spans="3:9" x14ac:dyDescent="0.3">
      <c r="C25" s="98" t="s">
        <v>1033</v>
      </c>
      <c r="D25" s="98" t="s">
        <v>1034</v>
      </c>
      <c r="E25" s="98"/>
      <c r="F25" s="98"/>
      <c r="G25" s="187" t="str">
        <f>SUBSTITUTE(C25, D25, E25)</f>
        <v>99300</v>
      </c>
      <c r="I25" s="21" t="str">
        <f ca="1">_xlfn.FORMULATEXT(G25)</f>
        <v>=SUBSTITUTE(C25, D25, E25)</v>
      </c>
    </row>
    <row r="26" spans="3:9" x14ac:dyDescent="0.3">
      <c r="C26" s="98" t="s">
        <v>1035</v>
      </c>
      <c r="D26" s="98" t="s">
        <v>1036</v>
      </c>
      <c r="E26" s="98" t="s">
        <v>1037</v>
      </c>
      <c r="F26" s="98"/>
      <c r="G26" s="187" t="str">
        <f>SUBSTITUTE(C26, D26, E26)</f>
        <v>Battle</v>
      </c>
      <c r="I26" s="21" t="str">
        <f t="shared" ref="I26:I31" ca="1" si="0">_xlfn.FORMULATEXT(G26)</f>
        <v>=SUBSTITUTE(C26, D26, E26)</v>
      </c>
    </row>
    <row r="27" spans="3:9" x14ac:dyDescent="0.3">
      <c r="C27" s="98" t="s">
        <v>1038</v>
      </c>
      <c r="D27" s="98" t="s">
        <v>1039</v>
      </c>
      <c r="E27" s="98"/>
      <c r="F27" s="98"/>
      <c r="G27" s="187" t="str">
        <f>SUBSTITUTE(C27, D27, E27)</f>
        <v>901184  643  3893</v>
      </c>
      <c r="I27" s="21" t="str">
        <f t="shared" ca="1" si="0"/>
        <v>=SUBSTITUTE(C27, D27, E27)</v>
      </c>
    </row>
    <row r="28" spans="3:9" x14ac:dyDescent="0.3">
      <c r="C28" s="98" t="s">
        <v>1040</v>
      </c>
      <c r="D28" s="98" t="s">
        <v>1039</v>
      </c>
      <c r="E28" s="98" t="s">
        <v>1041</v>
      </c>
      <c r="F28" s="98"/>
      <c r="G28" s="187" t="str">
        <f>SUBSTITUTE(C28, D28, E28)</f>
        <v>903943 : 973 : 0854</v>
      </c>
      <c r="I28" s="21" t="str">
        <f t="shared" ca="1" si="0"/>
        <v>=SUBSTITUTE(C28, D28, E28)</v>
      </c>
    </row>
    <row r="29" spans="3:9" x14ac:dyDescent="0.3">
      <c r="C29" s="98" t="s">
        <v>1042</v>
      </c>
      <c r="D29" s="98" t="s">
        <v>1039</v>
      </c>
      <c r="E29" s="98" t="s">
        <v>1043</v>
      </c>
      <c r="F29" s="98"/>
      <c r="G29" s="187" t="str">
        <f>SUBSTITUTE(C29, D29, E29)</f>
        <v>983954 xx 133 xx 5939</v>
      </c>
      <c r="I29" s="21" t="str">
        <f t="shared" ca="1" si="0"/>
        <v>=SUBSTITUTE(C29, D29, E29)</v>
      </c>
    </row>
    <row r="30" spans="3:9" x14ac:dyDescent="0.3">
      <c r="G30" s="137"/>
    </row>
    <row r="31" spans="3:9" x14ac:dyDescent="0.3">
      <c r="C31" s="98" t="s">
        <v>1042</v>
      </c>
      <c r="D31" s="98" t="s">
        <v>1039</v>
      </c>
      <c r="E31" s="98" t="s">
        <v>1043</v>
      </c>
      <c r="F31" s="98">
        <v>2</v>
      </c>
      <c r="G31" s="187" t="str">
        <f>SUBSTITUTE(C31, D31, E31,F31)</f>
        <v>983954 - 133 xx 5939</v>
      </c>
      <c r="I31" s="21" t="str">
        <f t="shared" ca="1" si="0"/>
        <v>=SUBSTITUTE(C31, D31, E31,F31)</v>
      </c>
    </row>
    <row r="34" spans="1:10" x14ac:dyDescent="0.3">
      <c r="C34" s="21" t="s">
        <v>1082</v>
      </c>
    </row>
    <row r="37" spans="1:10" s="52" customFormat="1" ht="21" x14ac:dyDescent="0.5">
      <c r="A37" s="56"/>
      <c r="B37" s="56" t="s">
        <v>1149</v>
      </c>
      <c r="C37" s="56"/>
      <c r="D37" s="56"/>
      <c r="E37" s="56"/>
      <c r="F37" s="56"/>
      <c r="G37" s="56"/>
      <c r="H37" s="56"/>
      <c r="I37" s="56"/>
      <c r="J37" s="56"/>
    </row>
    <row r="39" spans="1:10" x14ac:dyDescent="0.3">
      <c r="C39" s="21" t="s">
        <v>1150</v>
      </c>
    </row>
    <row r="40" spans="1:10" x14ac:dyDescent="0.3">
      <c r="C40" s="21" t="s">
        <v>1151</v>
      </c>
    </row>
    <row r="42" spans="1:10" x14ac:dyDescent="0.3">
      <c r="C42" s="98" t="s">
        <v>575</v>
      </c>
      <c r="D42" s="187">
        <f t="shared" ref="D42:D47" si="1">LEN(C42) - LEN(SUBSTITUTE(C42, "-", ""))</f>
        <v>4</v>
      </c>
      <c r="F42" s="21" t="str">
        <f t="shared" ref="F42:F47" ca="1" si="2">_xlfn.FORMULATEXT(D42)</f>
        <v>=LEN(C42) - LEN(SUBSTITUTE(C42, "-", ""))</v>
      </c>
    </row>
    <row r="43" spans="1:10" x14ac:dyDescent="0.3">
      <c r="C43" s="98" t="s">
        <v>576</v>
      </c>
      <c r="D43" s="187">
        <f t="shared" si="1"/>
        <v>4</v>
      </c>
      <c r="F43" s="21" t="str">
        <f t="shared" ca="1" si="2"/>
        <v>=LEN(C43) - LEN(SUBSTITUTE(C43, "-", ""))</v>
      </c>
    </row>
    <row r="44" spans="1:10" x14ac:dyDescent="0.3">
      <c r="C44" s="98" t="s">
        <v>577</v>
      </c>
      <c r="D44" s="187">
        <f t="shared" si="1"/>
        <v>4</v>
      </c>
      <c r="F44" s="21" t="str">
        <f t="shared" ca="1" si="2"/>
        <v>=LEN(C44) - LEN(SUBSTITUTE(C44, "-", ""))</v>
      </c>
    </row>
    <row r="45" spans="1:10" x14ac:dyDescent="0.3">
      <c r="C45" s="98" t="s">
        <v>578</v>
      </c>
      <c r="D45" s="187">
        <f t="shared" si="1"/>
        <v>4</v>
      </c>
      <c r="F45" s="21" t="str">
        <f t="shared" ca="1" si="2"/>
        <v>=LEN(C45) - LEN(SUBSTITUTE(C45, "-", ""))</v>
      </c>
    </row>
    <row r="46" spans="1:10" x14ac:dyDescent="0.3">
      <c r="C46" s="98" t="s">
        <v>579</v>
      </c>
      <c r="D46" s="187">
        <f t="shared" si="1"/>
        <v>4</v>
      </c>
      <c r="F46" s="21" t="str">
        <f t="shared" ca="1" si="2"/>
        <v>=LEN(C46) - LEN(SUBSTITUTE(C46, "-", ""))</v>
      </c>
    </row>
    <row r="47" spans="1:10" x14ac:dyDescent="0.3">
      <c r="C47" s="98" t="s">
        <v>580</v>
      </c>
      <c r="D47" s="187">
        <f t="shared" si="1"/>
        <v>4</v>
      </c>
      <c r="F47" s="21" t="str">
        <f t="shared" ca="1" si="2"/>
        <v>=LEN(C47) - LEN(SUBSTITUTE(C47, "-", ""))</v>
      </c>
    </row>
    <row r="49" spans="3:3" x14ac:dyDescent="0.3">
      <c r="C49" s="21" t="s">
        <v>1152</v>
      </c>
    </row>
    <row r="50" spans="3:3" x14ac:dyDescent="0.3">
      <c r="C50" s="21" t="s">
        <v>1153</v>
      </c>
    </row>
  </sheetData>
  <printOptions horizontalCentered="1"/>
  <pageMargins left="0.15748031496063" right="0.15748031496063" top="0.78740157480314998" bottom="0.78740157480314998" header="0.511811023622047" footer="0.511811023622047"/>
  <pageSetup paperSize="9" scale="54" orientation="landscape" r:id="rId1"/>
  <headerFooter alignWithMargins="0">
    <oddFooter xml:space="preserve">&amp;CClarity Consultancy Services Ltd   info@clarityconsultancyservices.co.uk
Registered in the UK (6619745). Registered Office:  Suite 6 Bourne Gate, Bourne Valley Rd, Poole, BH12 1DY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58FE4-4B31-4EBC-9123-2060E493F096}">
  <sheetPr>
    <tabColor rgb="FF00B0F0"/>
  </sheetPr>
  <dimension ref="A1:O25"/>
  <sheetViews>
    <sheetView showGridLines="0" zoomScaleNormal="100" workbookViewId="0">
      <pane ySplit="1" topLeftCell="A2" activePane="bottomLeft" state="frozen"/>
      <selection pane="bottomLeft"/>
    </sheetView>
  </sheetViews>
  <sheetFormatPr defaultColWidth="8.77734375" defaultRowHeight="16.8" x14ac:dyDescent="0.3"/>
  <cols>
    <col min="1" max="1" width="3.6640625" style="21" customWidth="1"/>
    <col min="2" max="2" width="40.33203125" style="21" customWidth="1"/>
    <col min="3" max="3" width="16.77734375" style="21" customWidth="1"/>
    <col min="4" max="8" width="13.33203125" style="21" customWidth="1"/>
    <col min="9" max="9" width="8.109375" style="21" customWidth="1"/>
    <col min="10" max="10" width="8.77734375" style="21" customWidth="1"/>
    <col min="11" max="11" width="10.33203125" style="21" customWidth="1"/>
    <col min="12" max="12" width="8.77734375" style="21"/>
    <col min="13" max="13" width="11.77734375" style="21" customWidth="1"/>
    <col min="14" max="14" width="17.44140625" style="21" customWidth="1"/>
    <col min="15" max="15" width="20.109375" style="21" customWidth="1"/>
    <col min="16" max="16384" width="8.77734375" style="21"/>
  </cols>
  <sheetData>
    <row r="1" spans="1:15" s="51" customFormat="1" ht="49.95" customHeight="1" x14ac:dyDescent="0.3">
      <c r="A1" s="49"/>
      <c r="B1" s="50" t="s">
        <v>315</v>
      </c>
      <c r="C1" s="49"/>
      <c r="D1" s="49"/>
      <c r="E1" s="49"/>
    </row>
    <row r="3" spans="1:15" x14ac:dyDescent="0.3">
      <c r="B3" s="21" t="s">
        <v>1303</v>
      </c>
      <c r="J3" s="37"/>
      <c r="K3" s="37"/>
      <c r="L3" s="37"/>
      <c r="M3" s="37"/>
      <c r="N3" s="37"/>
      <c r="O3" s="37"/>
    </row>
    <row r="4" spans="1:15" x14ac:dyDescent="0.3">
      <c r="B4" s="21" t="s">
        <v>636</v>
      </c>
      <c r="J4" s="37"/>
      <c r="K4" s="37"/>
      <c r="L4" s="37"/>
      <c r="M4" s="37"/>
      <c r="N4" s="37"/>
      <c r="O4" s="37"/>
    </row>
    <row r="5" spans="1:15" x14ac:dyDescent="0.3">
      <c r="B5" s="21" t="s">
        <v>941</v>
      </c>
      <c r="J5" s="37"/>
      <c r="K5" s="37"/>
      <c r="L5" s="37"/>
      <c r="M5" s="37"/>
      <c r="N5" s="37"/>
      <c r="O5" s="37"/>
    </row>
    <row r="6" spans="1:15" x14ac:dyDescent="0.3">
      <c r="J6" s="37"/>
      <c r="K6" s="37"/>
      <c r="L6" s="37"/>
      <c r="M6" s="37"/>
      <c r="N6" s="37"/>
      <c r="O6" s="37"/>
    </row>
    <row r="7" spans="1:15" x14ac:dyDescent="0.3">
      <c r="B7" s="115" t="s">
        <v>637</v>
      </c>
      <c r="D7" s="115" t="s">
        <v>638</v>
      </c>
      <c r="E7" s="115" t="s">
        <v>639</v>
      </c>
      <c r="F7" s="115" t="s">
        <v>640</v>
      </c>
      <c r="G7" s="115" t="s">
        <v>641</v>
      </c>
      <c r="H7" s="115" t="s">
        <v>317</v>
      </c>
    </row>
    <row r="8" spans="1:15" x14ac:dyDescent="0.3">
      <c r="B8" s="98" t="s">
        <v>642</v>
      </c>
      <c r="D8" s="114"/>
      <c r="E8" s="114"/>
      <c r="F8" s="114"/>
      <c r="G8" s="114"/>
      <c r="H8" s="114"/>
    </row>
    <row r="9" spans="1:15" x14ac:dyDescent="0.3">
      <c r="B9" s="98" t="s">
        <v>643</v>
      </c>
      <c r="D9" s="114"/>
      <c r="E9" s="114"/>
      <c r="F9" s="114"/>
      <c r="G9" s="114"/>
      <c r="H9" s="114"/>
    </row>
    <row r="10" spans="1:15" x14ac:dyDescent="0.3">
      <c r="B10" s="98" t="s">
        <v>644</v>
      </c>
      <c r="D10" s="114"/>
      <c r="E10" s="114"/>
      <c r="F10" s="114"/>
      <c r="G10" s="114"/>
      <c r="H10" s="114"/>
    </row>
    <row r="11" spans="1:15" x14ac:dyDescent="0.3">
      <c r="B11" s="98" t="s">
        <v>645</v>
      </c>
      <c r="D11" s="114"/>
      <c r="E11" s="114"/>
      <c r="F11" s="114"/>
      <c r="G11" s="114"/>
      <c r="H11" s="114"/>
    </row>
    <row r="12" spans="1:15" x14ac:dyDescent="0.3">
      <c r="B12" s="98" t="s">
        <v>646</v>
      </c>
      <c r="D12" s="114"/>
      <c r="E12" s="114"/>
      <c r="F12" s="114"/>
      <c r="G12" s="114"/>
      <c r="H12" s="114"/>
    </row>
    <row r="17" spans="2:9" x14ac:dyDescent="0.3">
      <c r="B17" s="21" t="s">
        <v>1304</v>
      </c>
      <c r="C17" s="117"/>
      <c r="D17" s="117"/>
      <c r="E17" s="117"/>
      <c r="F17" s="117"/>
      <c r="G17" s="118"/>
    </row>
    <row r="18" spans="2:9" x14ac:dyDescent="0.3">
      <c r="B18" s="117"/>
      <c r="C18" s="117"/>
      <c r="D18" s="117"/>
      <c r="E18" s="117"/>
      <c r="F18" s="117"/>
      <c r="G18" s="118"/>
    </row>
    <row r="19" spans="2:9" x14ac:dyDescent="0.3">
      <c r="B19" s="115" t="s">
        <v>653</v>
      </c>
      <c r="C19" s="115" t="s">
        <v>654</v>
      </c>
      <c r="D19" s="115" t="s">
        <v>655</v>
      </c>
      <c r="E19" s="115" t="s">
        <v>56</v>
      </c>
      <c r="F19" s="120"/>
      <c r="G19" s="118"/>
    </row>
    <row r="20" spans="2:9" x14ac:dyDescent="0.3">
      <c r="B20" s="98" t="s">
        <v>656</v>
      </c>
      <c r="C20" s="119">
        <v>1000</v>
      </c>
      <c r="D20" s="114"/>
      <c r="E20" s="114"/>
      <c r="F20" s="120"/>
      <c r="G20" s="118"/>
    </row>
    <row r="21" spans="2:9" x14ac:dyDescent="0.3">
      <c r="B21" s="98" t="s">
        <v>657</v>
      </c>
      <c r="C21" s="119">
        <v>2000</v>
      </c>
      <c r="D21" s="114"/>
      <c r="E21" s="114"/>
      <c r="F21" s="120"/>
      <c r="G21" s="118"/>
    </row>
    <row r="22" spans="2:9" x14ac:dyDescent="0.3">
      <c r="B22" s="98" t="s">
        <v>658</v>
      </c>
      <c r="C22" s="119">
        <v>3000</v>
      </c>
      <c r="D22" s="114"/>
      <c r="E22" s="114"/>
      <c r="F22" s="120"/>
      <c r="G22" s="118"/>
    </row>
    <row r="23" spans="2:9" x14ac:dyDescent="0.3">
      <c r="B23" s="98" t="s">
        <v>659</v>
      </c>
      <c r="C23" s="119">
        <v>4000</v>
      </c>
      <c r="D23" s="114"/>
      <c r="E23" s="114"/>
      <c r="F23" s="120"/>
      <c r="G23" s="118"/>
    </row>
    <row r="24" spans="2:9" x14ac:dyDescent="0.3">
      <c r="B24" s="98" t="s">
        <v>660</v>
      </c>
      <c r="C24" s="119">
        <v>5000</v>
      </c>
      <c r="D24" s="114"/>
      <c r="E24" s="114"/>
      <c r="F24" s="120"/>
      <c r="G24" s="118"/>
    </row>
    <row r="25" spans="2:9" x14ac:dyDescent="0.3">
      <c r="B25" s="120"/>
      <c r="C25" s="120"/>
      <c r="D25" s="120"/>
      <c r="E25" s="120"/>
      <c r="F25" s="120"/>
      <c r="G25" s="120"/>
      <c r="H25" s="120"/>
      <c r="I25" s="120"/>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76566-8434-4349-BACC-A8C3E31BA3A2}">
  <sheetPr>
    <tabColor rgb="FF002060"/>
  </sheetPr>
  <dimension ref="A1:O24"/>
  <sheetViews>
    <sheetView showGridLines="0" zoomScaleNormal="100" workbookViewId="0">
      <pane ySplit="1" topLeftCell="A2" activePane="bottomLeft" state="frozen"/>
      <selection pane="bottomLeft"/>
    </sheetView>
  </sheetViews>
  <sheetFormatPr defaultColWidth="8.77734375" defaultRowHeight="16.8" x14ac:dyDescent="0.3"/>
  <cols>
    <col min="1" max="1" width="3.6640625" style="21" customWidth="1"/>
    <col min="2" max="2" width="40.44140625" style="21" customWidth="1"/>
    <col min="3" max="3" width="12.44140625" style="21" customWidth="1"/>
    <col min="4" max="4" width="13.33203125" style="21" customWidth="1"/>
    <col min="5" max="5" width="20.6640625" style="21" customWidth="1"/>
    <col min="6" max="8" width="13.33203125" style="21" customWidth="1"/>
    <col min="9" max="9" width="3.109375" style="21" customWidth="1"/>
    <col min="10" max="13" width="13.109375" style="21" customWidth="1"/>
    <col min="14" max="14" width="17.77734375" style="21" bestFit="1" customWidth="1"/>
    <col min="15" max="15" width="20.44140625" style="21" bestFit="1" customWidth="1"/>
    <col min="16" max="16384" width="8.77734375" style="21"/>
  </cols>
  <sheetData>
    <row r="1" spans="1:15" s="51" customFormat="1" ht="49.95" customHeight="1" x14ac:dyDescent="0.3">
      <c r="A1" s="49"/>
      <c r="B1" s="50" t="s">
        <v>329</v>
      </c>
      <c r="C1" s="49"/>
      <c r="D1" s="49"/>
      <c r="E1" s="49"/>
    </row>
    <row r="3" spans="1:15" x14ac:dyDescent="0.3">
      <c r="B3" s="21" t="s">
        <v>1303</v>
      </c>
    </row>
    <row r="4" spans="1:15" x14ac:dyDescent="0.3">
      <c r="B4" s="21" t="s">
        <v>636</v>
      </c>
    </row>
    <row r="5" spans="1:15" x14ac:dyDescent="0.3">
      <c r="B5" s="21" t="s">
        <v>941</v>
      </c>
    </row>
    <row r="7" spans="1:15" x14ac:dyDescent="0.3">
      <c r="B7" s="115" t="s">
        <v>637</v>
      </c>
      <c r="D7" s="115" t="s">
        <v>638</v>
      </c>
      <c r="E7" s="115" t="s">
        <v>639</v>
      </c>
      <c r="F7" s="115" t="s">
        <v>640</v>
      </c>
      <c r="G7" s="115" t="s">
        <v>641</v>
      </c>
      <c r="H7" s="115" t="s">
        <v>317</v>
      </c>
      <c r="J7" s="115" t="s">
        <v>647</v>
      </c>
      <c r="K7" s="115" t="s">
        <v>648</v>
      </c>
      <c r="L7" s="115" t="s">
        <v>649</v>
      </c>
      <c r="M7" s="115" t="s">
        <v>650</v>
      </c>
      <c r="N7" s="115" t="s">
        <v>651</v>
      </c>
      <c r="O7" s="115" t="s">
        <v>652</v>
      </c>
    </row>
    <row r="8" spans="1:15" x14ac:dyDescent="0.3">
      <c r="B8" s="98" t="s">
        <v>642</v>
      </c>
      <c r="D8" s="114" t="str">
        <f>LEFT(B8,K8-1)</f>
        <v>John</v>
      </c>
      <c r="E8" s="114" t="str">
        <f>MID(B8,K8+1,(L8-K8)-2)</f>
        <v>Smith</v>
      </c>
      <c r="F8" s="114" t="str">
        <f>MID(B8,L8+2,(M8-L8)-3)</f>
        <v>456832</v>
      </c>
      <c r="G8" s="114" t="str">
        <f>MID(B8,M8+2,(N8-M8)-3)</f>
        <v>110044</v>
      </c>
      <c r="H8" s="114" t="str">
        <f>MID(B8,N8+1,(O8-N8)-1)</f>
        <v>A6052</v>
      </c>
      <c r="J8" s="116">
        <f>LEN(B8)</f>
        <v>36</v>
      </c>
      <c r="K8" s="116">
        <f>FIND(" ",B8)</f>
        <v>5</v>
      </c>
      <c r="L8" s="116">
        <f>FIND("-",B8)</f>
        <v>12</v>
      </c>
      <c r="M8" s="116">
        <f>FIND("-",B8,L8+1)</f>
        <v>21</v>
      </c>
      <c r="N8" s="116">
        <f>FIND("""",B8,1)</f>
        <v>30</v>
      </c>
      <c r="O8" s="116">
        <f>FIND("""",B8,N8+1)</f>
        <v>36</v>
      </c>
    </row>
    <row r="9" spans="1:15" x14ac:dyDescent="0.3">
      <c r="B9" s="98" t="s">
        <v>643</v>
      </c>
      <c r="D9" s="114" t="str">
        <f>LEFT(B9,K9-1)</f>
        <v>Jane</v>
      </c>
      <c r="E9" s="114" t="str">
        <f>MID(B9,K9+1,(L9-K9)-2)</f>
        <v>West</v>
      </c>
      <c r="F9" s="114" t="str">
        <f>MID(B9,L9+2,(M9-L9)-3)</f>
        <v>455612</v>
      </c>
      <c r="G9" s="114" t="str">
        <f>MID(B9,M9+2,(N9-M9)-3)</f>
        <v>110045</v>
      </c>
      <c r="H9" s="114" t="str">
        <f>MID(B9,N9+1,(O9-N9)-1)</f>
        <v>A6852</v>
      </c>
      <c r="J9" s="116">
        <f>LEN(B9)</f>
        <v>35</v>
      </c>
      <c r="K9" s="116">
        <f>FIND(" ",B9)</f>
        <v>5</v>
      </c>
      <c r="L9" s="116">
        <f>FIND("-",B9)</f>
        <v>11</v>
      </c>
      <c r="M9" s="116">
        <f>FIND("-",B9,L9+1)</f>
        <v>20</v>
      </c>
      <c r="N9" s="116">
        <f>FIND("""",B9,1)</f>
        <v>29</v>
      </c>
      <c r="O9" s="116">
        <f>FIND("""",B9,N9+1)</f>
        <v>35</v>
      </c>
    </row>
    <row r="10" spans="1:15" x14ac:dyDescent="0.3">
      <c r="B10" s="98" t="s">
        <v>644</v>
      </c>
      <c r="D10" s="114" t="str">
        <f>LEFT(B10,K10-1)</f>
        <v>Bill</v>
      </c>
      <c r="E10" s="114" t="str">
        <f>MID(B10,K10+1,(L10-K10)-2)</f>
        <v>Kane</v>
      </c>
      <c r="F10" s="114" t="str">
        <f>MID(B10,L10+2,(M10-L10)-3)</f>
        <v>6556832</v>
      </c>
      <c r="G10" s="114" t="str">
        <f>MID(B10,M10+2,(N10-M10)-3)</f>
        <v>120044</v>
      </c>
      <c r="H10" s="114" t="str">
        <f>MID(B10,N10+1,(O10-N10)-1)</f>
        <v>B6252</v>
      </c>
      <c r="J10" s="116">
        <f>LEN(B10)</f>
        <v>36</v>
      </c>
      <c r="K10" s="116">
        <f>FIND(" ",B10)</f>
        <v>5</v>
      </c>
      <c r="L10" s="116">
        <f>FIND("-",B10)</f>
        <v>11</v>
      </c>
      <c r="M10" s="116">
        <f>FIND("-",B10,L10+1)</f>
        <v>21</v>
      </c>
      <c r="N10" s="116">
        <f>FIND("""",B10,1)</f>
        <v>30</v>
      </c>
      <c r="O10" s="116">
        <f>FIND("""",B10,N10+1)</f>
        <v>36</v>
      </c>
    </row>
    <row r="11" spans="1:15" x14ac:dyDescent="0.3">
      <c r="B11" s="98" t="s">
        <v>645</v>
      </c>
      <c r="D11" s="114" t="str">
        <f>LEFT(B11,K11-1)</f>
        <v>Sarah</v>
      </c>
      <c r="E11" s="114" t="str">
        <f>MID(B11,K11+1,(L11-K11)-2)</f>
        <v>Keen</v>
      </c>
      <c r="F11" s="114" t="str">
        <f>MID(B11,L11+2,(M11-L11)-3)</f>
        <v>62156832</v>
      </c>
      <c r="G11" s="114" t="str">
        <f>MID(B11,M11+2,(N11-M11)-3)</f>
        <v>116644</v>
      </c>
      <c r="H11" s="114" t="str">
        <f>MID(B11,N11+1,(O11-N11)-1)</f>
        <v>D456052</v>
      </c>
      <c r="J11" s="116">
        <f>LEN(B11)</f>
        <v>40</v>
      </c>
      <c r="K11" s="116">
        <f>FIND(" ",B11)</f>
        <v>6</v>
      </c>
      <c r="L11" s="116">
        <f>FIND("-",B11)</f>
        <v>12</v>
      </c>
      <c r="M11" s="116">
        <f>FIND("-",B11,L11+1)</f>
        <v>23</v>
      </c>
      <c r="N11" s="116">
        <f>FIND("""",B11,1)</f>
        <v>32</v>
      </c>
      <c r="O11" s="116">
        <f>FIND("""",B11,N11+1)</f>
        <v>40</v>
      </c>
    </row>
    <row r="12" spans="1:15" x14ac:dyDescent="0.3">
      <c r="B12" s="98" t="s">
        <v>646</v>
      </c>
      <c r="D12" s="114" t="str">
        <f>LEFT(B12,K12-1)</f>
        <v>William</v>
      </c>
      <c r="E12" s="114" t="str">
        <f>MID(B12,K12+1,(L12-K12)-2)</f>
        <v>Clarkson</v>
      </c>
      <c r="F12" s="114" t="str">
        <f>MID(B12,L12+2,(M12-L12)-3)</f>
        <v>455692</v>
      </c>
      <c r="G12" s="114" t="str">
        <f>MID(B12,M12+2,(N12-M12)-3)</f>
        <v>1261044</v>
      </c>
      <c r="H12" s="114" t="str">
        <f>MID(B12,N12+1,(O12-N12)-1)</f>
        <v>C45</v>
      </c>
      <c r="J12" s="116">
        <f>LEN(B12)</f>
        <v>41</v>
      </c>
      <c r="K12" s="116">
        <f>FIND(" ",B12)</f>
        <v>8</v>
      </c>
      <c r="L12" s="116">
        <f>FIND("-",B12)</f>
        <v>18</v>
      </c>
      <c r="M12" s="116">
        <f>FIND("-",B12,L12+1)</f>
        <v>27</v>
      </c>
      <c r="N12" s="116">
        <f>FIND("""",B12,1)</f>
        <v>37</v>
      </c>
      <c r="O12" s="116">
        <f>FIND("""",B12,N12+1)</f>
        <v>41</v>
      </c>
    </row>
    <row r="17" spans="2:7" x14ac:dyDescent="0.3">
      <c r="B17" s="21" t="s">
        <v>1304</v>
      </c>
      <c r="C17" s="117"/>
      <c r="D17" s="117"/>
      <c r="E17" s="117"/>
      <c r="F17" s="117"/>
      <c r="G17" s="117"/>
    </row>
    <row r="18" spans="2:7" x14ac:dyDescent="0.3">
      <c r="B18" s="117"/>
      <c r="C18" s="117"/>
      <c r="D18" s="117"/>
      <c r="E18" s="117"/>
      <c r="F18" s="117"/>
      <c r="G18" s="117"/>
    </row>
    <row r="19" spans="2:7" x14ac:dyDescent="0.3">
      <c r="B19" s="115" t="s">
        <v>653</v>
      </c>
      <c r="C19" s="115" t="s">
        <v>654</v>
      </c>
      <c r="D19" s="115" t="s">
        <v>655</v>
      </c>
      <c r="E19" s="115" t="s">
        <v>56</v>
      </c>
      <c r="G19" s="117"/>
    </row>
    <row r="20" spans="2:7" x14ac:dyDescent="0.3">
      <c r="B20" s="98" t="s">
        <v>656</v>
      </c>
      <c r="C20" s="119">
        <v>1000</v>
      </c>
      <c r="D20" s="114" t="str">
        <f>MID(B20,15,7)</f>
        <v>1100015</v>
      </c>
      <c r="E20" s="114" t="str">
        <f>RIGHT(B20, LEN(B20) - (FIND(D20, B20, 1) + LEN(D20) + 1))</f>
        <v>XAA Lns &amp; Advs to</v>
      </c>
      <c r="G20" s="117"/>
    </row>
    <row r="21" spans="2:7" x14ac:dyDescent="0.3">
      <c r="B21" s="98" t="s">
        <v>657</v>
      </c>
      <c r="C21" s="119">
        <v>2000</v>
      </c>
      <c r="D21" s="114" t="str">
        <f>MID(B21,15,7)</f>
        <v>1100025</v>
      </c>
      <c r="E21" s="114" t="str">
        <f>RIGHT(B21, LEN(B21) - (FIND(D21, B21, 1) + LEN(D21) + 1))</f>
        <v>XAB Lns &amp; Advs Bk</v>
      </c>
      <c r="G21" s="117"/>
    </row>
    <row r="22" spans="2:7" x14ac:dyDescent="0.3">
      <c r="B22" s="98" t="s">
        <v>658</v>
      </c>
      <c r="C22" s="119">
        <v>3000</v>
      </c>
      <c r="D22" s="114" t="str">
        <f>MID(B22,15,7)</f>
        <v>1200003</v>
      </c>
      <c r="E22" s="114" t="str">
        <f>RIGHT(B22, LEN(B22) - (FIND(D22, B22, 1) + LEN(D22) + 1))</f>
        <v>Customers Advance</v>
      </c>
      <c r="G22" s="117"/>
    </row>
    <row r="23" spans="2:7" x14ac:dyDescent="0.3">
      <c r="B23" s="98" t="s">
        <v>659</v>
      </c>
      <c r="C23" s="119">
        <v>4000</v>
      </c>
      <c r="D23" s="114" t="str">
        <f>MID(B23,15,7)</f>
        <v>1500017</v>
      </c>
      <c r="E23" s="114" t="str">
        <f>RIGHT(B23, LEN(B23) - (FIND(D23, B23, 1) + LEN(D23) + 1))</f>
        <v>Customer Advances</v>
      </c>
      <c r="G23" s="117"/>
    </row>
    <row r="24" spans="2:7" x14ac:dyDescent="0.3">
      <c r="B24" s="98" t="s">
        <v>660</v>
      </c>
      <c r="C24" s="119">
        <v>5000</v>
      </c>
      <c r="D24" s="114" t="str">
        <f>MID(B24,15,7)</f>
        <v>1250126</v>
      </c>
      <c r="E24" s="114" t="str">
        <f>RIGHT(B24, LEN(B24) - (FIND(D24, B24, 1) + LEN(D24) + 1))</f>
        <v>GARD Fees Amt to</v>
      </c>
      <c r="G24" s="117"/>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69B32-6EA6-B84C-BD1C-B4F8E4312545}">
  <sheetPr>
    <pageSetUpPr fitToPage="1"/>
  </sheetPr>
  <dimension ref="A1:O380"/>
  <sheetViews>
    <sheetView showGridLines="0" zoomScaleNormal="100" workbookViewId="0">
      <pane ySplit="1" topLeftCell="A2" activePane="bottomLeft" state="frozen"/>
      <selection pane="bottomLeft"/>
    </sheetView>
  </sheetViews>
  <sheetFormatPr defaultColWidth="0" defaultRowHeight="13.2" x14ac:dyDescent="0.25"/>
  <cols>
    <col min="1" max="2" width="3.6640625" style="52" customWidth="1"/>
    <col min="3" max="3" width="29.109375" style="52" customWidth="1"/>
    <col min="4" max="5" width="14.33203125" style="52" customWidth="1"/>
    <col min="6" max="9" width="26.44140625" style="52" customWidth="1"/>
    <col min="10" max="10" width="50.77734375" style="52" customWidth="1"/>
    <col min="11" max="15" width="17.44140625" style="52" customWidth="1"/>
    <col min="16" max="16384" width="8.77734375" style="52" hidden="1"/>
  </cols>
  <sheetData>
    <row r="1" spans="1:15" ht="49.95" customHeight="1" x14ac:dyDescent="0.3">
      <c r="A1" s="49"/>
      <c r="B1" s="50" t="s">
        <v>902</v>
      </c>
      <c r="C1" s="49"/>
      <c r="D1" s="49"/>
      <c r="E1" s="49"/>
      <c r="F1" s="51"/>
      <c r="G1" s="51"/>
      <c r="H1" s="51"/>
      <c r="I1" s="51"/>
      <c r="J1" s="51"/>
      <c r="K1" s="51"/>
      <c r="L1" s="51"/>
      <c r="M1" s="51"/>
      <c r="N1" s="51"/>
      <c r="O1" s="51"/>
    </row>
    <row r="2" spans="1:15" ht="12" customHeight="1" x14ac:dyDescent="0.25"/>
    <row r="3" spans="1:15" ht="22.05" customHeight="1" x14ac:dyDescent="0.5">
      <c r="A3" s="175"/>
      <c r="B3" s="53" t="s">
        <v>903</v>
      </c>
      <c r="C3" s="176"/>
      <c r="D3" s="176"/>
      <c r="E3" s="176"/>
      <c r="I3" s="177"/>
    </row>
    <row r="4" spans="1:15" ht="22.95" customHeight="1" x14ac:dyDescent="0.5">
      <c r="A4" s="175"/>
      <c r="B4" s="176"/>
      <c r="C4" s="53" t="s">
        <v>904</v>
      </c>
      <c r="D4" s="176"/>
      <c r="E4" s="176"/>
    </row>
    <row r="5" spans="1:15" ht="22.95" customHeight="1" x14ac:dyDescent="0.5">
      <c r="A5" s="175"/>
      <c r="B5" s="176"/>
      <c r="C5" s="53" t="s">
        <v>905</v>
      </c>
      <c r="D5" s="176"/>
      <c r="E5" s="176"/>
    </row>
    <row r="6" spans="1:15" ht="22.95" customHeight="1" x14ac:dyDescent="0.5">
      <c r="A6" s="175"/>
      <c r="B6" s="176"/>
      <c r="C6" s="53" t="s">
        <v>1311</v>
      </c>
      <c r="D6" s="176"/>
      <c r="E6" s="176"/>
    </row>
    <row r="7" spans="1:15" ht="22.95" customHeight="1" x14ac:dyDescent="0.5">
      <c r="A7" s="175"/>
      <c r="B7" s="176"/>
      <c r="C7" s="53" t="s">
        <v>906</v>
      </c>
      <c r="D7" s="176"/>
      <c r="E7" s="176"/>
    </row>
    <row r="8" spans="1:15" ht="22.95" customHeight="1" x14ac:dyDescent="0.5">
      <c r="A8" s="175"/>
      <c r="B8" s="176"/>
      <c r="C8" s="53" t="s">
        <v>907</v>
      </c>
      <c r="D8" s="176"/>
      <c r="E8" s="176"/>
    </row>
    <row r="9" spans="1:15" ht="22.95" customHeight="1" x14ac:dyDescent="0.5">
      <c r="A9" s="175"/>
      <c r="B9" s="176"/>
      <c r="C9" s="53" t="s">
        <v>908</v>
      </c>
      <c r="D9" s="176"/>
      <c r="E9" s="176"/>
    </row>
    <row r="10" spans="1:15" ht="22.95" customHeight="1" x14ac:dyDescent="0.5">
      <c r="A10" s="175"/>
      <c r="B10" s="176"/>
      <c r="C10" s="53"/>
      <c r="D10" s="176"/>
      <c r="E10" s="176"/>
    </row>
    <row r="11" spans="1:15" ht="17.399999999999999" x14ac:dyDescent="0.3">
      <c r="C11" s="178"/>
    </row>
    <row r="12" spans="1:15" ht="21" x14ac:dyDescent="0.5">
      <c r="A12" s="56"/>
      <c r="B12" s="56" t="s">
        <v>7</v>
      </c>
      <c r="C12" s="56"/>
      <c r="D12" s="56"/>
      <c r="E12" s="56"/>
      <c r="F12" s="56"/>
      <c r="G12" s="56"/>
      <c r="H12" s="56"/>
      <c r="I12" s="56"/>
      <c r="J12" s="56"/>
      <c r="K12" s="56"/>
      <c r="L12" s="56"/>
      <c r="M12" s="56"/>
      <c r="N12" s="56"/>
      <c r="O12" s="56"/>
    </row>
    <row r="13" spans="1:15" s="180" customFormat="1" ht="19.95" customHeight="1" x14ac:dyDescent="0.3">
      <c r="A13" s="179"/>
      <c r="B13" s="179"/>
      <c r="C13" s="20" t="s">
        <v>1079</v>
      </c>
      <c r="D13" s="179"/>
      <c r="E13" s="179"/>
      <c r="F13" s="179"/>
      <c r="G13" s="179"/>
      <c r="H13" s="179"/>
      <c r="I13" s="179"/>
      <c r="J13" s="179"/>
    </row>
    <row r="14" spans="1:15" s="180" customFormat="1" ht="19.95" customHeight="1" x14ac:dyDescent="0.3">
      <c r="A14" s="179"/>
      <c r="B14" s="179"/>
      <c r="C14" s="20" t="s">
        <v>909</v>
      </c>
      <c r="D14" s="179"/>
      <c r="E14" s="179"/>
      <c r="F14" s="179"/>
      <c r="G14" s="179"/>
      <c r="H14" s="179"/>
      <c r="I14" s="179"/>
      <c r="J14" s="179"/>
    </row>
    <row r="15" spans="1:15" s="180" customFormat="1" ht="19.95" customHeight="1" x14ac:dyDescent="0.3">
      <c r="A15" s="179"/>
      <c r="B15" s="179"/>
      <c r="C15" s="20" t="s">
        <v>910</v>
      </c>
      <c r="D15" s="179"/>
      <c r="E15" s="179"/>
      <c r="F15" s="179"/>
      <c r="G15" s="179"/>
      <c r="H15" s="179"/>
      <c r="I15" s="179"/>
      <c r="J15" s="179"/>
    </row>
    <row r="16" spans="1:15" s="180" customFormat="1" ht="19.95" customHeight="1" x14ac:dyDescent="0.3"/>
    <row r="17" spans="1:15" ht="21" x14ac:dyDescent="0.5">
      <c r="A17" s="56"/>
      <c r="B17" s="56" t="s">
        <v>8</v>
      </c>
      <c r="C17" s="56"/>
      <c r="D17" s="56"/>
      <c r="E17" s="56"/>
      <c r="F17" s="56"/>
      <c r="G17" s="56"/>
      <c r="H17" s="56"/>
      <c r="I17" s="56"/>
      <c r="J17" s="56"/>
      <c r="K17" s="56"/>
      <c r="L17" s="56"/>
      <c r="M17" s="56"/>
      <c r="N17" s="56"/>
      <c r="O17" s="56"/>
    </row>
    <row r="18" spans="1:15" x14ac:dyDescent="0.25">
      <c r="B18" s="181"/>
      <c r="D18" s="181"/>
    </row>
    <row r="19" spans="1:15" s="21" customFormat="1" ht="16.8" x14ac:dyDescent="0.3">
      <c r="C19" s="21" t="s">
        <v>913</v>
      </c>
      <c r="E19" s="32"/>
    </row>
    <row r="20" spans="1:15" s="21" customFormat="1" ht="16.8" x14ac:dyDescent="0.3">
      <c r="E20" s="32"/>
    </row>
    <row r="21" spans="1:15" s="21" customFormat="1" ht="16.8" x14ac:dyDescent="0.3">
      <c r="C21" s="98" t="s">
        <v>911</v>
      </c>
      <c r="F21" s="96" t="str" cm="1">
        <f t="array" ref="F21:G21">_xlfn.TEXTSPLIT(C21, "-")</f>
        <v xml:space="preserve">Jan </v>
      </c>
      <c r="G21" s="21" t="str">
        <v xml:space="preserve"> 144995535: Peter H</v>
      </c>
      <c r="H21" s="21" t="str">
        <f ca="1">_xlfn.FORMULATEXT(F21)</f>
        <v>=TEXTSPLIT(C21, "-")</v>
      </c>
    </row>
    <row r="22" spans="1:15" s="21" customFormat="1" ht="16.8" x14ac:dyDescent="0.3">
      <c r="C22" s="98" t="s">
        <v>912</v>
      </c>
      <c r="F22" s="96" t="str" cm="1">
        <f t="array" ref="F22:G22">_xlfn.TEXTSPLIT(C22, "-")</f>
        <v xml:space="preserve">Mar </v>
      </c>
      <c r="G22" s="21" t="str">
        <v xml:space="preserve"> 195895049: Sarah O</v>
      </c>
      <c r="H22" s="21" t="str">
        <f ca="1">_xlfn.FORMULATEXT(F22)</f>
        <v>=TEXTSPLIT(C22, "-")</v>
      </c>
    </row>
    <row r="23" spans="1:15" s="180" customFormat="1" ht="16.8" x14ac:dyDescent="0.3">
      <c r="C23" s="98" t="s">
        <v>914</v>
      </c>
      <c r="F23" s="96" t="str" cm="1">
        <f t="array" ref="F23:G23">_xlfn.TEXTSPLIT(C23, "-")</f>
        <v xml:space="preserve">Jan </v>
      </c>
      <c r="G23" s="21" t="str">
        <v xml:space="preserve"> 938560385: James D</v>
      </c>
      <c r="H23" s="21" t="str">
        <f ca="1">_xlfn.FORMULATEXT(F23)</f>
        <v>=TEXTSPLIT(C23, "-")</v>
      </c>
    </row>
    <row r="24" spans="1:15" s="180" customFormat="1" ht="16.8" x14ac:dyDescent="0.3">
      <c r="C24" s="98" t="s">
        <v>915</v>
      </c>
      <c r="F24" s="96" t="str" cm="1">
        <f t="array" ref="F24:G24">_xlfn.TEXTSPLIT(C24, "-")</f>
        <v xml:space="preserve">Dec </v>
      </c>
      <c r="G24" s="21" t="str">
        <v xml:space="preserve"> 839948573: John H</v>
      </c>
      <c r="H24" s="21" t="str">
        <f ca="1">_xlfn.FORMULATEXT(F24)</f>
        <v>=TEXTSPLIT(C24, "-")</v>
      </c>
    </row>
    <row r="25" spans="1:15" s="180" customFormat="1" ht="16.8" x14ac:dyDescent="0.3">
      <c r="C25" s="21"/>
      <c r="I25" s="83"/>
    </row>
    <row r="26" spans="1:15" s="180" customFormat="1" ht="16.8" x14ac:dyDescent="0.3">
      <c r="C26" s="21" t="s">
        <v>1117</v>
      </c>
      <c r="I26" s="83"/>
    </row>
    <row r="27" spans="1:15" s="180" customFormat="1" ht="16.8" x14ac:dyDescent="0.3">
      <c r="C27" s="21"/>
      <c r="I27" s="83"/>
    </row>
    <row r="28" spans="1:15" ht="21" x14ac:dyDescent="0.5">
      <c r="A28" s="56"/>
      <c r="B28" s="56" t="s">
        <v>1118</v>
      </c>
      <c r="C28" s="56"/>
      <c r="D28" s="56"/>
      <c r="E28" s="56"/>
      <c r="F28" s="56"/>
      <c r="G28" s="56"/>
      <c r="H28" s="56"/>
      <c r="I28" s="56"/>
      <c r="J28" s="56"/>
      <c r="K28" s="56"/>
      <c r="L28" s="56"/>
      <c r="M28" s="56"/>
      <c r="N28" s="56"/>
      <c r="O28" s="56"/>
    </row>
    <row r="29" spans="1:15" s="180" customFormat="1" ht="16.8" x14ac:dyDescent="0.3">
      <c r="C29" s="21"/>
      <c r="I29" s="83"/>
    </row>
    <row r="30" spans="1:15" s="180" customFormat="1" ht="16.8" x14ac:dyDescent="0.3">
      <c r="C30" s="21" t="s">
        <v>1305</v>
      </c>
      <c r="I30" s="83"/>
    </row>
    <row r="31" spans="1:15" s="180" customFormat="1" ht="16.8" x14ac:dyDescent="0.3">
      <c r="C31" s="21" t="s">
        <v>1115</v>
      </c>
      <c r="I31" s="83"/>
    </row>
    <row r="32" spans="1:15" s="180" customFormat="1" ht="16.8" x14ac:dyDescent="0.3">
      <c r="C32" s="21" t="s">
        <v>1310</v>
      </c>
      <c r="I32" s="83"/>
    </row>
    <row r="33" spans="3:9" s="180" customFormat="1" ht="16.8" x14ac:dyDescent="0.3">
      <c r="C33" s="21" t="s">
        <v>1116</v>
      </c>
      <c r="I33" s="83"/>
    </row>
    <row r="34" spans="3:9" s="180" customFormat="1" ht="16.8" x14ac:dyDescent="0.3">
      <c r="C34" s="21"/>
      <c r="I34" s="83"/>
    </row>
    <row r="35" spans="3:9" s="180" customFormat="1" ht="16.8" x14ac:dyDescent="0.3">
      <c r="C35" s="98" t="s">
        <v>911</v>
      </c>
      <c r="D35" s="21"/>
      <c r="E35" s="21"/>
      <c r="F35" s="96" t="str" cm="1">
        <f t="array" ref="F35:F38">_xlfn.TEXTSPLIT(C35:C38, "-")</f>
        <v xml:space="preserve">Jan </v>
      </c>
      <c r="G35" s="21"/>
      <c r="H35" s="21" t="str">
        <f ca="1">_xlfn.FORMULATEXT(F35)</f>
        <v>=TEXTSPLIT(C35:C38, "-")</v>
      </c>
      <c r="I35" s="83"/>
    </row>
    <row r="36" spans="3:9" s="180" customFormat="1" ht="16.8" x14ac:dyDescent="0.3">
      <c r="C36" s="98" t="s">
        <v>912</v>
      </c>
      <c r="D36" s="21"/>
      <c r="E36" s="21"/>
      <c r="F36" s="21" t="str">
        <v xml:space="preserve">Mar </v>
      </c>
      <c r="G36" s="21"/>
      <c r="H36" s="21"/>
      <c r="I36" s="83"/>
    </row>
    <row r="37" spans="3:9" s="180" customFormat="1" ht="16.8" x14ac:dyDescent="0.3">
      <c r="C37" s="98" t="s">
        <v>914</v>
      </c>
      <c r="F37" s="21" t="str">
        <v xml:space="preserve">Jan </v>
      </c>
      <c r="G37" s="21"/>
      <c r="H37" s="21"/>
      <c r="I37" s="83"/>
    </row>
    <row r="38" spans="3:9" s="180" customFormat="1" ht="16.8" x14ac:dyDescent="0.3">
      <c r="C38" s="98" t="s">
        <v>915</v>
      </c>
      <c r="F38" s="21" t="str">
        <v xml:space="preserve">Dec </v>
      </c>
      <c r="G38" s="21"/>
      <c r="H38" s="21"/>
      <c r="I38" s="83"/>
    </row>
    <row r="39" spans="3:9" s="180" customFormat="1" ht="16.8" x14ac:dyDescent="0.3">
      <c r="C39" s="21"/>
      <c r="F39" s="21"/>
      <c r="I39" s="83"/>
    </row>
    <row r="40" spans="3:9" s="180" customFormat="1" ht="16.8" x14ac:dyDescent="0.3">
      <c r="C40" s="21" t="s">
        <v>1120</v>
      </c>
      <c r="F40" s="21"/>
      <c r="I40" s="83"/>
    </row>
    <row r="41" spans="3:9" s="180" customFormat="1" ht="16.8" x14ac:dyDescent="0.3">
      <c r="C41" s="21" t="s">
        <v>1119</v>
      </c>
      <c r="F41" s="21"/>
      <c r="I41" s="83"/>
    </row>
    <row r="42" spans="3:9" s="180" customFormat="1" ht="16.8" x14ac:dyDescent="0.3">
      <c r="C42" s="21"/>
      <c r="F42" s="21"/>
      <c r="I42" s="83"/>
    </row>
    <row r="43" spans="3:9" s="180" customFormat="1" ht="16.8" x14ac:dyDescent="0.3">
      <c r="C43" s="98" t="s">
        <v>911</v>
      </c>
      <c r="D43" s="21"/>
      <c r="E43" s="21"/>
      <c r="F43" s="96" t="str" cm="1">
        <f t="array" ref="F43:G46">_xlfn.TEXTSPLIT(_xlfn.TEXTJOIN(";",,C43:C46), " - ", ";")</f>
        <v>Jan</v>
      </c>
      <c r="G43" s="21" t="str">
        <v>144995535: Peter H</v>
      </c>
      <c r="H43" s="21" t="str">
        <f ca="1">_xlfn.FORMULATEXT(F43)</f>
        <v>=TEXTSPLIT(TEXTJOIN(";",,C43:C46), " - ", ";")</v>
      </c>
      <c r="I43" s="83"/>
    </row>
    <row r="44" spans="3:9" s="180" customFormat="1" ht="16.8" x14ac:dyDescent="0.3">
      <c r="C44" s="98" t="s">
        <v>912</v>
      </c>
      <c r="D44" s="21"/>
      <c r="E44" s="21"/>
      <c r="F44" s="21" t="str">
        <v>Mar</v>
      </c>
      <c r="G44" s="21" t="str">
        <v>195895049: Sarah O</v>
      </c>
      <c r="H44" s="21"/>
      <c r="I44" s="83"/>
    </row>
    <row r="45" spans="3:9" s="180" customFormat="1" ht="16.8" x14ac:dyDescent="0.3">
      <c r="C45" s="98" t="s">
        <v>914</v>
      </c>
      <c r="F45" s="21" t="str">
        <v>Jan</v>
      </c>
      <c r="G45" s="21" t="str">
        <v>938560385: James D</v>
      </c>
      <c r="H45" s="21"/>
      <c r="I45" s="83"/>
    </row>
    <row r="46" spans="3:9" s="180" customFormat="1" ht="16.8" x14ac:dyDescent="0.3">
      <c r="C46" s="98" t="s">
        <v>915</v>
      </c>
      <c r="F46" s="21" t="str">
        <v>Dec</v>
      </c>
      <c r="G46" s="21" t="str">
        <v>839948573: John H</v>
      </c>
      <c r="H46" s="21"/>
      <c r="I46" s="83"/>
    </row>
    <row r="47" spans="3:9" s="180" customFormat="1" ht="16.8" x14ac:dyDescent="0.3">
      <c r="C47" s="21"/>
      <c r="F47" s="21"/>
      <c r="I47" s="83"/>
    </row>
    <row r="48" spans="3:9" s="180" customFormat="1" ht="16.8" x14ac:dyDescent="0.3">
      <c r="C48" s="21" t="s">
        <v>1121</v>
      </c>
      <c r="F48" s="21"/>
      <c r="I48" s="83"/>
    </row>
    <row r="49" spans="1:15" s="180" customFormat="1" ht="16.8" x14ac:dyDescent="0.3">
      <c r="C49" s="21" t="s">
        <v>1306</v>
      </c>
    </row>
    <row r="50" spans="1:15" s="180" customFormat="1" ht="16.8" x14ac:dyDescent="0.3">
      <c r="C50" s="21" t="s">
        <v>1307</v>
      </c>
    </row>
    <row r="51" spans="1:15" s="180" customFormat="1" ht="16.8" x14ac:dyDescent="0.3">
      <c r="C51" s="21" t="s">
        <v>1122</v>
      </c>
    </row>
    <row r="52" spans="1:15" s="180" customFormat="1" ht="13.8" x14ac:dyDescent="0.3"/>
    <row r="53" spans="1:15" ht="21" x14ac:dyDescent="0.5">
      <c r="A53" s="56"/>
      <c r="B53" s="56" t="s">
        <v>916</v>
      </c>
      <c r="C53" s="56"/>
      <c r="D53" s="56"/>
      <c r="E53" s="56"/>
      <c r="F53" s="56"/>
      <c r="G53" s="56"/>
      <c r="H53" s="56"/>
      <c r="I53" s="56"/>
      <c r="J53" s="56"/>
      <c r="K53" s="56"/>
      <c r="L53" s="56"/>
      <c r="M53" s="56"/>
      <c r="N53" s="56"/>
      <c r="O53" s="56"/>
    </row>
    <row r="54" spans="1:15" s="180" customFormat="1" ht="13.8" x14ac:dyDescent="0.3"/>
    <row r="55" spans="1:15" s="180" customFormat="1" ht="16.8" x14ac:dyDescent="0.3">
      <c r="C55" s="21" t="s">
        <v>917</v>
      </c>
    </row>
    <row r="56" spans="1:15" s="180" customFormat="1" ht="13.8" x14ac:dyDescent="0.3"/>
    <row r="57" spans="1:15" s="180" customFormat="1" ht="16.8" x14ac:dyDescent="0.3">
      <c r="C57" s="98" t="s">
        <v>582</v>
      </c>
      <c r="F57" s="96" t="str" cm="1">
        <f t="array" ref="F57:H57">_xlfn.TEXTSPLIT(C57, "-")</f>
        <v xml:space="preserve">Jan </v>
      </c>
      <c r="G57" s="21" t="str">
        <v xml:space="preserve"> 144995535 </v>
      </c>
      <c r="H57" s="21" t="str">
        <v xml:space="preserve"> Peter H</v>
      </c>
      <c r="I57" s="21" t="str">
        <f ca="1">_xlfn.FORMULATEXT(F57)</f>
        <v>=TEXTSPLIT(C57, "-")</v>
      </c>
      <c r="J57" s="21"/>
      <c r="K57" s="21"/>
      <c r="L57" s="21"/>
    </row>
    <row r="58" spans="1:15" s="180" customFormat="1" ht="16.8" x14ac:dyDescent="0.3">
      <c r="C58" s="98" t="s">
        <v>583</v>
      </c>
      <c r="F58" s="96" t="str" cm="1">
        <f t="array" ref="F58:H58">_xlfn.TEXTSPLIT(C58, "-")</f>
        <v xml:space="preserve">Mar </v>
      </c>
      <c r="G58" s="21" t="str">
        <v xml:space="preserve"> 195895049 </v>
      </c>
      <c r="H58" s="21" t="str">
        <v xml:space="preserve"> Sarah O</v>
      </c>
      <c r="I58" s="21" t="str">
        <f ca="1">_xlfn.FORMULATEXT(F58)</f>
        <v>=TEXTSPLIT(C58, "-")</v>
      </c>
      <c r="J58" s="21"/>
      <c r="K58" s="21"/>
      <c r="L58" s="21"/>
    </row>
    <row r="59" spans="1:15" s="21" customFormat="1" ht="16.8" x14ac:dyDescent="0.3">
      <c r="C59" s="98" t="s">
        <v>584</v>
      </c>
      <c r="F59" s="96" t="str" cm="1">
        <f t="array" ref="F59:H59">_xlfn.TEXTSPLIT(C59, "-")</f>
        <v xml:space="preserve">Jan </v>
      </c>
      <c r="G59" s="21" t="str">
        <v xml:space="preserve"> 938560385 </v>
      </c>
      <c r="H59" s="21" t="str">
        <v xml:space="preserve"> James D</v>
      </c>
      <c r="I59" s="21" t="str">
        <f ca="1">_xlfn.FORMULATEXT(F59)</f>
        <v>=TEXTSPLIT(C59, "-")</v>
      </c>
    </row>
    <row r="60" spans="1:15" ht="16.8" x14ac:dyDescent="0.3">
      <c r="C60" s="98" t="s">
        <v>595</v>
      </c>
      <c r="F60" s="96" t="str" cm="1">
        <f t="array" ref="F60:H60">_xlfn.TEXTSPLIT(C60, "-")</f>
        <v xml:space="preserve">Dec </v>
      </c>
      <c r="G60" s="21" t="str">
        <v xml:space="preserve"> 839948573 </v>
      </c>
      <c r="H60" s="21" t="str">
        <v xml:space="preserve"> John H</v>
      </c>
      <c r="I60" s="21" t="str">
        <f ca="1">_xlfn.FORMULATEXT(F60)</f>
        <v>=TEXTSPLIT(C60, "-")</v>
      </c>
      <c r="J60" s="21"/>
      <c r="K60" s="21"/>
      <c r="L60" s="21"/>
    </row>
    <row r="61" spans="1:15" ht="16.8" x14ac:dyDescent="0.3">
      <c r="I61" s="21"/>
      <c r="J61" s="21"/>
      <c r="K61" s="21"/>
      <c r="L61" s="21"/>
    </row>
    <row r="62" spans="1:15" ht="16.8" x14ac:dyDescent="0.3">
      <c r="I62" s="21"/>
      <c r="J62" s="21"/>
      <c r="K62" s="21"/>
      <c r="L62" s="21"/>
    </row>
    <row r="63" spans="1:15" ht="16.8" x14ac:dyDescent="0.3">
      <c r="I63" s="21"/>
      <c r="J63" s="21"/>
      <c r="K63" s="21"/>
      <c r="L63" s="21"/>
    </row>
    <row r="64" spans="1:15" ht="16.8" x14ac:dyDescent="0.3">
      <c r="C64" s="21" t="s">
        <v>1080</v>
      </c>
      <c r="I64" s="21"/>
      <c r="J64" s="21"/>
      <c r="K64" s="21"/>
      <c r="L64" s="21"/>
    </row>
    <row r="65" spans="3:12" ht="16.8" x14ac:dyDescent="0.3">
      <c r="I65" s="21"/>
      <c r="J65" s="21"/>
      <c r="K65" s="21"/>
      <c r="L65" s="21"/>
    </row>
    <row r="66" spans="3:12" ht="16.8" x14ac:dyDescent="0.3">
      <c r="C66" s="98" t="s">
        <v>911</v>
      </c>
      <c r="F66" s="96" t="str" cm="1">
        <f t="array" ref="F66:H66">_xlfn.TEXTSPLIT(C66, {"-",":"})</f>
        <v xml:space="preserve">Jan </v>
      </c>
      <c r="G66" s="21" t="str">
        <v xml:space="preserve"> 144995535</v>
      </c>
      <c r="H66" s="21" t="str">
        <v xml:space="preserve"> Peter H</v>
      </c>
      <c r="I66" s="21" t="str">
        <f ca="1">_xlfn.FORMULATEXT(F66)</f>
        <v>=TEXTSPLIT(C66, {"-",":"})</v>
      </c>
      <c r="J66" s="21"/>
      <c r="K66" s="21"/>
      <c r="L66" s="21"/>
    </row>
    <row r="67" spans="3:12" ht="16.8" x14ac:dyDescent="0.3">
      <c r="C67" s="98" t="s">
        <v>912</v>
      </c>
      <c r="F67" s="96" t="str" cm="1">
        <f t="array" ref="F67:H67">_xlfn.TEXTSPLIT(C67, {"-",":"})</f>
        <v xml:space="preserve">Mar </v>
      </c>
      <c r="G67" s="21" t="str">
        <v xml:space="preserve"> 195895049</v>
      </c>
      <c r="H67" s="21" t="str">
        <v xml:space="preserve"> Sarah O</v>
      </c>
      <c r="I67" s="21" t="str">
        <f ca="1">_xlfn.FORMULATEXT(F67)</f>
        <v>=TEXTSPLIT(C67, {"-",":"})</v>
      </c>
      <c r="J67" s="21"/>
      <c r="K67" s="21"/>
      <c r="L67" s="21"/>
    </row>
    <row r="68" spans="3:12" ht="16.8" x14ac:dyDescent="0.3">
      <c r="C68" s="98" t="s">
        <v>914</v>
      </c>
      <c r="F68" s="96" t="str" cm="1">
        <f t="array" ref="F68:H68">_xlfn.TEXTSPLIT(C68, {"-",":"})</f>
        <v xml:space="preserve">Jan </v>
      </c>
      <c r="G68" s="21" t="str">
        <v xml:space="preserve"> 938560385</v>
      </c>
      <c r="H68" s="21" t="str">
        <v xml:space="preserve"> James D</v>
      </c>
      <c r="I68" s="21" t="str">
        <f ca="1">_xlfn.FORMULATEXT(F68)</f>
        <v>=TEXTSPLIT(C68, {"-",":"})</v>
      </c>
      <c r="J68" s="21"/>
      <c r="K68" s="21"/>
      <c r="L68" s="21"/>
    </row>
    <row r="69" spans="3:12" ht="16.8" x14ac:dyDescent="0.3">
      <c r="C69" s="98" t="s">
        <v>915</v>
      </c>
      <c r="F69" s="96" t="str" cm="1">
        <f t="array" ref="F69:H69">_xlfn.TEXTSPLIT(C69, {"-",":"})</f>
        <v xml:space="preserve">Dec </v>
      </c>
      <c r="G69" s="21" t="str">
        <v xml:space="preserve"> 839948573</v>
      </c>
      <c r="H69" s="21" t="str">
        <v xml:space="preserve"> John H</v>
      </c>
      <c r="I69" s="21" t="str">
        <f ca="1">_xlfn.FORMULATEXT(F69)</f>
        <v>=TEXTSPLIT(C69, {"-",":"})</v>
      </c>
      <c r="J69" s="21"/>
      <c r="K69" s="21"/>
      <c r="L69" s="21"/>
    </row>
    <row r="73" spans="3:12" ht="16.8" x14ac:dyDescent="0.3">
      <c r="C73" s="21" t="s">
        <v>918</v>
      </c>
    </row>
    <row r="74" spans="3:12" ht="16.8" x14ac:dyDescent="0.3">
      <c r="C74" s="21" t="s">
        <v>919</v>
      </c>
    </row>
    <row r="76" spans="3:12" ht="16.8" x14ac:dyDescent="0.3">
      <c r="C76" s="98" t="s">
        <v>582</v>
      </c>
      <c r="D76" s="180"/>
      <c r="E76" s="180"/>
      <c r="F76" s="96" t="str" cm="1">
        <f t="array" ref="F76:F78">_xlfn.TEXTSPLIT(C76,, "-")</f>
        <v xml:space="preserve">Jan </v>
      </c>
      <c r="G76" s="96" t="str" cm="1">
        <f t="array" ref="G76:G78">_xlfn.TEXTSPLIT(C77,, "-")</f>
        <v xml:space="preserve">Mar </v>
      </c>
      <c r="H76" s="96" t="str" cm="1">
        <f t="array" ref="H76:H78">_xlfn.TEXTSPLIT(C78,, "-")</f>
        <v xml:space="preserve">Jan </v>
      </c>
      <c r="I76" s="96" t="str" cm="1">
        <f t="array" ref="I76:I78">_xlfn.TEXTSPLIT(C79,, "-")</f>
        <v xml:space="preserve">Dec </v>
      </c>
    </row>
    <row r="77" spans="3:12" ht="16.8" x14ac:dyDescent="0.3">
      <c r="C77" s="98" t="s">
        <v>583</v>
      </c>
      <c r="D77" s="180"/>
      <c r="E77" s="180"/>
      <c r="F77" s="21" t="str">
        <v xml:space="preserve"> 144995535 </v>
      </c>
      <c r="G77" s="21" t="str">
        <v xml:space="preserve"> 195895049 </v>
      </c>
      <c r="H77" s="21" t="str">
        <v xml:space="preserve"> 938560385 </v>
      </c>
      <c r="I77" s="21" t="str">
        <v xml:space="preserve"> 839948573 </v>
      </c>
    </row>
    <row r="78" spans="3:12" ht="16.8" x14ac:dyDescent="0.3">
      <c r="C78" s="98" t="s">
        <v>584</v>
      </c>
      <c r="D78" s="21"/>
      <c r="E78" s="21"/>
      <c r="F78" s="21" t="str">
        <v xml:space="preserve"> Peter H</v>
      </c>
      <c r="G78" s="21" t="str">
        <v xml:space="preserve"> Sarah O</v>
      </c>
      <c r="H78" s="21" t="str">
        <v xml:space="preserve"> James D</v>
      </c>
      <c r="I78" s="21" t="str">
        <v xml:space="preserve"> John H</v>
      </c>
    </row>
    <row r="79" spans="3:12" ht="16.8" x14ac:dyDescent="0.3">
      <c r="C79" s="98" t="s">
        <v>595</v>
      </c>
      <c r="F79" s="21"/>
      <c r="G79" s="21"/>
      <c r="H79" s="21"/>
    </row>
    <row r="81" spans="3:9" ht="16.8" x14ac:dyDescent="0.3">
      <c r="F81" s="21" t="str">
        <f ca="1">_xlfn.FORMULATEXT(F76)</f>
        <v>=TEXTSPLIT(C76,, "-")</v>
      </c>
      <c r="G81" s="21" t="str">
        <f ca="1">_xlfn.FORMULATEXT(G76)</f>
        <v>=TEXTSPLIT(C77,, "-")</v>
      </c>
      <c r="H81" s="21" t="str">
        <f ca="1">_xlfn.FORMULATEXT(H76)</f>
        <v>=TEXTSPLIT(C78,, "-")</v>
      </c>
      <c r="I81" s="21" t="str">
        <f ca="1">_xlfn.FORMULATEXT(I76)</f>
        <v>=TEXTSPLIT(C79,, "-")</v>
      </c>
    </row>
    <row r="84" spans="3:9" ht="16.8" x14ac:dyDescent="0.3">
      <c r="C84" s="21" t="s">
        <v>960</v>
      </c>
    </row>
    <row r="86" spans="3:9" ht="16.8" x14ac:dyDescent="0.3">
      <c r="F86" s="98" t="s">
        <v>582</v>
      </c>
      <c r="G86" s="98" t="s">
        <v>583</v>
      </c>
      <c r="H86" s="98" t="s">
        <v>584</v>
      </c>
      <c r="I86" s="98" t="s">
        <v>595</v>
      </c>
    </row>
    <row r="87" spans="3:9" ht="16.8" x14ac:dyDescent="0.3">
      <c r="F87" s="96" t="str" cm="1">
        <f t="array" ref="F87:F89">_xlfn.TEXTSPLIT(F86,, "-")</f>
        <v xml:space="preserve">Jan </v>
      </c>
      <c r="G87" s="96" t="str" cm="1">
        <f t="array" ref="G87:G89">_xlfn.TEXTSPLIT(G86,, "-")</f>
        <v xml:space="preserve">Mar </v>
      </c>
      <c r="H87" s="96" t="str" cm="1">
        <f t="array" ref="H87:H89">_xlfn.TEXTSPLIT(H86,, "-")</f>
        <v xml:space="preserve">Jan </v>
      </c>
      <c r="I87" s="96" t="str" cm="1">
        <f t="array" ref="I87:I89">_xlfn.TEXTSPLIT(I86,, "-")</f>
        <v xml:space="preserve">Dec </v>
      </c>
    </row>
    <row r="88" spans="3:9" ht="16.8" x14ac:dyDescent="0.3">
      <c r="F88" s="21" t="str">
        <v xml:space="preserve"> 144995535 </v>
      </c>
      <c r="G88" s="21" t="str">
        <v xml:space="preserve"> 195895049 </v>
      </c>
      <c r="H88" s="21" t="str">
        <v xml:space="preserve"> 938560385 </v>
      </c>
      <c r="I88" s="21" t="str">
        <v xml:space="preserve"> 839948573 </v>
      </c>
    </row>
    <row r="89" spans="3:9" ht="16.8" x14ac:dyDescent="0.3">
      <c r="F89" s="21" t="str">
        <v xml:space="preserve"> Peter H</v>
      </c>
      <c r="G89" s="21" t="str">
        <v xml:space="preserve"> Sarah O</v>
      </c>
      <c r="H89" s="21" t="str">
        <v xml:space="preserve"> James D</v>
      </c>
      <c r="I89" s="21" t="str">
        <v xml:space="preserve"> John H</v>
      </c>
    </row>
    <row r="92" spans="3:9" ht="16.8" x14ac:dyDescent="0.3">
      <c r="F92" s="21" t="str">
        <f ca="1">_xlfn.FORMULATEXT(F87)</f>
        <v>=TEXTSPLIT(F86,, "-")</v>
      </c>
      <c r="G92" s="21" t="str">
        <f ca="1">_xlfn.FORMULATEXT(G87)</f>
        <v>=TEXTSPLIT(G86,, "-")</v>
      </c>
      <c r="H92" s="21" t="str">
        <f ca="1">_xlfn.FORMULATEXT(H87)</f>
        <v>=TEXTSPLIT(H86,, "-")</v>
      </c>
      <c r="I92" s="21" t="str">
        <f ca="1">_xlfn.FORMULATEXT(I87)</f>
        <v>=TEXTSPLIT(I86,, "-")</v>
      </c>
    </row>
    <row r="93" spans="3:9" ht="16.8" x14ac:dyDescent="0.3">
      <c r="F93" s="21" t="s">
        <v>920</v>
      </c>
    </row>
    <row r="97" spans="1:15" ht="52.95" customHeight="1" x14ac:dyDescent="0.3">
      <c r="C97" s="183" t="s">
        <v>921</v>
      </c>
    </row>
    <row r="99" spans="1:15" ht="16.8" x14ac:dyDescent="0.3">
      <c r="F99" s="96" t="str" cm="1">
        <f t="array" ref="F99:G104">_xlfn.TEXTSPLIT(C97, " - ", ", ")</f>
        <v>John</v>
      </c>
      <c r="G99" s="21" t="str">
        <v>Team A</v>
      </c>
      <c r="H99" s="21" t="str">
        <f ca="1">_xlfn.FORMULATEXT(F99)</f>
        <v>=TEXTSPLIT(C97, " - ", ", ")</v>
      </c>
    </row>
    <row r="100" spans="1:15" ht="16.8" x14ac:dyDescent="0.3">
      <c r="F100" s="21" t="str">
        <v>Paul</v>
      </c>
      <c r="G100" s="21" t="str">
        <v>Team B</v>
      </c>
      <c r="H100" s="21" t="s">
        <v>922</v>
      </c>
    </row>
    <row r="101" spans="1:15" ht="16.8" x14ac:dyDescent="0.3">
      <c r="F101" s="21" t="str">
        <v>Stacey</v>
      </c>
      <c r="G101" s="21" t="str">
        <v>Team A</v>
      </c>
      <c r="H101" s="21"/>
    </row>
    <row r="102" spans="1:15" ht="16.8" x14ac:dyDescent="0.3">
      <c r="F102" s="21" t="str">
        <v>Zack</v>
      </c>
      <c r="G102" s="21" t="str">
        <v>Team A</v>
      </c>
      <c r="H102" s="21"/>
    </row>
    <row r="103" spans="1:15" ht="16.8" x14ac:dyDescent="0.3">
      <c r="F103" s="21" t="str">
        <v>Sally</v>
      </c>
      <c r="G103" s="21" t="str">
        <v>Team B</v>
      </c>
      <c r="H103" s="21"/>
    </row>
    <row r="104" spans="1:15" ht="16.8" x14ac:dyDescent="0.3">
      <c r="F104" s="21" t="str">
        <v>Claire</v>
      </c>
      <c r="G104" s="21" t="str">
        <v>Team B</v>
      </c>
      <c r="H104" s="21"/>
    </row>
    <row r="105" spans="1:15" ht="16.8" x14ac:dyDescent="0.3">
      <c r="F105" s="21"/>
      <c r="G105" s="21"/>
      <c r="H105" s="21"/>
    </row>
    <row r="108" spans="1:15" ht="21" x14ac:dyDescent="0.5">
      <c r="A108" s="56"/>
      <c r="B108" s="56" t="s">
        <v>923</v>
      </c>
      <c r="C108" s="56"/>
      <c r="D108" s="56"/>
      <c r="E108" s="56"/>
      <c r="F108" s="56"/>
      <c r="G108" s="56"/>
      <c r="H108" s="56"/>
      <c r="I108" s="56"/>
      <c r="J108" s="56"/>
      <c r="K108" s="56"/>
      <c r="L108" s="56"/>
      <c r="M108" s="56"/>
      <c r="N108" s="56"/>
      <c r="O108" s="56"/>
    </row>
    <row r="110" spans="1:15" ht="16.8" x14ac:dyDescent="0.3">
      <c r="C110" s="21" t="s">
        <v>924</v>
      </c>
    </row>
    <row r="111" spans="1:15" ht="16.8" x14ac:dyDescent="0.3">
      <c r="C111" s="21" t="s">
        <v>1308</v>
      </c>
    </row>
    <row r="112" spans="1:15" ht="16.8" x14ac:dyDescent="0.3">
      <c r="F112" s="21"/>
      <c r="G112" s="21"/>
      <c r="H112" s="21"/>
      <c r="I112" s="21"/>
      <c r="J112" s="21"/>
    </row>
    <row r="113" spans="3:10" ht="16.8" x14ac:dyDescent="0.3">
      <c r="C113" s="98" t="s">
        <v>925</v>
      </c>
      <c r="F113" s="96" t="str" cm="1">
        <f t="array" ref="F113:I113">_xlfn.TEXTSPLIT(C113, "-")</f>
        <v xml:space="preserve">Jan </v>
      </c>
      <c r="G113" s="21" t="str">
        <v xml:space="preserve"> 144995535 </v>
      </c>
      <c r="H113" s="182" t="str">
        <v/>
      </c>
      <c r="I113" s="21" t="str">
        <v xml:space="preserve"> Peter H</v>
      </c>
      <c r="J113" s="21" t="str">
        <f ca="1">_xlfn.FORMULATEXT(F113)</f>
        <v>=TEXTSPLIT(C113, "-")</v>
      </c>
    </row>
    <row r="114" spans="3:10" ht="16.8" x14ac:dyDescent="0.3">
      <c r="C114" s="98" t="s">
        <v>926</v>
      </c>
      <c r="F114" s="96" t="str" cm="1">
        <f t="array" ref="F114:I114">_xlfn.TEXTSPLIT(C114, "-")</f>
        <v xml:space="preserve">Mar </v>
      </c>
      <c r="G114" s="21" t="str">
        <v xml:space="preserve"> 195895049 </v>
      </c>
      <c r="H114" s="21" t="str">
        <v/>
      </c>
      <c r="I114" s="21" t="str">
        <v xml:space="preserve"> Sarah O</v>
      </c>
      <c r="J114" s="21" t="s">
        <v>1081</v>
      </c>
    </row>
    <row r="115" spans="3:10" ht="16.8" x14ac:dyDescent="0.3">
      <c r="C115" s="98" t="s">
        <v>927</v>
      </c>
      <c r="F115" s="96" t="str" cm="1">
        <f t="array" ref="F115:I115">_xlfn.TEXTSPLIT(C115, "-")</f>
        <v xml:space="preserve">Jan </v>
      </c>
      <c r="G115" s="21" t="str">
        <v xml:space="preserve"> 938560385 </v>
      </c>
      <c r="H115" s="21" t="str">
        <v/>
      </c>
      <c r="I115" s="21" t="str">
        <v xml:space="preserve"> James D</v>
      </c>
      <c r="J115" s="21"/>
    </row>
    <row r="116" spans="3:10" ht="16.8" x14ac:dyDescent="0.3">
      <c r="C116" s="98" t="s">
        <v>928</v>
      </c>
      <c r="F116" s="96" t="str" cm="1">
        <f t="array" ref="F116:I116">_xlfn.TEXTSPLIT(C116, "-")</f>
        <v xml:space="preserve">Dec </v>
      </c>
      <c r="G116" s="21" t="str">
        <v xml:space="preserve"> 839948573 </v>
      </c>
      <c r="H116" s="21" t="str">
        <v/>
      </c>
      <c r="I116" s="21" t="str">
        <v xml:space="preserve"> John H</v>
      </c>
      <c r="J116" s="21"/>
    </row>
    <row r="118" spans="3:10" ht="16.8" x14ac:dyDescent="0.3">
      <c r="F118" s="96" t="str" cm="1">
        <f t="array" ref="F118:I118">_xlfn.TEXTSPLIT(C113, "-",,FALSE)</f>
        <v xml:space="preserve">Jan </v>
      </c>
      <c r="G118" s="21" t="str">
        <v xml:space="preserve"> 144995535 </v>
      </c>
      <c r="H118" s="182" t="str">
        <v/>
      </c>
      <c r="I118" s="21" t="str">
        <v xml:space="preserve"> Peter H</v>
      </c>
      <c r="J118" s="21" t="str">
        <f ca="1">_xlfn.FORMULATEXT(F118)</f>
        <v>=TEXTSPLIT(C113, "-",,FALSE)</v>
      </c>
    </row>
    <row r="119" spans="3:10" ht="16.8" x14ac:dyDescent="0.3">
      <c r="F119" s="96" t="str" cm="1">
        <f t="array" ref="F119:I119">_xlfn.TEXTSPLIT(C114, "-",,FALSE)</f>
        <v xml:space="preserve">Mar </v>
      </c>
      <c r="G119" s="21" t="str">
        <v xml:space="preserve"> 195895049 </v>
      </c>
      <c r="H119" s="21" t="str">
        <v/>
      </c>
      <c r="I119" s="21" t="str">
        <v xml:space="preserve"> Sarah O</v>
      </c>
      <c r="J119" s="21" t="s">
        <v>1309</v>
      </c>
    </row>
    <row r="120" spans="3:10" ht="16.8" x14ac:dyDescent="0.3">
      <c r="F120" s="96" t="str" cm="1">
        <f t="array" ref="F120:I120">_xlfn.TEXTSPLIT(C115, "-",,FALSE)</f>
        <v xml:space="preserve">Jan </v>
      </c>
      <c r="G120" s="21" t="str">
        <v xml:space="preserve"> 938560385 </v>
      </c>
      <c r="H120" s="21" t="str">
        <v/>
      </c>
      <c r="I120" s="21" t="str">
        <v xml:space="preserve"> James D</v>
      </c>
      <c r="J120" s="21"/>
    </row>
    <row r="121" spans="3:10" ht="16.8" x14ac:dyDescent="0.3">
      <c r="F121" s="96" t="str" cm="1">
        <f t="array" ref="F121:I121">_xlfn.TEXTSPLIT(C116, "-",,FALSE)</f>
        <v xml:space="preserve">Dec </v>
      </c>
      <c r="G121" s="21" t="str">
        <v xml:space="preserve"> 839948573 </v>
      </c>
      <c r="H121" s="21" t="str">
        <v/>
      </c>
      <c r="I121" s="21" t="str">
        <v xml:space="preserve"> John H</v>
      </c>
      <c r="J121" s="21"/>
    </row>
    <row r="123" spans="3:10" ht="16.8" x14ac:dyDescent="0.3">
      <c r="F123" s="96" t="str" cm="1">
        <f t="array" ref="F123:H123">_xlfn.TEXTSPLIT(C113, "-",,TRUE)</f>
        <v xml:space="preserve">Jan </v>
      </c>
      <c r="G123" s="21" t="str">
        <v xml:space="preserve"> 144995535 </v>
      </c>
      <c r="H123" s="21" t="str">
        <v xml:space="preserve"> Peter H</v>
      </c>
      <c r="I123" s="21"/>
      <c r="J123" s="21" t="str">
        <f ca="1">_xlfn.FORMULATEXT(F123)</f>
        <v>=TEXTSPLIT(C113, "-",,TRUE)</v>
      </c>
    </row>
    <row r="124" spans="3:10" ht="16.8" x14ac:dyDescent="0.3">
      <c r="F124" s="96" t="str" cm="1">
        <f t="array" ref="F124:H124">_xlfn.TEXTSPLIT(C114, "-",,TRUE)</f>
        <v xml:space="preserve">Mar </v>
      </c>
      <c r="G124" s="21" t="str">
        <v xml:space="preserve"> 195895049 </v>
      </c>
      <c r="H124" s="21" t="str">
        <v xml:space="preserve"> Sarah O</v>
      </c>
      <c r="I124" s="21"/>
      <c r="J124" s="21" t="s">
        <v>929</v>
      </c>
    </row>
    <row r="125" spans="3:10" ht="16.8" x14ac:dyDescent="0.3">
      <c r="F125" s="96" t="str" cm="1">
        <f t="array" ref="F125:H125">_xlfn.TEXTSPLIT(C115, "-",,TRUE)</f>
        <v xml:space="preserve">Jan </v>
      </c>
      <c r="G125" s="21" t="str">
        <v xml:space="preserve"> 938560385 </v>
      </c>
      <c r="H125" s="21" t="str">
        <v xml:space="preserve"> James D</v>
      </c>
      <c r="I125" s="21"/>
      <c r="J125" s="21" t="s">
        <v>930</v>
      </c>
    </row>
    <row r="126" spans="3:10" ht="16.8" x14ac:dyDescent="0.3">
      <c r="F126" s="96" t="str" cm="1">
        <f t="array" ref="F126:H126">_xlfn.TEXTSPLIT(C116, "-",,TRUE)</f>
        <v xml:space="preserve">Dec </v>
      </c>
      <c r="G126" s="21" t="str">
        <v xml:space="preserve"> 839948573 </v>
      </c>
      <c r="H126" s="21" t="str">
        <v xml:space="preserve"> John H</v>
      </c>
      <c r="I126" s="21"/>
      <c r="J126" s="21"/>
    </row>
    <row r="131" spans="1:15" ht="21" x14ac:dyDescent="0.5">
      <c r="A131" s="56"/>
      <c r="B131" s="56" t="s">
        <v>931</v>
      </c>
      <c r="C131" s="56"/>
      <c r="D131" s="56"/>
      <c r="E131" s="56"/>
      <c r="F131" s="56"/>
      <c r="G131" s="56"/>
      <c r="H131" s="56"/>
      <c r="I131" s="56"/>
      <c r="J131" s="56"/>
      <c r="K131" s="56"/>
      <c r="L131" s="56"/>
      <c r="M131" s="56"/>
      <c r="N131" s="56"/>
      <c r="O131" s="56"/>
    </row>
    <row r="135" spans="1:15" ht="16.8" x14ac:dyDescent="0.3">
      <c r="C135" s="98" t="s">
        <v>932</v>
      </c>
      <c r="F135" s="96" t="str" cm="1">
        <f t="array" ref="F135:G135">_xlfn.TEXTSPLIT(C135," vs ")</f>
        <v>Tom</v>
      </c>
      <c r="G135" s="21" t="str">
        <v>Arron</v>
      </c>
      <c r="H135" s="21" t="str">
        <f ca="1">_xlfn.FORMULATEXT(F135)</f>
        <v>=TEXTSPLIT(C135," vs ")</v>
      </c>
      <c r="I135" s="21"/>
      <c r="K135" s="21"/>
    </row>
    <row r="136" spans="1:15" ht="16.8" x14ac:dyDescent="0.3">
      <c r="C136" s="98" t="s">
        <v>933</v>
      </c>
      <c r="F136" s="96" t="str" cm="1">
        <f t="array" ref="F136:G136">_xlfn.TEXTSPLIT(C136," vs ")</f>
        <v>Sarah</v>
      </c>
      <c r="G136" s="21" t="str">
        <v>Paul</v>
      </c>
      <c r="H136" s="21" t="s">
        <v>934</v>
      </c>
      <c r="I136" s="21"/>
      <c r="J136" s="21"/>
      <c r="K136" s="21"/>
    </row>
    <row r="137" spans="1:15" ht="16.8" x14ac:dyDescent="0.3">
      <c r="C137" s="98" t="s">
        <v>935</v>
      </c>
      <c r="F137" s="96" t="str" cm="1">
        <f t="array" ref="F137">_xlfn.TEXTSPLIT(C137," vs ")</f>
        <v>Adam Vs Steve</v>
      </c>
      <c r="G137" s="21"/>
      <c r="H137" s="21" t="s">
        <v>936</v>
      </c>
      <c r="I137" s="21"/>
      <c r="J137" s="21"/>
      <c r="K137" s="21"/>
    </row>
    <row r="138" spans="1:15" ht="16.8" x14ac:dyDescent="0.3">
      <c r="C138" s="98" t="s">
        <v>967</v>
      </c>
      <c r="F138" s="96" t="str" cm="1">
        <f t="array" ref="F138:G138">_xlfn.TEXTSPLIT(C138," vs ")</f>
        <v>Susan</v>
      </c>
      <c r="G138" s="21" t="str">
        <v>dave</v>
      </c>
      <c r="H138" s="21"/>
      <c r="I138" s="21"/>
      <c r="J138" s="21"/>
      <c r="K138" s="21"/>
    </row>
    <row r="139" spans="1:15" ht="16.8" x14ac:dyDescent="0.3">
      <c r="C139" s="98" t="s">
        <v>968</v>
      </c>
      <c r="F139" s="96" t="str" cm="1">
        <f t="array" ref="F139">_xlfn.TEXTSPLIT(C139," vs ")</f>
        <v>Richard VS BOB</v>
      </c>
      <c r="G139" s="21"/>
      <c r="H139" s="21"/>
      <c r="I139" s="21"/>
      <c r="J139" s="21"/>
      <c r="K139" s="21"/>
    </row>
    <row r="140" spans="1:15" ht="16.8" x14ac:dyDescent="0.3">
      <c r="F140" s="21"/>
      <c r="G140" s="21"/>
      <c r="H140" s="21"/>
      <c r="I140" s="21"/>
      <c r="J140" s="21"/>
      <c r="K140" s="21"/>
    </row>
    <row r="141" spans="1:15" ht="16.8" x14ac:dyDescent="0.3">
      <c r="F141" s="21"/>
      <c r="G141" s="21"/>
      <c r="H141" s="21"/>
      <c r="I141" s="21"/>
      <c r="J141" s="21"/>
      <c r="K141" s="21"/>
    </row>
    <row r="142" spans="1:15" ht="16.8" x14ac:dyDescent="0.3">
      <c r="F142" s="96" t="str" cm="1">
        <f t="array" ref="F142:G142">_xlfn.TEXTSPLIT(C135," vs ",,,1)</f>
        <v>Tom</v>
      </c>
      <c r="G142" s="21" t="str">
        <v>Arron</v>
      </c>
      <c r="H142" s="21" t="str">
        <f ca="1">_xlfn.FORMULATEXT(F142)</f>
        <v>=TEXTSPLIT(C135," vs ",,,1)</v>
      </c>
      <c r="I142" s="21"/>
      <c r="J142" s="21"/>
      <c r="K142" s="21"/>
    </row>
    <row r="143" spans="1:15" ht="16.8" x14ac:dyDescent="0.3">
      <c r="F143" s="96" t="str" cm="1">
        <f t="array" ref="F143:G143">_xlfn.TEXTSPLIT(C136," vs ",,,1)</f>
        <v>Sarah</v>
      </c>
      <c r="G143" s="21" t="str">
        <v>Paul</v>
      </c>
      <c r="H143" s="21" t="s">
        <v>969</v>
      </c>
      <c r="I143" s="21"/>
      <c r="J143" s="21"/>
      <c r="K143" s="21"/>
    </row>
    <row r="144" spans="1:15" ht="16.8" x14ac:dyDescent="0.3">
      <c r="F144" s="96" t="str" cm="1">
        <f t="array" ref="F144:G144">_xlfn.TEXTSPLIT(C137," vs ",,,1)</f>
        <v>Adam</v>
      </c>
      <c r="G144" s="21" t="str">
        <v>Steve</v>
      </c>
      <c r="H144" s="21"/>
      <c r="I144" s="21"/>
      <c r="J144" s="21"/>
      <c r="K144" s="21"/>
    </row>
    <row r="145" spans="3:11" ht="16.8" x14ac:dyDescent="0.3">
      <c r="F145" s="96" t="str" cm="1">
        <f t="array" ref="F145:G145">_xlfn.TEXTSPLIT(C138," vs ",,,1)</f>
        <v>Susan</v>
      </c>
      <c r="G145" s="21" t="str">
        <v>dave</v>
      </c>
      <c r="H145" s="21"/>
      <c r="I145" s="21"/>
      <c r="J145" s="21"/>
      <c r="K145" s="21"/>
    </row>
    <row r="146" spans="3:11" ht="16.8" x14ac:dyDescent="0.3">
      <c r="F146" s="96" t="str" cm="1">
        <f t="array" ref="F146:G146">_xlfn.TEXTSPLIT(C139," vs ",,,1)</f>
        <v>Richard</v>
      </c>
      <c r="G146" s="21" t="str">
        <v>BOB</v>
      </c>
      <c r="H146" s="21"/>
      <c r="I146" s="21"/>
      <c r="J146" s="21"/>
      <c r="K146" s="21"/>
    </row>
    <row r="147" spans="3:11" ht="16.8" x14ac:dyDescent="0.3">
      <c r="F147" s="21"/>
      <c r="G147" s="21"/>
      <c r="H147" s="21"/>
      <c r="I147" s="21"/>
      <c r="J147" s="21"/>
      <c r="K147" s="21"/>
    </row>
    <row r="148" spans="3:11" ht="16.8" x14ac:dyDescent="0.3">
      <c r="F148" s="21"/>
      <c r="G148" s="21"/>
      <c r="H148" s="21"/>
      <c r="I148" s="21"/>
      <c r="J148" s="21"/>
      <c r="K148" s="21"/>
    </row>
    <row r="149" spans="3:11" ht="16.8" x14ac:dyDescent="0.3">
      <c r="F149" s="96" t="str" cm="1">
        <f t="array" ref="F149:G149">PROPER(_xlfn.TEXTSPLIT(C135," vs ",,,1))</f>
        <v>Tom</v>
      </c>
      <c r="G149" s="21" t="str">
        <v>Arron</v>
      </c>
      <c r="H149" s="21" t="str">
        <f ca="1">_xlfn.FORMULATEXT(F149)</f>
        <v>=PROPER(TEXTSPLIT(C135," vs ",,,1))</v>
      </c>
      <c r="I149" s="21"/>
      <c r="J149" s="21"/>
      <c r="K149" s="21"/>
    </row>
    <row r="150" spans="3:11" ht="16.8" x14ac:dyDescent="0.3">
      <c r="F150" s="96" t="str" cm="1">
        <f t="array" ref="F150:G150">PROPER(_xlfn.TEXTSPLIT(C136," vs ",,,1))</f>
        <v>Sarah</v>
      </c>
      <c r="G150" s="21" t="str">
        <v>Paul</v>
      </c>
      <c r="H150" s="21" t="s">
        <v>970</v>
      </c>
      <c r="I150" s="21"/>
      <c r="J150" s="21"/>
      <c r="K150" s="21"/>
    </row>
    <row r="151" spans="3:11" ht="16.8" x14ac:dyDescent="0.3">
      <c r="F151" s="96" t="str" cm="1">
        <f t="array" ref="F151:G151">PROPER(_xlfn.TEXTSPLIT(C137," vs ",,,1))</f>
        <v>Adam</v>
      </c>
      <c r="G151" s="21" t="str">
        <v>Steve</v>
      </c>
      <c r="H151" s="21"/>
      <c r="I151" s="21"/>
      <c r="J151" s="21"/>
      <c r="K151" s="21"/>
    </row>
    <row r="152" spans="3:11" ht="16.8" x14ac:dyDescent="0.3">
      <c r="F152" s="96" t="str" cm="1">
        <f t="array" ref="F152:G152">PROPER(_xlfn.TEXTSPLIT(C138," vs ",,,1))</f>
        <v>Susan</v>
      </c>
      <c r="G152" s="21" t="str">
        <v>Dave</v>
      </c>
      <c r="H152" s="21"/>
      <c r="I152" s="21"/>
      <c r="J152" s="21"/>
      <c r="K152" s="21"/>
    </row>
    <row r="153" spans="3:11" ht="16.8" x14ac:dyDescent="0.3">
      <c r="F153" s="96" t="str" cm="1">
        <f t="array" ref="F153:G153">PROPER(_xlfn.TEXTSPLIT(C139," vs ",,,1))</f>
        <v>Richard</v>
      </c>
      <c r="G153" s="21" t="str">
        <v>Bob</v>
      </c>
      <c r="H153" s="21"/>
    </row>
    <row r="154" spans="3:11" ht="16.8" x14ac:dyDescent="0.3">
      <c r="F154" s="21"/>
      <c r="G154" s="21"/>
      <c r="H154" s="21"/>
    </row>
    <row r="158" spans="3:11" ht="49.05" customHeight="1" x14ac:dyDescent="0.3">
      <c r="C158" s="183" t="s">
        <v>937</v>
      </c>
      <c r="H158" s="21"/>
    </row>
    <row r="160" spans="3:11" ht="16.8" x14ac:dyDescent="0.3">
      <c r="F160" s="96" t="str" cm="1">
        <f t="array" ref="F160:G165">_xlfn.TEXTSPLIT(C158," - ", ", ")</f>
        <v>John</v>
      </c>
      <c r="G160" s="21" t="str">
        <v>Team A</v>
      </c>
      <c r="H160" s="21" t="str">
        <f ca="1">_xlfn.FORMULATEXT(F160)</f>
        <v>=TEXTSPLIT(C158," - ", ", ")</v>
      </c>
      <c r="I160" s="21"/>
      <c r="J160" s="21"/>
    </row>
    <row r="161" spans="1:15" ht="16.8" x14ac:dyDescent="0.3">
      <c r="F161" s="21" t="str">
        <v>Paul</v>
      </c>
      <c r="G161" s="21" t="str">
        <v>Team B</v>
      </c>
      <c r="H161" s="21" t="s">
        <v>938</v>
      </c>
      <c r="I161" s="21"/>
      <c r="J161" s="21"/>
    </row>
    <row r="162" spans="1:15" ht="16.8" x14ac:dyDescent="0.3">
      <c r="F162" s="21" t="str">
        <v>Stacey</v>
      </c>
      <c r="G162" s="21" t="e">
        <v>#N/A</v>
      </c>
      <c r="H162" s="21" t="s">
        <v>939</v>
      </c>
      <c r="I162" s="21"/>
      <c r="J162" s="21"/>
    </row>
    <row r="163" spans="1:15" ht="16.8" x14ac:dyDescent="0.3">
      <c r="F163" s="21" t="str">
        <v>Zack</v>
      </c>
      <c r="G163" s="21" t="str">
        <v>Team A</v>
      </c>
      <c r="H163" s="21"/>
      <c r="I163" s="21"/>
      <c r="J163" s="21"/>
    </row>
    <row r="164" spans="1:15" ht="16.8" x14ac:dyDescent="0.3">
      <c r="F164" s="21" t="str">
        <v>Sally</v>
      </c>
      <c r="G164" s="21" t="str">
        <v>Team B</v>
      </c>
      <c r="H164" s="21"/>
      <c r="I164" s="21"/>
      <c r="J164" s="21"/>
    </row>
    <row r="165" spans="1:15" ht="16.8" x14ac:dyDescent="0.3">
      <c r="F165" s="21" t="str">
        <v>Claire</v>
      </c>
      <c r="G165" s="21" t="str">
        <v>Team B</v>
      </c>
      <c r="H165" s="21"/>
      <c r="I165" s="21"/>
      <c r="J165" s="21"/>
    </row>
    <row r="166" spans="1:15" ht="16.8" x14ac:dyDescent="0.3">
      <c r="H166" s="21"/>
      <c r="I166" s="21"/>
      <c r="J166" s="21"/>
    </row>
    <row r="167" spans="1:15" ht="16.8" x14ac:dyDescent="0.3">
      <c r="H167" s="21"/>
      <c r="I167" s="21"/>
      <c r="J167" s="21"/>
    </row>
    <row r="168" spans="1:15" ht="16.8" x14ac:dyDescent="0.3">
      <c r="F168" s="96" t="str" cm="1">
        <f t="array" ref="F168:G173">_xlfn.TEXTSPLIT(C158," - ", ", ",,,"No Team")</f>
        <v>John</v>
      </c>
      <c r="G168" s="21" t="str">
        <v>Team A</v>
      </c>
      <c r="H168" s="21" t="str">
        <f ca="1">_xlfn.FORMULATEXT(F168)</f>
        <v>=TEXTSPLIT(C158," - ", ", ",,,"No Team")</v>
      </c>
      <c r="I168" s="21"/>
      <c r="J168" s="21"/>
    </row>
    <row r="169" spans="1:15" ht="16.8" x14ac:dyDescent="0.3">
      <c r="F169" s="21" t="str">
        <v>Paul</v>
      </c>
      <c r="G169" s="21" t="str">
        <v>Team B</v>
      </c>
      <c r="H169" s="21" t="s">
        <v>940</v>
      </c>
      <c r="I169" s="21"/>
      <c r="J169" s="21"/>
    </row>
    <row r="170" spans="1:15" ht="16.8" x14ac:dyDescent="0.3">
      <c r="F170" s="21" t="str">
        <v>Stacey</v>
      </c>
      <c r="G170" s="21" t="str">
        <v>No Team</v>
      </c>
    </row>
    <row r="171" spans="1:15" ht="16.8" x14ac:dyDescent="0.3">
      <c r="F171" s="21" t="str">
        <v>Zack</v>
      </c>
      <c r="G171" s="21" t="str">
        <v>Team A</v>
      </c>
    </row>
    <row r="172" spans="1:15" ht="16.8" x14ac:dyDescent="0.3">
      <c r="F172" s="21" t="str">
        <v>Sally</v>
      </c>
      <c r="G172" s="21" t="str">
        <v>Team B</v>
      </c>
    </row>
    <row r="173" spans="1:15" ht="16.8" x14ac:dyDescent="0.3">
      <c r="F173" s="21" t="str">
        <v>Claire</v>
      </c>
      <c r="G173" s="21" t="str">
        <v>Team B</v>
      </c>
    </row>
    <row r="174" spans="1:15" ht="16.8" x14ac:dyDescent="0.3">
      <c r="F174" s="21"/>
      <c r="G174" s="21"/>
    </row>
    <row r="175" spans="1:15" ht="16.8" x14ac:dyDescent="0.3">
      <c r="F175" s="21"/>
      <c r="G175" s="21"/>
    </row>
    <row r="176" spans="1:15" ht="21" x14ac:dyDescent="0.5">
      <c r="A176" s="56"/>
      <c r="B176" s="56" t="s">
        <v>10</v>
      </c>
      <c r="C176" s="56"/>
      <c r="D176" s="56"/>
      <c r="E176" s="56"/>
      <c r="F176" s="56"/>
      <c r="G176" s="56"/>
      <c r="H176" s="56"/>
      <c r="I176" s="56"/>
      <c r="J176" s="56"/>
      <c r="K176" s="56"/>
      <c r="L176" s="56"/>
      <c r="M176" s="56"/>
      <c r="N176" s="56"/>
      <c r="O176" s="56"/>
    </row>
    <row r="177" spans="2:11" ht="16.95" customHeight="1" x14ac:dyDescent="0.25"/>
    <row r="178" spans="2:11" ht="16.95" customHeight="1" x14ac:dyDescent="0.25"/>
    <row r="179" spans="2:11" ht="16.95" customHeight="1" x14ac:dyDescent="0.25"/>
    <row r="180" spans="2:11" ht="16.95" customHeight="1" x14ac:dyDescent="0.3">
      <c r="B180" s="190">
        <v>1</v>
      </c>
      <c r="C180" s="190" t="s">
        <v>1086</v>
      </c>
    </row>
    <row r="181" spans="2:11" ht="16.95" customHeight="1" x14ac:dyDescent="0.35">
      <c r="C181" s="191" t="s">
        <v>1084</v>
      </c>
    </row>
    <row r="182" spans="2:11" ht="16.95" customHeight="1" x14ac:dyDescent="0.25"/>
    <row r="183" spans="2:11" ht="16.95" customHeight="1" x14ac:dyDescent="0.3">
      <c r="C183" s="236" t="s">
        <v>1083</v>
      </c>
      <c r="D183" s="237"/>
      <c r="E183" s="237"/>
      <c r="F183" s="237"/>
      <c r="G183" s="237"/>
      <c r="H183" s="238"/>
    </row>
    <row r="184" spans="2:11" ht="16.95" customHeight="1" x14ac:dyDescent="0.3">
      <c r="C184" s="185"/>
      <c r="D184" s="185"/>
      <c r="E184" s="185"/>
      <c r="F184" s="185"/>
      <c r="G184" s="185"/>
      <c r="H184" s="185"/>
      <c r="I184" s="185"/>
      <c r="J184" s="185"/>
      <c r="K184" s="185"/>
    </row>
    <row r="185" spans="2:11" ht="16.95" customHeight="1" x14ac:dyDescent="0.3">
      <c r="C185" s="185"/>
      <c r="D185" s="185"/>
      <c r="E185" s="185"/>
      <c r="F185" s="185"/>
      <c r="G185" s="185"/>
      <c r="H185" s="185"/>
      <c r="I185" s="185"/>
      <c r="J185" s="185"/>
      <c r="K185" s="185"/>
    </row>
    <row r="186" spans="2:11" ht="16.95" customHeight="1" x14ac:dyDescent="0.3">
      <c r="C186" s="192"/>
      <c r="D186" s="185"/>
      <c r="E186" s="185"/>
      <c r="F186" s="185"/>
      <c r="G186" s="185"/>
      <c r="H186" s="185"/>
      <c r="I186" s="185"/>
      <c r="J186" s="185"/>
      <c r="K186" s="185"/>
    </row>
    <row r="187" spans="2:11" ht="16.95" customHeight="1" x14ac:dyDescent="0.3">
      <c r="C187" s="185"/>
      <c r="D187" s="185"/>
      <c r="E187" s="185"/>
      <c r="F187" s="185"/>
      <c r="G187" s="185"/>
      <c r="H187" s="185"/>
      <c r="I187" s="185"/>
      <c r="J187" s="185"/>
      <c r="K187" s="185"/>
    </row>
    <row r="188" spans="2:11" ht="16.95" customHeight="1" x14ac:dyDescent="0.3">
      <c r="C188" s="185"/>
      <c r="D188" s="185"/>
      <c r="E188" s="185"/>
      <c r="F188" s="185"/>
      <c r="G188" s="185"/>
      <c r="H188" s="185"/>
      <c r="I188" s="185"/>
      <c r="J188" s="185"/>
      <c r="K188" s="185"/>
    </row>
    <row r="189" spans="2:11" ht="16.95" customHeight="1" x14ac:dyDescent="0.3">
      <c r="C189" s="185"/>
      <c r="D189" s="185"/>
      <c r="E189" s="185"/>
      <c r="F189" s="185"/>
      <c r="G189" s="185"/>
      <c r="H189" s="185"/>
      <c r="I189" s="185"/>
      <c r="J189" s="185"/>
      <c r="K189" s="185"/>
    </row>
    <row r="190" spans="2:11" ht="16.95" customHeight="1" x14ac:dyDescent="0.3">
      <c r="C190" s="185"/>
      <c r="D190" s="185"/>
      <c r="E190" s="185"/>
      <c r="F190" s="185"/>
      <c r="G190" s="185"/>
      <c r="H190" s="185"/>
      <c r="I190" s="185"/>
      <c r="J190" s="185"/>
      <c r="K190" s="185"/>
    </row>
    <row r="191" spans="2:11" ht="16.95" customHeight="1" x14ac:dyDescent="0.3">
      <c r="C191" s="185"/>
      <c r="D191" s="185"/>
      <c r="E191" s="185"/>
      <c r="F191" s="185"/>
      <c r="G191" s="185"/>
      <c r="H191" s="185"/>
      <c r="I191" s="185"/>
      <c r="J191" s="185"/>
      <c r="K191" s="185"/>
    </row>
    <row r="192" spans="2:11" ht="16.95" customHeight="1" x14ac:dyDescent="0.3">
      <c r="C192" s="185"/>
      <c r="D192" s="185"/>
      <c r="E192" s="185"/>
      <c r="F192" s="185"/>
      <c r="G192" s="185"/>
      <c r="H192" s="185"/>
      <c r="I192" s="185"/>
      <c r="J192" s="185"/>
      <c r="K192" s="185"/>
    </row>
    <row r="193" spans="3:11" ht="16.95" customHeight="1" x14ac:dyDescent="0.3">
      <c r="C193" s="185"/>
      <c r="D193" s="185"/>
      <c r="E193" s="185"/>
      <c r="F193" s="185"/>
      <c r="G193" s="185"/>
      <c r="H193" s="185"/>
      <c r="I193" s="185"/>
      <c r="J193" s="185"/>
      <c r="K193" s="185"/>
    </row>
    <row r="194" spans="3:11" ht="16.95" customHeight="1" x14ac:dyDescent="0.3">
      <c r="C194" s="185"/>
      <c r="D194" s="185"/>
      <c r="E194" s="185"/>
      <c r="F194" s="185"/>
      <c r="G194" s="185"/>
      <c r="H194" s="185"/>
      <c r="I194" s="185"/>
      <c r="J194" s="185"/>
      <c r="K194" s="185"/>
    </row>
    <row r="195" spans="3:11" ht="16.95" customHeight="1" x14ac:dyDescent="0.3">
      <c r="C195" s="185"/>
      <c r="D195" s="185"/>
      <c r="E195" s="185"/>
      <c r="F195" s="185"/>
      <c r="G195" s="185"/>
      <c r="H195" s="185"/>
      <c r="I195" s="185"/>
      <c r="J195" s="185"/>
      <c r="K195" s="185"/>
    </row>
    <row r="196" spans="3:11" ht="16.95" customHeight="1" x14ac:dyDescent="0.3">
      <c r="C196" s="185"/>
      <c r="D196" s="185"/>
      <c r="E196" s="185"/>
      <c r="F196" s="185"/>
      <c r="G196" s="185"/>
      <c r="H196" s="185"/>
      <c r="I196" s="185"/>
      <c r="J196" s="185"/>
      <c r="K196" s="185"/>
    </row>
    <row r="197" spans="3:11" ht="16.95" customHeight="1" x14ac:dyDescent="0.3">
      <c r="C197" s="185"/>
      <c r="D197" s="185"/>
      <c r="E197" s="185"/>
      <c r="F197" s="185"/>
      <c r="G197" s="185"/>
      <c r="H197" s="185"/>
      <c r="I197" s="185"/>
      <c r="J197" s="185"/>
      <c r="K197" s="185"/>
    </row>
    <row r="198" spans="3:11" ht="16.95" customHeight="1" x14ac:dyDescent="0.3">
      <c r="C198" s="185"/>
      <c r="D198" s="185"/>
      <c r="E198" s="185"/>
      <c r="F198" s="185"/>
      <c r="G198" s="185"/>
      <c r="H198" s="185"/>
      <c r="I198" s="185"/>
      <c r="J198" s="185"/>
      <c r="K198" s="185"/>
    </row>
    <row r="199" spans="3:11" ht="16.95" customHeight="1" x14ac:dyDescent="0.3">
      <c r="C199" s="185"/>
      <c r="D199" s="185"/>
      <c r="E199" s="185"/>
      <c r="F199" s="185"/>
      <c r="G199" s="185"/>
      <c r="H199" s="185"/>
      <c r="I199" s="185"/>
      <c r="J199" s="185"/>
      <c r="K199" s="185"/>
    </row>
    <row r="200" spans="3:11" ht="16.95" customHeight="1" x14ac:dyDescent="0.3">
      <c r="C200" s="185"/>
      <c r="D200" s="185"/>
      <c r="E200" s="185"/>
      <c r="F200" s="185"/>
      <c r="G200" s="185"/>
      <c r="H200" s="185"/>
      <c r="I200" s="185"/>
      <c r="J200" s="185"/>
      <c r="K200" s="185"/>
    </row>
    <row r="201" spans="3:11" ht="16.95" customHeight="1" x14ac:dyDescent="0.3">
      <c r="C201" s="185"/>
      <c r="D201" s="185"/>
      <c r="E201" s="185"/>
      <c r="F201" s="185"/>
      <c r="G201" s="185"/>
      <c r="H201" s="185"/>
      <c r="I201" s="185"/>
      <c r="J201" s="185"/>
      <c r="K201" s="185"/>
    </row>
    <row r="202" spans="3:11" ht="16.95" customHeight="1" x14ac:dyDescent="0.3">
      <c r="C202" s="185"/>
      <c r="D202" s="185"/>
      <c r="E202" s="185"/>
      <c r="F202" s="185"/>
      <c r="G202" s="185"/>
      <c r="H202" s="185"/>
      <c r="I202" s="185"/>
      <c r="J202" s="185"/>
      <c r="K202" s="185"/>
    </row>
    <row r="203" spans="3:11" ht="16.95" customHeight="1" x14ac:dyDescent="0.3">
      <c r="C203" s="185"/>
      <c r="D203" s="185"/>
      <c r="E203" s="185"/>
      <c r="F203" s="185"/>
      <c r="G203" s="185"/>
      <c r="H203" s="185"/>
      <c r="I203" s="185"/>
      <c r="J203" s="185"/>
      <c r="K203" s="185"/>
    </row>
    <row r="204" spans="3:11" ht="16.95" customHeight="1" x14ac:dyDescent="0.3">
      <c r="C204" s="185"/>
      <c r="D204" s="185"/>
      <c r="E204" s="185"/>
      <c r="F204" s="185"/>
      <c r="G204" s="185"/>
      <c r="H204" s="185"/>
      <c r="I204" s="185"/>
      <c r="J204" s="185"/>
      <c r="K204" s="185"/>
    </row>
    <row r="205" spans="3:11" ht="16.95" customHeight="1" x14ac:dyDescent="0.3">
      <c r="C205" s="185"/>
      <c r="D205" s="185"/>
      <c r="E205" s="185"/>
      <c r="F205" s="185"/>
      <c r="G205" s="185"/>
      <c r="H205" s="185"/>
      <c r="I205" s="185"/>
      <c r="J205" s="185"/>
      <c r="K205" s="185"/>
    </row>
    <row r="206" spans="3:11" ht="16.95" customHeight="1" x14ac:dyDescent="0.3">
      <c r="C206" s="185"/>
      <c r="D206" s="185"/>
      <c r="E206" s="185"/>
      <c r="F206" s="185"/>
      <c r="G206" s="185"/>
      <c r="H206" s="185"/>
      <c r="I206" s="185"/>
      <c r="J206" s="185"/>
      <c r="K206" s="185"/>
    </row>
    <row r="207" spans="3:11" ht="16.95" customHeight="1" x14ac:dyDescent="0.3">
      <c r="C207" s="185"/>
      <c r="D207" s="185"/>
      <c r="E207" s="185"/>
      <c r="F207" s="185"/>
      <c r="G207" s="185"/>
      <c r="H207" s="185"/>
      <c r="I207" s="185"/>
      <c r="J207" s="185"/>
      <c r="K207" s="185"/>
    </row>
    <row r="208" spans="3:11" ht="16.95" customHeight="1" x14ac:dyDescent="0.3">
      <c r="C208" s="185"/>
      <c r="D208" s="185"/>
      <c r="E208" s="185"/>
      <c r="F208" s="185"/>
      <c r="G208" s="185"/>
      <c r="H208" s="185"/>
      <c r="I208" s="185"/>
      <c r="J208" s="185"/>
      <c r="K208" s="185"/>
    </row>
    <row r="209" spans="3:11" ht="16.95" customHeight="1" x14ac:dyDescent="0.3">
      <c r="C209" s="185"/>
      <c r="D209" s="185"/>
      <c r="E209" s="185"/>
      <c r="F209" s="185"/>
      <c r="G209" s="185"/>
      <c r="H209" s="185"/>
      <c r="I209" s="185"/>
      <c r="J209" s="185"/>
      <c r="K209" s="185"/>
    </row>
    <row r="210" spans="3:11" ht="16.95" customHeight="1" x14ac:dyDescent="0.3">
      <c r="C210" s="185"/>
      <c r="D210" s="185"/>
      <c r="E210" s="185"/>
      <c r="F210" s="185"/>
      <c r="G210" s="185"/>
      <c r="H210" s="185"/>
      <c r="I210" s="185"/>
      <c r="J210" s="185"/>
      <c r="K210" s="185"/>
    </row>
    <row r="211" spans="3:11" ht="16.95" customHeight="1" x14ac:dyDescent="0.3">
      <c r="C211" s="185"/>
      <c r="D211" s="185"/>
      <c r="E211" s="185"/>
      <c r="F211" s="185"/>
      <c r="G211" s="185"/>
      <c r="H211" s="185"/>
      <c r="I211" s="185"/>
      <c r="J211" s="185"/>
      <c r="K211" s="185"/>
    </row>
    <row r="212" spans="3:11" ht="16.95" customHeight="1" x14ac:dyDescent="0.3">
      <c r="C212" s="185"/>
      <c r="D212" s="185"/>
      <c r="E212" s="185"/>
      <c r="F212" s="185"/>
      <c r="G212" s="185"/>
      <c r="H212" s="185"/>
      <c r="I212" s="185"/>
      <c r="J212" s="185"/>
      <c r="K212" s="185"/>
    </row>
    <row r="213" spans="3:11" ht="16.95" customHeight="1" x14ac:dyDescent="0.3">
      <c r="C213" s="185"/>
      <c r="D213" s="185"/>
      <c r="E213" s="185"/>
      <c r="F213" s="185"/>
      <c r="G213" s="185"/>
      <c r="H213" s="185"/>
      <c r="I213" s="185"/>
      <c r="J213" s="185"/>
      <c r="K213" s="185"/>
    </row>
    <row r="214" spans="3:11" ht="16.95" customHeight="1" x14ac:dyDescent="0.3">
      <c r="C214" s="185"/>
      <c r="D214" s="185"/>
      <c r="E214" s="185"/>
      <c r="F214" s="185"/>
      <c r="G214" s="185"/>
      <c r="H214" s="185"/>
      <c r="I214" s="185"/>
      <c r="J214" s="185"/>
      <c r="K214" s="185"/>
    </row>
    <row r="215" spans="3:11" ht="16.95" customHeight="1" x14ac:dyDescent="0.3">
      <c r="C215" s="185"/>
      <c r="D215" s="185"/>
      <c r="E215" s="185"/>
      <c r="F215" s="185"/>
      <c r="G215" s="185"/>
      <c r="H215" s="185"/>
      <c r="I215" s="185"/>
      <c r="J215" s="185"/>
      <c r="K215" s="185"/>
    </row>
    <row r="216" spans="3:11" ht="16.95" customHeight="1" x14ac:dyDescent="0.3">
      <c r="C216" s="185"/>
      <c r="D216" s="185"/>
      <c r="E216" s="185"/>
      <c r="F216" s="185"/>
      <c r="G216" s="185"/>
      <c r="H216" s="185"/>
      <c r="I216" s="185"/>
      <c r="J216" s="185"/>
      <c r="K216" s="185"/>
    </row>
    <row r="217" spans="3:11" ht="16.95" customHeight="1" x14ac:dyDescent="0.3">
      <c r="C217" s="185"/>
      <c r="D217" s="185"/>
      <c r="E217" s="185"/>
      <c r="F217" s="185"/>
      <c r="G217" s="185"/>
      <c r="H217" s="185"/>
      <c r="I217" s="185"/>
      <c r="J217" s="185"/>
      <c r="K217" s="185"/>
    </row>
    <row r="218" spans="3:11" ht="16.95" customHeight="1" x14ac:dyDescent="0.3">
      <c r="C218" s="185"/>
      <c r="D218" s="185"/>
      <c r="E218" s="185"/>
      <c r="F218" s="185"/>
      <c r="G218" s="185"/>
      <c r="H218" s="185"/>
      <c r="I218" s="185"/>
      <c r="J218" s="185"/>
      <c r="K218" s="185"/>
    </row>
    <row r="219" spans="3:11" ht="16.95" customHeight="1" x14ac:dyDescent="0.3">
      <c r="C219" s="185"/>
      <c r="D219" s="185"/>
      <c r="E219" s="185"/>
      <c r="F219" s="185"/>
      <c r="G219" s="185"/>
      <c r="H219" s="185"/>
      <c r="I219" s="185"/>
      <c r="J219" s="185"/>
      <c r="K219" s="185"/>
    </row>
    <row r="220" spans="3:11" ht="16.95" customHeight="1" x14ac:dyDescent="0.3">
      <c r="C220" s="185"/>
      <c r="D220" s="185"/>
      <c r="E220" s="185"/>
      <c r="F220" s="185"/>
      <c r="G220" s="185"/>
      <c r="H220" s="185"/>
      <c r="I220" s="185"/>
      <c r="J220" s="185"/>
      <c r="K220" s="185"/>
    </row>
    <row r="221" spans="3:11" ht="16.95" customHeight="1" x14ac:dyDescent="0.3">
      <c r="C221" s="185"/>
      <c r="D221" s="185"/>
      <c r="E221" s="185"/>
      <c r="F221" s="185"/>
      <c r="G221" s="185"/>
      <c r="H221" s="185"/>
      <c r="I221" s="185"/>
      <c r="J221" s="185"/>
      <c r="K221" s="185"/>
    </row>
    <row r="222" spans="3:11" ht="16.95" customHeight="1" x14ac:dyDescent="0.3">
      <c r="C222" s="185"/>
      <c r="D222" s="185"/>
      <c r="E222" s="185"/>
      <c r="F222" s="185"/>
      <c r="G222" s="185"/>
      <c r="H222" s="185"/>
      <c r="I222" s="185"/>
      <c r="J222" s="185"/>
      <c r="K222" s="185"/>
    </row>
    <row r="223" spans="3:11" ht="16.95" customHeight="1" x14ac:dyDescent="0.3">
      <c r="C223" s="185"/>
      <c r="D223" s="185"/>
      <c r="E223" s="185"/>
      <c r="F223" s="185"/>
      <c r="G223" s="185"/>
      <c r="H223" s="185"/>
      <c r="I223" s="185"/>
      <c r="J223" s="185"/>
      <c r="K223" s="185"/>
    </row>
    <row r="224" spans="3:11" ht="16.95" customHeight="1" x14ac:dyDescent="0.3">
      <c r="C224" s="185"/>
      <c r="D224" s="185"/>
      <c r="E224" s="185"/>
      <c r="F224" s="185"/>
      <c r="G224" s="185"/>
      <c r="H224" s="185"/>
      <c r="I224" s="185"/>
      <c r="J224" s="185"/>
      <c r="K224" s="185"/>
    </row>
    <row r="225" spans="2:11" ht="16.95" customHeight="1" x14ac:dyDescent="0.3">
      <c r="C225" s="185"/>
      <c r="D225" s="185"/>
      <c r="E225" s="185"/>
      <c r="F225" s="185"/>
      <c r="G225" s="185"/>
      <c r="H225" s="185"/>
      <c r="I225" s="185"/>
      <c r="J225" s="185"/>
      <c r="K225" s="185"/>
    </row>
    <row r="226" spans="2:11" ht="16.95" customHeight="1" x14ac:dyDescent="0.3">
      <c r="C226" s="185"/>
      <c r="D226" s="185"/>
      <c r="E226" s="185"/>
      <c r="F226" s="185"/>
      <c r="G226" s="185"/>
      <c r="H226" s="185"/>
      <c r="I226" s="185"/>
      <c r="J226" s="185"/>
      <c r="K226" s="185"/>
    </row>
    <row r="227" spans="2:11" ht="16.95" customHeight="1" x14ac:dyDescent="0.3">
      <c r="C227" s="185"/>
      <c r="D227" s="185"/>
      <c r="E227" s="185"/>
      <c r="F227" s="185"/>
      <c r="G227" s="185"/>
      <c r="H227" s="185"/>
      <c r="I227" s="185"/>
      <c r="J227" s="185"/>
      <c r="K227" s="185"/>
    </row>
    <row r="228" spans="2:11" ht="16.95" customHeight="1" x14ac:dyDescent="0.25"/>
    <row r="229" spans="2:11" ht="16.95" customHeight="1" x14ac:dyDescent="0.3">
      <c r="B229" s="190">
        <v>2</v>
      </c>
      <c r="C229" s="190" t="s">
        <v>1086</v>
      </c>
    </row>
    <row r="230" spans="2:11" ht="16.95" customHeight="1" x14ac:dyDescent="0.35">
      <c r="C230" s="191" t="s">
        <v>1085</v>
      </c>
    </row>
    <row r="231" spans="2:11" ht="16.95" customHeight="1" x14ac:dyDescent="0.25"/>
    <row r="232" spans="2:11" ht="16.95" customHeight="1" x14ac:dyDescent="0.3">
      <c r="C232" s="236" t="s">
        <v>1083</v>
      </c>
      <c r="D232" s="237"/>
      <c r="E232" s="237"/>
      <c r="F232" s="237"/>
      <c r="G232" s="237"/>
      <c r="H232" s="238"/>
    </row>
    <row r="233" spans="2:11" ht="16.95" customHeight="1" x14ac:dyDescent="0.3">
      <c r="C233" s="185"/>
      <c r="D233" s="185"/>
      <c r="E233" s="185"/>
      <c r="F233" s="185"/>
      <c r="G233" s="185"/>
      <c r="H233" s="185"/>
      <c r="I233" s="185"/>
      <c r="J233" s="185"/>
      <c r="K233" s="185"/>
    </row>
    <row r="234" spans="2:11" ht="16.95" customHeight="1" x14ac:dyDescent="0.3">
      <c r="C234" s="185"/>
      <c r="D234" s="185"/>
      <c r="E234" s="185"/>
      <c r="F234" s="185"/>
      <c r="G234" s="185"/>
      <c r="H234" s="185"/>
      <c r="I234" s="185"/>
      <c r="J234" s="185"/>
      <c r="K234" s="185"/>
    </row>
    <row r="235" spans="2:11" ht="16.95" customHeight="1" x14ac:dyDescent="0.3">
      <c r="B235" s="185"/>
      <c r="C235" s="192"/>
      <c r="D235" s="185"/>
      <c r="E235" s="185"/>
      <c r="F235" s="185"/>
      <c r="G235" s="185"/>
      <c r="H235" s="185"/>
      <c r="I235" s="185"/>
      <c r="J235" s="185"/>
      <c r="K235" s="185"/>
    </row>
    <row r="236" spans="2:11" ht="16.95" customHeight="1" x14ac:dyDescent="0.3">
      <c r="B236" s="185"/>
      <c r="C236" s="185"/>
      <c r="D236" s="185"/>
      <c r="E236" s="185"/>
      <c r="F236" s="185"/>
      <c r="G236" s="185"/>
      <c r="H236" s="185"/>
      <c r="I236" s="185"/>
      <c r="J236" s="185"/>
      <c r="K236" s="185"/>
    </row>
    <row r="237" spans="2:11" ht="19.95" customHeight="1" x14ac:dyDescent="0.3">
      <c r="B237" s="185"/>
      <c r="C237" s="185"/>
      <c r="D237" s="185"/>
      <c r="E237" s="185"/>
      <c r="F237" s="185"/>
      <c r="G237" s="185"/>
      <c r="H237" s="185"/>
      <c r="I237" s="185"/>
      <c r="J237" s="185"/>
      <c r="K237" s="185"/>
    </row>
    <row r="238" spans="2:11" ht="19.95" customHeight="1" x14ac:dyDescent="0.3">
      <c r="B238" s="185"/>
      <c r="C238" s="185"/>
      <c r="D238" s="185"/>
      <c r="E238" s="185"/>
      <c r="F238" s="185"/>
      <c r="G238" s="185"/>
      <c r="H238" s="185"/>
      <c r="I238" s="185"/>
      <c r="J238" s="185"/>
      <c r="K238" s="185"/>
    </row>
    <row r="239" spans="2:11" ht="19.95" customHeight="1" x14ac:dyDescent="0.3">
      <c r="B239" s="185"/>
      <c r="C239" s="185"/>
      <c r="D239" s="185"/>
      <c r="E239" s="185"/>
      <c r="F239" s="185"/>
      <c r="G239" s="185"/>
      <c r="H239" s="185"/>
      <c r="I239" s="185"/>
      <c r="J239" s="185"/>
      <c r="K239" s="185"/>
    </row>
    <row r="240" spans="2:11" ht="19.95" customHeight="1" x14ac:dyDescent="0.3">
      <c r="B240" s="185"/>
      <c r="C240" s="185"/>
      <c r="D240" s="185"/>
      <c r="E240" s="185"/>
      <c r="F240" s="185"/>
      <c r="G240" s="185"/>
      <c r="H240" s="185"/>
      <c r="I240" s="185"/>
      <c r="J240" s="185"/>
      <c r="K240" s="185"/>
    </row>
    <row r="241" spans="2:11" ht="19.95" customHeight="1" x14ac:dyDescent="0.3">
      <c r="B241" s="185"/>
      <c r="C241" s="185"/>
      <c r="D241" s="185"/>
      <c r="E241" s="185"/>
      <c r="F241" s="185"/>
      <c r="G241" s="185"/>
      <c r="H241" s="185"/>
      <c r="I241" s="185"/>
      <c r="J241" s="185"/>
      <c r="K241" s="185"/>
    </row>
    <row r="242" spans="2:11" ht="19.95" customHeight="1" x14ac:dyDescent="0.3">
      <c r="B242" s="185"/>
      <c r="C242" s="185"/>
      <c r="D242" s="185"/>
      <c r="E242" s="185"/>
      <c r="F242" s="185"/>
      <c r="G242" s="185"/>
      <c r="H242" s="185"/>
      <c r="I242" s="185"/>
      <c r="J242" s="185"/>
      <c r="K242" s="185"/>
    </row>
    <row r="243" spans="2:11" ht="19.95" customHeight="1" x14ac:dyDescent="0.3">
      <c r="B243" s="185"/>
      <c r="C243" s="185"/>
      <c r="D243" s="185"/>
      <c r="E243" s="185"/>
      <c r="F243" s="185"/>
      <c r="G243" s="185"/>
      <c r="H243" s="185"/>
      <c r="I243" s="185"/>
      <c r="J243" s="185"/>
      <c r="K243" s="185"/>
    </row>
    <row r="244" spans="2:11" ht="19.95" customHeight="1" x14ac:dyDescent="0.3">
      <c r="B244" s="185"/>
      <c r="C244" s="185"/>
      <c r="D244" s="185"/>
      <c r="E244" s="185"/>
      <c r="F244" s="185"/>
      <c r="G244" s="185"/>
      <c r="H244" s="185"/>
      <c r="I244" s="185"/>
      <c r="J244" s="185"/>
      <c r="K244" s="185"/>
    </row>
    <row r="245" spans="2:11" ht="19.95" customHeight="1" x14ac:dyDescent="0.3">
      <c r="B245" s="185"/>
      <c r="C245" s="185"/>
      <c r="D245" s="185"/>
      <c r="E245" s="185"/>
      <c r="F245" s="185"/>
      <c r="G245" s="185"/>
      <c r="H245" s="185"/>
      <c r="I245" s="185"/>
      <c r="J245" s="185"/>
      <c r="K245" s="185"/>
    </row>
    <row r="246" spans="2:11" ht="19.95" customHeight="1" x14ac:dyDescent="0.3">
      <c r="B246" s="185"/>
      <c r="C246" s="185"/>
      <c r="D246" s="185"/>
      <c r="E246" s="185"/>
      <c r="F246" s="185"/>
      <c r="G246" s="185"/>
      <c r="H246" s="185"/>
      <c r="I246" s="185"/>
      <c r="J246" s="185"/>
      <c r="K246" s="185"/>
    </row>
    <row r="247" spans="2:11" ht="19.95" customHeight="1" x14ac:dyDescent="0.3">
      <c r="B247" s="185"/>
      <c r="C247" s="185"/>
      <c r="D247" s="185"/>
      <c r="E247" s="185"/>
      <c r="F247" s="185"/>
      <c r="G247" s="185"/>
      <c r="H247" s="185"/>
      <c r="I247" s="185"/>
      <c r="J247" s="185"/>
      <c r="K247" s="185"/>
    </row>
    <row r="248" spans="2:11" ht="19.95" customHeight="1" x14ac:dyDescent="0.3">
      <c r="B248" s="185"/>
      <c r="C248" s="185"/>
      <c r="D248" s="185"/>
      <c r="E248" s="185"/>
      <c r="F248" s="185"/>
      <c r="G248" s="185"/>
      <c r="H248" s="185"/>
    </row>
    <row r="249" spans="2:11" ht="19.95" customHeight="1" x14ac:dyDescent="0.3">
      <c r="B249" s="185"/>
      <c r="C249" s="185"/>
      <c r="D249" s="185"/>
      <c r="E249" s="185"/>
      <c r="F249" s="185"/>
      <c r="G249" s="185"/>
      <c r="H249" s="185"/>
    </row>
    <row r="250" spans="2:11" ht="19.95" customHeight="1" x14ac:dyDescent="0.3">
      <c r="B250" s="185"/>
      <c r="C250" s="185"/>
      <c r="D250" s="185"/>
      <c r="E250" s="185"/>
      <c r="F250" s="185"/>
      <c r="G250" s="185"/>
      <c r="H250" s="185"/>
    </row>
    <row r="251" spans="2:11" ht="19.95" customHeight="1" x14ac:dyDescent="0.3">
      <c r="B251" s="185"/>
      <c r="C251" s="185"/>
      <c r="D251" s="185"/>
      <c r="E251" s="185"/>
      <c r="F251" s="185"/>
      <c r="G251" s="185"/>
      <c r="H251" s="185"/>
    </row>
    <row r="252" spans="2:11" ht="19.95" customHeight="1" x14ac:dyDescent="0.3">
      <c r="B252" s="185"/>
      <c r="C252" s="185"/>
      <c r="D252" s="185"/>
      <c r="E252" s="185"/>
      <c r="F252" s="185"/>
      <c r="G252" s="185"/>
      <c r="H252" s="185"/>
    </row>
    <row r="253" spans="2:11" ht="19.95" customHeight="1" x14ac:dyDescent="0.3">
      <c r="B253" s="185"/>
      <c r="C253" s="185"/>
      <c r="D253" s="185"/>
      <c r="E253" s="185"/>
      <c r="F253" s="185"/>
      <c r="G253" s="185"/>
      <c r="H253" s="185"/>
    </row>
    <row r="254" spans="2:11" ht="19.95" customHeight="1" x14ac:dyDescent="0.3">
      <c r="B254" s="185"/>
      <c r="C254" s="185"/>
      <c r="D254" s="185"/>
      <c r="E254" s="185"/>
      <c r="F254" s="185"/>
      <c r="G254" s="185"/>
      <c r="H254" s="185"/>
    </row>
    <row r="255" spans="2:11" ht="19.95" customHeight="1" x14ac:dyDescent="0.3">
      <c r="B255" s="185"/>
      <c r="C255" s="185"/>
      <c r="D255" s="185"/>
      <c r="E255" s="185"/>
      <c r="F255" s="185"/>
      <c r="G255" s="185"/>
      <c r="H255" s="185"/>
    </row>
    <row r="256" spans="2:11" ht="19.95" customHeight="1" x14ac:dyDescent="0.3">
      <c r="B256" s="185"/>
      <c r="C256" s="185"/>
      <c r="D256" s="185"/>
      <c r="E256" s="185"/>
      <c r="F256" s="185"/>
      <c r="G256" s="185"/>
      <c r="H256" s="185"/>
    </row>
    <row r="257" spans="2:8" ht="19.95" customHeight="1" x14ac:dyDescent="0.3">
      <c r="B257" s="185"/>
      <c r="C257" s="185"/>
      <c r="D257" s="185"/>
      <c r="E257" s="185"/>
      <c r="F257" s="185"/>
      <c r="G257" s="185"/>
      <c r="H257" s="185"/>
    </row>
    <row r="258" spans="2:8" ht="19.95" customHeight="1" x14ac:dyDescent="0.3">
      <c r="B258" s="185"/>
      <c r="C258" s="185"/>
      <c r="D258" s="185"/>
      <c r="E258" s="185"/>
      <c r="F258" s="185"/>
      <c r="G258" s="185"/>
      <c r="H258" s="185"/>
    </row>
    <row r="259" spans="2:8" ht="19.95" customHeight="1" x14ac:dyDescent="0.3">
      <c r="B259" s="185"/>
      <c r="C259" s="185"/>
      <c r="D259" s="185"/>
      <c r="E259" s="185"/>
      <c r="F259" s="185"/>
      <c r="G259" s="185"/>
      <c r="H259" s="185"/>
    </row>
    <row r="260" spans="2:8" ht="19.95" customHeight="1" x14ac:dyDescent="0.3">
      <c r="B260" s="185"/>
      <c r="C260" s="185"/>
      <c r="D260" s="185"/>
      <c r="E260" s="185"/>
      <c r="F260" s="185"/>
      <c r="G260" s="185"/>
      <c r="H260" s="185"/>
    </row>
    <row r="261" spans="2:8" ht="19.95" customHeight="1" x14ac:dyDescent="0.3">
      <c r="B261" s="185"/>
      <c r="C261" s="185"/>
      <c r="D261" s="185"/>
      <c r="E261" s="185"/>
      <c r="F261" s="185"/>
      <c r="G261" s="185"/>
      <c r="H261" s="185"/>
    </row>
    <row r="262" spans="2:8" ht="19.95" customHeight="1" x14ac:dyDescent="0.3">
      <c r="B262" s="185"/>
      <c r="C262" s="185"/>
      <c r="D262" s="185"/>
      <c r="E262" s="185"/>
      <c r="F262" s="185"/>
      <c r="G262" s="185"/>
      <c r="H262" s="185"/>
    </row>
    <row r="263" spans="2:8" ht="19.95" customHeight="1" x14ac:dyDescent="0.3">
      <c r="B263" s="185"/>
      <c r="C263" s="185"/>
      <c r="D263" s="185"/>
      <c r="E263" s="185"/>
      <c r="F263" s="185"/>
      <c r="G263" s="185"/>
      <c r="H263" s="185"/>
    </row>
    <row r="264" spans="2:8" ht="19.95" customHeight="1" x14ac:dyDescent="0.3">
      <c r="B264" s="185"/>
      <c r="C264" s="185"/>
      <c r="D264" s="185"/>
      <c r="E264" s="185"/>
      <c r="F264" s="185"/>
      <c r="G264" s="185"/>
      <c r="H264" s="185"/>
    </row>
    <row r="265" spans="2:8" ht="19.95" customHeight="1" x14ac:dyDescent="0.3">
      <c r="B265" s="185"/>
      <c r="C265" s="185"/>
      <c r="D265" s="185"/>
      <c r="E265" s="185"/>
      <c r="F265" s="185"/>
      <c r="G265" s="185"/>
      <c r="H265" s="185"/>
    </row>
    <row r="266" spans="2:8" ht="19.95" customHeight="1" x14ac:dyDescent="0.3">
      <c r="B266" s="185"/>
      <c r="C266" s="185"/>
      <c r="D266" s="185"/>
      <c r="E266" s="185"/>
      <c r="F266" s="185"/>
      <c r="G266" s="185"/>
      <c r="H266" s="185"/>
    </row>
    <row r="267" spans="2:8" ht="19.95" customHeight="1" x14ac:dyDescent="0.3">
      <c r="B267" s="185"/>
      <c r="C267" s="185"/>
      <c r="D267" s="185"/>
      <c r="E267" s="185"/>
      <c r="F267" s="185"/>
      <c r="G267" s="185"/>
      <c r="H267" s="185"/>
    </row>
    <row r="268" spans="2:8" ht="19.95" customHeight="1" x14ac:dyDescent="0.3">
      <c r="B268" s="185"/>
      <c r="C268" s="185"/>
      <c r="D268" s="185"/>
      <c r="E268" s="185"/>
      <c r="F268" s="185"/>
      <c r="G268" s="185"/>
      <c r="H268" s="185"/>
    </row>
    <row r="269" spans="2:8" ht="19.95" customHeight="1" x14ac:dyDescent="0.3">
      <c r="B269" s="185"/>
      <c r="C269" s="185"/>
      <c r="D269" s="185"/>
      <c r="E269" s="185"/>
      <c r="F269" s="185"/>
      <c r="G269" s="185"/>
      <c r="H269" s="185"/>
    </row>
    <row r="270" spans="2:8" ht="19.95" customHeight="1" x14ac:dyDescent="0.3">
      <c r="B270" s="185"/>
      <c r="C270" s="185"/>
      <c r="D270" s="185"/>
      <c r="E270" s="185"/>
      <c r="F270" s="185"/>
      <c r="G270" s="185"/>
      <c r="H270" s="185"/>
    </row>
    <row r="271" spans="2:8" ht="19.95" customHeight="1" x14ac:dyDescent="0.3">
      <c r="B271" s="185"/>
      <c r="C271" s="185"/>
      <c r="D271" s="185"/>
      <c r="E271" s="185"/>
      <c r="F271" s="185"/>
      <c r="G271" s="185"/>
      <c r="H271" s="185"/>
    </row>
    <row r="272" spans="2:8" ht="19.95" customHeight="1" x14ac:dyDescent="0.3">
      <c r="B272" s="185"/>
      <c r="C272" s="185"/>
      <c r="D272" s="185"/>
      <c r="E272" s="185"/>
      <c r="F272" s="185"/>
      <c r="G272" s="185"/>
      <c r="H272" s="185"/>
    </row>
    <row r="273" spans="1:15" ht="19.95" customHeight="1" x14ac:dyDescent="0.3">
      <c r="B273" s="185"/>
      <c r="C273" s="185"/>
      <c r="D273" s="185"/>
      <c r="E273" s="185"/>
      <c r="F273" s="185"/>
      <c r="G273" s="185"/>
      <c r="H273" s="185"/>
    </row>
    <row r="274" spans="1:15" ht="19.95" customHeight="1" x14ac:dyDescent="0.3">
      <c r="B274" s="185"/>
      <c r="C274" s="185"/>
      <c r="D274" s="185"/>
      <c r="E274" s="185"/>
      <c r="F274" s="185"/>
      <c r="G274" s="185"/>
      <c r="H274" s="185"/>
    </row>
    <row r="275" spans="1:15" ht="19.95" customHeight="1" x14ac:dyDescent="0.3">
      <c r="B275" s="185"/>
      <c r="C275" s="185"/>
      <c r="D275" s="185"/>
      <c r="E275" s="185"/>
      <c r="F275" s="185"/>
      <c r="G275" s="185"/>
      <c r="H275" s="185"/>
    </row>
    <row r="277" spans="1:15" ht="21" x14ac:dyDescent="0.5">
      <c r="A277" s="56"/>
      <c r="B277" s="56" t="s">
        <v>9</v>
      </c>
      <c r="C277" s="56"/>
      <c r="D277" s="56"/>
      <c r="E277" s="56"/>
      <c r="F277" s="56"/>
      <c r="G277" s="56"/>
      <c r="H277" s="56"/>
      <c r="I277" s="56"/>
      <c r="J277" s="56"/>
      <c r="K277" s="56"/>
      <c r="L277" s="56"/>
      <c r="M277" s="56"/>
      <c r="N277" s="56"/>
      <c r="O277" s="56"/>
    </row>
    <row r="278" spans="1:15" ht="16.95" customHeight="1" x14ac:dyDescent="0.25"/>
    <row r="279" spans="1:15" ht="16.95" customHeight="1" x14ac:dyDescent="0.25"/>
    <row r="280" spans="1:15" ht="16.95" customHeight="1" x14ac:dyDescent="0.25"/>
    <row r="281" spans="1:15" ht="16.95" customHeight="1" x14ac:dyDescent="0.3">
      <c r="B281" s="190">
        <v>1</v>
      </c>
      <c r="C281" s="190" t="s">
        <v>1086</v>
      </c>
    </row>
    <row r="282" spans="1:15" ht="16.95" customHeight="1" x14ac:dyDescent="0.35">
      <c r="C282" s="191" t="s">
        <v>1084</v>
      </c>
    </row>
    <row r="283" spans="1:15" ht="16.95" customHeight="1" x14ac:dyDescent="0.25"/>
    <row r="284" spans="1:15" ht="16.95" customHeight="1" x14ac:dyDescent="0.3">
      <c r="C284" s="236" t="s">
        <v>1083</v>
      </c>
      <c r="D284" s="237"/>
      <c r="E284" s="237"/>
      <c r="F284" s="237"/>
      <c r="G284" s="237"/>
      <c r="H284" s="238"/>
    </row>
    <row r="285" spans="1:15" ht="16.95" customHeight="1" x14ac:dyDescent="0.3">
      <c r="C285" s="185"/>
      <c r="D285" s="185"/>
      <c r="E285" s="185"/>
      <c r="F285" s="185"/>
      <c r="G285" s="185"/>
      <c r="H285" s="185"/>
      <c r="I285" s="185"/>
      <c r="J285" s="185"/>
      <c r="K285" s="185"/>
    </row>
    <row r="286" spans="1:15" ht="16.95" customHeight="1" x14ac:dyDescent="0.3">
      <c r="C286" s="185"/>
      <c r="D286" s="185"/>
      <c r="E286" s="185"/>
      <c r="F286" s="185"/>
      <c r="G286" s="185"/>
      <c r="H286" s="185"/>
      <c r="I286" s="185"/>
      <c r="J286" s="185"/>
      <c r="K286" s="185"/>
    </row>
    <row r="287" spans="1:15" ht="16.95" customHeight="1" x14ac:dyDescent="0.3">
      <c r="C287" s="192" t="str" cm="1">
        <f t="array" ref="C287:C326">_xlfn.TEXTSPLIT(C284,,";")</f>
        <v>L9</v>
      </c>
      <c r="D287" s="185"/>
      <c r="E287" s="185"/>
      <c r="F287" s="185"/>
      <c r="G287" s="185"/>
      <c r="H287" s="185"/>
      <c r="I287" s="185"/>
      <c r="J287" s="185"/>
      <c r="K287" s="185"/>
    </row>
    <row r="288" spans="1:15" ht="16.95" customHeight="1" x14ac:dyDescent="0.3">
      <c r="C288" s="185" t="str">
        <v>I3</v>
      </c>
      <c r="D288" s="185"/>
      <c r="E288" s="185"/>
      <c r="F288" s="185"/>
      <c r="G288" s="185"/>
      <c r="H288" s="185"/>
      <c r="I288" s="185"/>
      <c r="J288" s="185"/>
      <c r="K288" s="185"/>
    </row>
    <row r="289" spans="3:11" ht="16.95" customHeight="1" x14ac:dyDescent="0.3">
      <c r="C289" s="185" t="str">
        <v>E12</v>
      </c>
      <c r="D289" s="185"/>
      <c r="E289" s="185"/>
      <c r="F289" s="185"/>
      <c r="G289" s="185"/>
      <c r="H289" s="185"/>
      <c r="I289" s="185"/>
      <c r="J289" s="185"/>
      <c r="K289" s="185"/>
    </row>
    <row r="290" spans="3:11" ht="16.95" customHeight="1" x14ac:dyDescent="0.3">
      <c r="C290" s="185" t="str">
        <v>D10</v>
      </c>
      <c r="D290" s="185"/>
      <c r="E290" s="185"/>
      <c r="F290" s="185"/>
      <c r="G290" s="185"/>
      <c r="H290" s="185"/>
      <c r="I290" s="185"/>
      <c r="J290" s="185"/>
      <c r="K290" s="185"/>
    </row>
    <row r="291" spans="3:11" ht="16.95" customHeight="1" x14ac:dyDescent="0.3">
      <c r="C291" s="185" t="str">
        <v>I3</v>
      </c>
      <c r="D291" s="185"/>
      <c r="E291" s="185"/>
      <c r="F291" s="185"/>
      <c r="G291" s="185"/>
      <c r="H291" s="185"/>
      <c r="I291" s="185"/>
      <c r="J291" s="185"/>
      <c r="K291" s="185"/>
    </row>
    <row r="292" spans="3:11" ht="16.95" customHeight="1" x14ac:dyDescent="0.3">
      <c r="C292" s="185" t="str">
        <v>L9</v>
      </c>
      <c r="D292" s="185"/>
      <c r="E292" s="185"/>
      <c r="F292" s="185"/>
      <c r="G292" s="185"/>
      <c r="H292" s="185"/>
      <c r="I292" s="185"/>
      <c r="J292" s="185"/>
      <c r="K292" s="185"/>
    </row>
    <row r="293" spans="3:11" ht="16.95" customHeight="1" x14ac:dyDescent="0.3">
      <c r="C293" s="185" t="str">
        <v>I4</v>
      </c>
      <c r="D293" s="185"/>
      <c r="E293" s="185"/>
      <c r="F293" s="185"/>
      <c r="G293" s="185"/>
      <c r="H293" s="185"/>
      <c r="I293" s="185"/>
      <c r="J293" s="185"/>
      <c r="K293" s="185"/>
    </row>
    <row r="294" spans="3:11" ht="16.95" customHeight="1" x14ac:dyDescent="0.3">
      <c r="C294" s="185" t="str">
        <v>O4</v>
      </c>
      <c r="D294" s="185"/>
      <c r="E294" s="185"/>
      <c r="F294" s="185"/>
      <c r="G294" s="185"/>
      <c r="H294" s="185"/>
      <c r="I294" s="185"/>
      <c r="J294" s="185"/>
      <c r="K294" s="185"/>
    </row>
    <row r="295" spans="3:11" ht="16.95" customHeight="1" x14ac:dyDescent="0.3">
      <c r="C295" s="185" t="str">
        <v>D12</v>
      </c>
      <c r="D295" s="185"/>
      <c r="E295" s="185"/>
      <c r="F295" s="185"/>
      <c r="G295" s="185"/>
      <c r="H295" s="185"/>
      <c r="I295" s="185"/>
      <c r="J295" s="185"/>
      <c r="K295" s="185"/>
    </row>
    <row r="296" spans="3:11" ht="16.95" customHeight="1" x14ac:dyDescent="0.3">
      <c r="C296" s="185" t="str">
        <v>H11</v>
      </c>
      <c r="D296" s="185"/>
      <c r="E296" s="185"/>
      <c r="F296" s="185"/>
      <c r="G296" s="185"/>
      <c r="H296" s="185"/>
      <c r="I296" s="185"/>
      <c r="J296" s="185"/>
      <c r="K296" s="185"/>
    </row>
    <row r="297" spans="3:11" ht="16.95" customHeight="1" x14ac:dyDescent="0.3">
      <c r="C297" s="185" t="str">
        <v>E14</v>
      </c>
      <c r="D297" s="185"/>
      <c r="E297" s="185"/>
      <c r="F297" s="185"/>
      <c r="G297" s="185"/>
      <c r="H297" s="185"/>
      <c r="I297" s="185"/>
      <c r="J297" s="185"/>
      <c r="K297" s="185"/>
    </row>
    <row r="298" spans="3:11" ht="16.95" customHeight="1" x14ac:dyDescent="0.3">
      <c r="C298" s="185" t="str">
        <v>J8</v>
      </c>
      <c r="D298" s="185"/>
      <c r="E298" s="185"/>
      <c r="F298" s="185"/>
      <c r="G298" s="185"/>
      <c r="H298" s="185"/>
      <c r="I298" s="185"/>
      <c r="J298" s="185"/>
      <c r="K298" s="185"/>
    </row>
    <row r="299" spans="3:11" ht="16.95" customHeight="1" x14ac:dyDescent="0.3">
      <c r="C299" s="185" t="str">
        <v>B6</v>
      </c>
      <c r="D299" s="185"/>
      <c r="E299" s="185"/>
      <c r="F299" s="185"/>
      <c r="G299" s="185"/>
      <c r="H299" s="185"/>
      <c r="I299" s="185"/>
      <c r="J299" s="185"/>
      <c r="K299" s="185"/>
    </row>
    <row r="300" spans="3:11" ht="16.95" customHeight="1" x14ac:dyDescent="0.3">
      <c r="C300" s="185" t="str">
        <v>M6</v>
      </c>
      <c r="D300" s="185"/>
      <c r="E300" s="185"/>
      <c r="F300" s="185"/>
      <c r="G300" s="185"/>
      <c r="H300" s="185"/>
      <c r="I300" s="185"/>
      <c r="J300" s="185"/>
      <c r="K300" s="185"/>
    </row>
    <row r="301" spans="3:11" ht="16.95" customHeight="1" x14ac:dyDescent="0.3">
      <c r="C301" s="185" t="str">
        <v>J10</v>
      </c>
      <c r="D301" s="185"/>
      <c r="E301" s="185"/>
      <c r="F301" s="185"/>
      <c r="G301" s="185"/>
      <c r="H301" s="185"/>
      <c r="I301" s="185"/>
      <c r="J301" s="185"/>
      <c r="K301" s="185"/>
    </row>
    <row r="302" spans="3:11" ht="16.95" customHeight="1" x14ac:dyDescent="0.3">
      <c r="C302" s="185" t="str">
        <v>A6</v>
      </c>
      <c r="D302" s="185"/>
      <c r="E302" s="185"/>
      <c r="F302" s="185"/>
      <c r="G302" s="185"/>
      <c r="H302" s="185"/>
      <c r="I302" s="185"/>
      <c r="J302" s="185"/>
      <c r="K302" s="185"/>
    </row>
    <row r="303" spans="3:11" ht="16.95" customHeight="1" x14ac:dyDescent="0.3">
      <c r="C303" s="185" t="str">
        <v>G15</v>
      </c>
      <c r="D303" s="185"/>
      <c r="E303" s="185"/>
      <c r="F303" s="185"/>
      <c r="G303" s="185"/>
      <c r="H303" s="185"/>
      <c r="I303" s="185"/>
      <c r="J303" s="185"/>
      <c r="K303" s="185"/>
    </row>
    <row r="304" spans="3:11" ht="16.95" customHeight="1" x14ac:dyDescent="0.3">
      <c r="C304" s="185" t="str">
        <v>H7</v>
      </c>
      <c r="D304" s="185"/>
      <c r="E304" s="185"/>
      <c r="F304" s="185"/>
      <c r="G304" s="185"/>
      <c r="H304" s="185"/>
      <c r="I304" s="185"/>
      <c r="J304" s="185"/>
      <c r="K304" s="185"/>
    </row>
    <row r="305" spans="3:11" ht="16.95" customHeight="1" x14ac:dyDescent="0.3">
      <c r="C305" s="185" t="str">
        <v>M7</v>
      </c>
      <c r="D305" s="185"/>
      <c r="E305" s="185"/>
      <c r="F305" s="185"/>
      <c r="G305" s="185"/>
      <c r="H305" s="185"/>
      <c r="I305" s="185"/>
      <c r="J305" s="185"/>
      <c r="K305" s="185"/>
    </row>
    <row r="306" spans="3:11" ht="16.95" customHeight="1" x14ac:dyDescent="0.3">
      <c r="C306" s="185" t="str">
        <v>M13</v>
      </c>
      <c r="D306" s="185"/>
      <c r="E306" s="185"/>
      <c r="F306" s="185"/>
      <c r="G306" s="185"/>
      <c r="H306" s="185"/>
      <c r="I306" s="185"/>
      <c r="J306" s="185"/>
      <c r="K306" s="185"/>
    </row>
    <row r="307" spans="3:11" ht="16.95" customHeight="1" x14ac:dyDescent="0.3">
      <c r="C307" s="185" t="str">
        <v>O7</v>
      </c>
      <c r="D307" s="185"/>
      <c r="E307" s="185"/>
      <c r="F307" s="185"/>
      <c r="G307" s="185"/>
      <c r="H307" s="185"/>
      <c r="I307" s="185"/>
      <c r="J307" s="185"/>
      <c r="K307" s="185"/>
    </row>
    <row r="308" spans="3:11" ht="16.95" customHeight="1" x14ac:dyDescent="0.3">
      <c r="C308" s="185" t="str">
        <v>E11</v>
      </c>
      <c r="D308" s="185"/>
      <c r="E308" s="185"/>
      <c r="F308" s="185"/>
      <c r="G308" s="185"/>
      <c r="H308" s="185"/>
      <c r="I308" s="185"/>
      <c r="J308" s="185"/>
      <c r="K308" s="185"/>
    </row>
    <row r="309" spans="3:11" ht="16.95" customHeight="1" x14ac:dyDescent="0.3">
      <c r="C309" s="185" t="str">
        <v>J12</v>
      </c>
      <c r="D309" s="185"/>
      <c r="E309" s="185"/>
      <c r="F309" s="185"/>
      <c r="G309" s="185"/>
      <c r="H309" s="185"/>
      <c r="I309" s="185"/>
      <c r="J309" s="185"/>
      <c r="K309" s="185"/>
    </row>
    <row r="310" spans="3:11" ht="16.95" customHeight="1" x14ac:dyDescent="0.3">
      <c r="C310" s="185" t="str">
        <v>J2</v>
      </c>
      <c r="D310" s="185"/>
      <c r="E310" s="185"/>
      <c r="F310" s="185"/>
      <c r="G310" s="185"/>
      <c r="H310" s="185"/>
      <c r="I310" s="185"/>
      <c r="J310" s="185"/>
      <c r="K310" s="185"/>
    </row>
    <row r="311" spans="3:11" ht="16.95" customHeight="1" x14ac:dyDescent="0.3">
      <c r="C311" s="185" t="str">
        <v>I7</v>
      </c>
      <c r="D311" s="185"/>
      <c r="E311" s="185"/>
      <c r="F311" s="185"/>
      <c r="G311" s="185"/>
      <c r="H311" s="185"/>
      <c r="I311" s="185"/>
      <c r="J311" s="185"/>
      <c r="K311" s="185"/>
    </row>
    <row r="312" spans="3:11" ht="16.95" customHeight="1" x14ac:dyDescent="0.3">
      <c r="C312" s="185" t="str">
        <v>E8</v>
      </c>
      <c r="D312" s="185"/>
      <c r="E312" s="185"/>
      <c r="F312" s="185"/>
      <c r="G312" s="185"/>
      <c r="H312" s="185"/>
      <c r="I312" s="185"/>
      <c r="J312" s="185"/>
      <c r="K312" s="185"/>
    </row>
    <row r="313" spans="3:11" ht="16.95" customHeight="1" x14ac:dyDescent="0.3">
      <c r="C313" s="185" t="str">
        <v>M14</v>
      </c>
      <c r="D313" s="185"/>
      <c r="E313" s="185"/>
      <c r="F313" s="185"/>
      <c r="G313" s="185"/>
      <c r="H313" s="185"/>
      <c r="I313" s="185"/>
      <c r="J313" s="185"/>
      <c r="K313" s="185"/>
    </row>
    <row r="314" spans="3:11" ht="16.95" customHeight="1" x14ac:dyDescent="0.3">
      <c r="C314" s="185" t="str">
        <v>O9</v>
      </c>
      <c r="D314" s="185"/>
      <c r="E314" s="185"/>
      <c r="F314" s="185"/>
      <c r="G314" s="185"/>
      <c r="H314" s="185"/>
      <c r="I314" s="185"/>
      <c r="J314" s="185"/>
      <c r="K314" s="185"/>
    </row>
    <row r="315" spans="3:11" ht="16.95" customHeight="1" x14ac:dyDescent="0.3">
      <c r="C315" s="185" t="str">
        <v>F7</v>
      </c>
      <c r="D315" s="185"/>
      <c r="E315" s="185"/>
      <c r="F315" s="185"/>
      <c r="G315" s="185"/>
      <c r="H315" s="185"/>
      <c r="I315" s="185"/>
      <c r="J315" s="185"/>
      <c r="K315" s="185"/>
    </row>
    <row r="316" spans="3:11" ht="16.95" customHeight="1" x14ac:dyDescent="0.3">
      <c r="C316" s="185" t="str">
        <v>F4</v>
      </c>
      <c r="D316" s="185"/>
      <c r="E316" s="185"/>
      <c r="F316" s="185"/>
      <c r="G316" s="185"/>
      <c r="H316" s="185"/>
      <c r="I316" s="185"/>
      <c r="J316" s="185"/>
      <c r="K316" s="185"/>
    </row>
    <row r="317" spans="3:11" ht="16.95" customHeight="1" x14ac:dyDescent="0.3">
      <c r="C317" s="185" t="str">
        <v>E3</v>
      </c>
      <c r="D317" s="185"/>
      <c r="E317" s="185"/>
      <c r="F317" s="185"/>
      <c r="G317" s="185"/>
      <c r="H317" s="185"/>
      <c r="I317" s="185"/>
      <c r="J317" s="185"/>
      <c r="K317" s="185"/>
    </row>
    <row r="318" spans="3:11" ht="16.95" customHeight="1" x14ac:dyDescent="0.3">
      <c r="C318" s="185" t="str">
        <v>E15</v>
      </c>
      <c r="D318" s="185"/>
      <c r="E318" s="185"/>
      <c r="F318" s="185"/>
      <c r="G318" s="185"/>
      <c r="H318" s="185"/>
      <c r="I318" s="185"/>
      <c r="J318" s="185"/>
      <c r="K318" s="185"/>
    </row>
    <row r="319" spans="3:11" ht="16.95" customHeight="1" x14ac:dyDescent="0.3">
      <c r="C319" s="185" t="str">
        <v>D12</v>
      </c>
      <c r="D319" s="185"/>
      <c r="E319" s="185"/>
      <c r="F319" s="185"/>
      <c r="G319" s="185"/>
      <c r="H319" s="185"/>
      <c r="I319" s="185"/>
      <c r="J319" s="185"/>
      <c r="K319" s="185"/>
    </row>
    <row r="320" spans="3:11" ht="16.95" customHeight="1" x14ac:dyDescent="0.3">
      <c r="C320" s="185" t="str">
        <v>C9</v>
      </c>
      <c r="D320" s="185"/>
      <c r="E320" s="185"/>
      <c r="F320" s="185"/>
      <c r="G320" s="185"/>
      <c r="H320" s="185"/>
      <c r="I320" s="185"/>
      <c r="J320" s="185"/>
      <c r="K320" s="185"/>
    </row>
    <row r="321" spans="2:11" ht="16.95" customHeight="1" x14ac:dyDescent="0.3">
      <c r="C321" s="185" t="str">
        <v>J6</v>
      </c>
      <c r="D321" s="185"/>
      <c r="E321" s="185"/>
      <c r="F321" s="185"/>
      <c r="G321" s="185"/>
      <c r="H321" s="185"/>
      <c r="I321" s="185"/>
      <c r="J321" s="185"/>
      <c r="K321" s="185"/>
    </row>
    <row r="322" spans="2:11" ht="16.95" customHeight="1" x14ac:dyDescent="0.3">
      <c r="C322" s="185" t="str">
        <v>M10</v>
      </c>
      <c r="D322" s="185"/>
      <c r="E322" s="185"/>
      <c r="F322" s="185"/>
      <c r="G322" s="185"/>
      <c r="H322" s="185"/>
      <c r="I322" s="185"/>
      <c r="J322" s="185"/>
      <c r="K322" s="185"/>
    </row>
    <row r="323" spans="2:11" ht="16.95" customHeight="1" x14ac:dyDescent="0.3">
      <c r="C323" s="185" t="str">
        <v>L9</v>
      </c>
      <c r="D323" s="185"/>
      <c r="E323" s="185"/>
      <c r="F323" s="185"/>
      <c r="G323" s="185"/>
      <c r="H323" s="185"/>
      <c r="I323" s="185"/>
      <c r="J323" s="185"/>
      <c r="K323" s="185"/>
    </row>
    <row r="324" spans="2:11" ht="16.95" customHeight="1" x14ac:dyDescent="0.3">
      <c r="C324" s="185" t="str">
        <v>L3</v>
      </c>
      <c r="D324" s="185"/>
      <c r="E324" s="185"/>
      <c r="F324" s="185"/>
      <c r="G324" s="185"/>
      <c r="H324" s="185"/>
      <c r="I324" s="185"/>
      <c r="J324" s="185"/>
      <c r="K324" s="185"/>
    </row>
    <row r="325" spans="2:11" ht="16.95" customHeight="1" x14ac:dyDescent="0.3">
      <c r="C325" s="185" t="str">
        <v>M11</v>
      </c>
      <c r="D325" s="185"/>
      <c r="E325" s="185"/>
      <c r="F325" s="185"/>
      <c r="G325" s="185"/>
      <c r="H325" s="185"/>
      <c r="I325" s="185"/>
      <c r="J325" s="185"/>
      <c r="K325" s="185"/>
    </row>
    <row r="326" spans="2:11" ht="16.95" customHeight="1" x14ac:dyDescent="0.3">
      <c r="C326" s="185" t="str">
        <v>M2</v>
      </c>
      <c r="D326" s="185"/>
      <c r="E326" s="185"/>
      <c r="F326" s="185"/>
      <c r="G326" s="185"/>
      <c r="H326" s="185"/>
      <c r="I326" s="185"/>
      <c r="J326" s="185"/>
      <c r="K326" s="185"/>
    </row>
    <row r="327" spans="2:11" ht="16.95" customHeight="1" x14ac:dyDescent="0.3">
      <c r="C327" s="185"/>
      <c r="D327" s="185"/>
      <c r="E327" s="185"/>
      <c r="F327" s="185"/>
      <c r="G327" s="185"/>
      <c r="H327" s="185"/>
      <c r="I327" s="185"/>
      <c r="J327" s="185"/>
      <c r="K327" s="185"/>
    </row>
    <row r="328" spans="2:11" ht="16.95" customHeight="1" x14ac:dyDescent="0.3">
      <c r="C328" s="185"/>
      <c r="D328" s="185"/>
      <c r="E328" s="185"/>
      <c r="F328" s="185"/>
      <c r="G328" s="185"/>
      <c r="H328" s="185"/>
      <c r="I328" s="185"/>
      <c r="J328" s="185"/>
      <c r="K328" s="185"/>
    </row>
    <row r="329" spans="2:11" ht="16.95" customHeight="1" x14ac:dyDescent="0.3">
      <c r="C329" s="185"/>
      <c r="D329" s="185"/>
      <c r="E329" s="185"/>
      <c r="F329" s="185"/>
      <c r="G329" s="185"/>
      <c r="H329" s="185"/>
      <c r="I329" s="185"/>
      <c r="J329" s="185"/>
      <c r="K329" s="185"/>
    </row>
    <row r="330" spans="2:11" ht="16.95" customHeight="1" x14ac:dyDescent="0.25"/>
    <row r="331" spans="2:11" ht="16.95" customHeight="1" x14ac:dyDescent="0.3">
      <c r="B331" s="190">
        <v>2</v>
      </c>
      <c r="C331" s="190" t="s">
        <v>1086</v>
      </c>
    </row>
    <row r="332" spans="2:11" ht="16.95" customHeight="1" x14ac:dyDescent="0.35">
      <c r="C332" s="191" t="s">
        <v>1085</v>
      </c>
    </row>
    <row r="333" spans="2:11" ht="16.95" customHeight="1" x14ac:dyDescent="0.25"/>
    <row r="334" spans="2:11" ht="16.95" customHeight="1" x14ac:dyDescent="0.3">
      <c r="C334" s="236" t="s">
        <v>1087</v>
      </c>
      <c r="D334" s="237"/>
      <c r="E334" s="237"/>
      <c r="F334" s="237"/>
      <c r="G334" s="237"/>
      <c r="H334" s="238"/>
    </row>
    <row r="335" spans="2:11" ht="16.95" customHeight="1" x14ac:dyDescent="0.3">
      <c r="C335" s="185"/>
      <c r="D335" s="185"/>
      <c r="E335" s="185"/>
      <c r="F335" s="185"/>
      <c r="G335" s="185"/>
      <c r="H335" s="185"/>
      <c r="I335" s="185"/>
      <c r="J335" s="185"/>
      <c r="K335" s="185"/>
    </row>
    <row r="336" spans="2:11" ht="16.95" customHeight="1" x14ac:dyDescent="0.3">
      <c r="C336" s="185"/>
      <c r="D336" s="185"/>
      <c r="E336" s="185"/>
      <c r="F336" s="185"/>
      <c r="G336" s="185"/>
      <c r="H336" s="185"/>
      <c r="I336" s="185"/>
      <c r="J336" s="185"/>
      <c r="K336" s="185"/>
    </row>
    <row r="337" spans="3:11" ht="16.05" customHeight="1" x14ac:dyDescent="0.3">
      <c r="C337" s="192" t="str" cm="1">
        <f t="array" ref="C337:C376">_xlfn.TEXTSPLIT(C334,,{";",":","-"})</f>
        <v>L9</v>
      </c>
      <c r="D337" s="185"/>
      <c r="E337" s="185"/>
      <c r="F337" s="185"/>
      <c r="G337" s="185"/>
      <c r="H337" s="185"/>
      <c r="I337" s="185"/>
      <c r="J337" s="185"/>
      <c r="K337" s="185"/>
    </row>
    <row r="338" spans="3:11" ht="16.05" customHeight="1" x14ac:dyDescent="0.3">
      <c r="C338" s="185" t="str">
        <v>I3</v>
      </c>
      <c r="D338" s="185"/>
      <c r="E338" s="185"/>
      <c r="F338" s="185"/>
      <c r="G338" s="185"/>
      <c r="H338" s="185"/>
      <c r="I338" s="185"/>
      <c r="J338" s="185"/>
      <c r="K338" s="185"/>
    </row>
    <row r="339" spans="3:11" ht="16.05" customHeight="1" x14ac:dyDescent="0.3">
      <c r="C339" s="185" t="str">
        <v>E12</v>
      </c>
      <c r="D339" s="185"/>
      <c r="E339" s="185"/>
      <c r="F339" s="185"/>
      <c r="G339" s="185"/>
      <c r="H339" s="185"/>
      <c r="I339" s="185"/>
      <c r="J339" s="185"/>
      <c r="K339" s="185"/>
    </row>
    <row r="340" spans="3:11" ht="16.05" customHeight="1" x14ac:dyDescent="0.3">
      <c r="C340" s="185" t="str">
        <v>D10</v>
      </c>
      <c r="D340" s="185"/>
      <c r="E340" s="185"/>
      <c r="F340" s="185"/>
      <c r="G340" s="185"/>
      <c r="H340" s="185"/>
      <c r="I340" s="185"/>
      <c r="J340" s="185"/>
      <c r="K340" s="185"/>
    </row>
    <row r="341" spans="3:11" ht="16.05" customHeight="1" x14ac:dyDescent="0.3">
      <c r="C341" s="185" t="str">
        <v>I3</v>
      </c>
      <c r="D341" s="185"/>
      <c r="E341" s="185"/>
      <c r="F341" s="185"/>
      <c r="G341" s="185"/>
      <c r="H341" s="185"/>
      <c r="I341" s="185"/>
      <c r="J341" s="185"/>
      <c r="K341" s="185"/>
    </row>
    <row r="342" spans="3:11" ht="16.05" customHeight="1" x14ac:dyDescent="0.3">
      <c r="C342" s="185" t="str">
        <v>L9</v>
      </c>
      <c r="D342" s="185"/>
      <c r="E342" s="185"/>
      <c r="F342" s="185"/>
      <c r="G342" s="185"/>
      <c r="H342" s="185"/>
      <c r="I342" s="185"/>
      <c r="J342" s="185"/>
      <c r="K342" s="185"/>
    </row>
    <row r="343" spans="3:11" ht="16.05" customHeight="1" x14ac:dyDescent="0.3">
      <c r="C343" s="185" t="str">
        <v>I4</v>
      </c>
      <c r="D343" s="185"/>
      <c r="E343" s="185"/>
      <c r="F343" s="185"/>
      <c r="G343" s="185"/>
      <c r="H343" s="185"/>
      <c r="I343" s="185"/>
      <c r="J343" s="185"/>
      <c r="K343" s="185"/>
    </row>
    <row r="344" spans="3:11" ht="16.05" customHeight="1" x14ac:dyDescent="0.3">
      <c r="C344" s="185" t="str">
        <v>O4</v>
      </c>
      <c r="D344" s="185"/>
      <c r="E344" s="185"/>
      <c r="F344" s="185"/>
      <c r="G344" s="185"/>
      <c r="H344" s="185"/>
      <c r="I344" s="185"/>
      <c r="J344" s="185"/>
      <c r="K344" s="185"/>
    </row>
    <row r="345" spans="3:11" ht="16.05" customHeight="1" x14ac:dyDescent="0.3">
      <c r="C345" s="185" t="str">
        <v>D12</v>
      </c>
      <c r="D345" s="185"/>
      <c r="E345" s="185"/>
      <c r="F345" s="185"/>
      <c r="G345" s="185"/>
      <c r="H345" s="185"/>
      <c r="I345" s="185"/>
      <c r="J345" s="185"/>
      <c r="K345" s="185"/>
    </row>
    <row r="346" spans="3:11" ht="16.05" customHeight="1" x14ac:dyDescent="0.3">
      <c r="C346" s="185" t="str">
        <v>H11</v>
      </c>
      <c r="D346" s="185"/>
      <c r="E346" s="185"/>
      <c r="F346" s="185"/>
      <c r="G346" s="185"/>
      <c r="H346" s="185"/>
      <c r="I346" s="185"/>
      <c r="J346" s="185"/>
      <c r="K346" s="185"/>
    </row>
    <row r="347" spans="3:11" ht="16.05" customHeight="1" x14ac:dyDescent="0.3">
      <c r="C347" s="185" t="str">
        <v>E14</v>
      </c>
      <c r="D347" s="185"/>
      <c r="E347" s="185"/>
      <c r="F347" s="185"/>
      <c r="G347" s="185"/>
      <c r="H347" s="185"/>
      <c r="I347" s="185"/>
      <c r="J347" s="185"/>
      <c r="K347" s="185"/>
    </row>
    <row r="348" spans="3:11" ht="16.05" customHeight="1" x14ac:dyDescent="0.3">
      <c r="C348" s="185" t="str">
        <v>J8</v>
      </c>
      <c r="D348" s="185"/>
      <c r="E348" s="185"/>
      <c r="F348" s="185"/>
      <c r="G348" s="185"/>
      <c r="H348" s="185"/>
      <c r="I348" s="185"/>
      <c r="J348" s="185"/>
      <c r="K348" s="185"/>
    </row>
    <row r="349" spans="3:11" ht="16.05" customHeight="1" x14ac:dyDescent="0.3">
      <c r="C349" s="185" t="str">
        <v>B6</v>
      </c>
      <c r="D349" s="185"/>
      <c r="E349" s="185"/>
      <c r="F349" s="185"/>
      <c r="G349" s="185"/>
      <c r="H349" s="185"/>
      <c r="I349" s="185"/>
      <c r="J349" s="185"/>
      <c r="K349" s="185"/>
    </row>
    <row r="350" spans="3:11" ht="16.05" customHeight="1" x14ac:dyDescent="0.3">
      <c r="C350" s="185" t="str">
        <v>M6</v>
      </c>
    </row>
    <row r="351" spans="3:11" ht="16.05" customHeight="1" x14ac:dyDescent="0.3">
      <c r="C351" s="185" t="str">
        <v>J10</v>
      </c>
    </row>
    <row r="352" spans="3:11" ht="16.05" customHeight="1" x14ac:dyDescent="0.3">
      <c r="C352" s="185" t="str">
        <v>A6</v>
      </c>
    </row>
    <row r="353" spans="3:3" ht="16.05" customHeight="1" x14ac:dyDescent="0.3">
      <c r="C353" s="185" t="str">
        <v>G15</v>
      </c>
    </row>
    <row r="354" spans="3:3" ht="16.05" customHeight="1" x14ac:dyDescent="0.3">
      <c r="C354" s="185" t="str">
        <v>H7</v>
      </c>
    </row>
    <row r="355" spans="3:3" ht="16.05" customHeight="1" x14ac:dyDescent="0.3">
      <c r="C355" s="185" t="str">
        <v>M7</v>
      </c>
    </row>
    <row r="356" spans="3:3" ht="16.05" customHeight="1" x14ac:dyDescent="0.3">
      <c r="C356" s="185" t="str">
        <v>M13</v>
      </c>
    </row>
    <row r="357" spans="3:3" ht="16.05" customHeight="1" x14ac:dyDescent="0.3">
      <c r="C357" s="185" t="str">
        <v>O7</v>
      </c>
    </row>
    <row r="358" spans="3:3" ht="16.05" customHeight="1" x14ac:dyDescent="0.3">
      <c r="C358" s="185" t="str">
        <v>E11</v>
      </c>
    </row>
    <row r="359" spans="3:3" ht="16.05" customHeight="1" x14ac:dyDescent="0.3">
      <c r="C359" s="185" t="str">
        <v>J12</v>
      </c>
    </row>
    <row r="360" spans="3:3" ht="16.05" customHeight="1" x14ac:dyDescent="0.3">
      <c r="C360" s="185" t="str">
        <v>J2</v>
      </c>
    </row>
    <row r="361" spans="3:3" ht="16.05" customHeight="1" x14ac:dyDescent="0.3">
      <c r="C361" s="185" t="str">
        <v>I7</v>
      </c>
    </row>
    <row r="362" spans="3:3" ht="16.05" customHeight="1" x14ac:dyDescent="0.3">
      <c r="C362" s="185" t="str">
        <v>E8</v>
      </c>
    </row>
    <row r="363" spans="3:3" ht="16.05" customHeight="1" x14ac:dyDescent="0.3">
      <c r="C363" s="185" t="str">
        <v>M14</v>
      </c>
    </row>
    <row r="364" spans="3:3" ht="16.05" customHeight="1" x14ac:dyDescent="0.3">
      <c r="C364" s="185" t="str">
        <v>O9</v>
      </c>
    </row>
    <row r="365" spans="3:3" ht="16.05" customHeight="1" x14ac:dyDescent="0.3">
      <c r="C365" s="185" t="str">
        <v>F7</v>
      </c>
    </row>
    <row r="366" spans="3:3" ht="16.05" customHeight="1" x14ac:dyDescent="0.3">
      <c r="C366" s="185" t="str">
        <v>F4</v>
      </c>
    </row>
    <row r="367" spans="3:3" ht="16.05" customHeight="1" x14ac:dyDescent="0.3">
      <c r="C367" s="185" t="str">
        <v>E3</v>
      </c>
    </row>
    <row r="368" spans="3:3" ht="16.05" customHeight="1" x14ac:dyDescent="0.3">
      <c r="C368" s="185" t="str">
        <v>E15</v>
      </c>
    </row>
    <row r="369" spans="3:3" ht="16.05" customHeight="1" x14ac:dyDescent="0.3">
      <c r="C369" s="185" t="str">
        <v>D12</v>
      </c>
    </row>
    <row r="370" spans="3:3" ht="16.05" customHeight="1" x14ac:dyDescent="0.3">
      <c r="C370" s="185" t="str">
        <v>C9</v>
      </c>
    </row>
    <row r="371" spans="3:3" ht="16.05" customHeight="1" x14ac:dyDescent="0.3">
      <c r="C371" s="185" t="str">
        <v>J6</v>
      </c>
    </row>
    <row r="372" spans="3:3" ht="16.05" customHeight="1" x14ac:dyDescent="0.3">
      <c r="C372" s="185" t="str">
        <v>M10</v>
      </c>
    </row>
    <row r="373" spans="3:3" ht="16.05" customHeight="1" x14ac:dyDescent="0.3">
      <c r="C373" s="185" t="str">
        <v>L9</v>
      </c>
    </row>
    <row r="374" spans="3:3" ht="16.05" customHeight="1" x14ac:dyDescent="0.3">
      <c r="C374" s="185" t="str">
        <v>L3</v>
      </c>
    </row>
    <row r="375" spans="3:3" ht="16.05" customHeight="1" x14ac:dyDescent="0.3">
      <c r="C375" s="185" t="str">
        <v>M11</v>
      </c>
    </row>
    <row r="376" spans="3:3" ht="16.05" customHeight="1" x14ac:dyDescent="0.3">
      <c r="C376" s="185" t="str">
        <v>M2</v>
      </c>
    </row>
    <row r="377" spans="3:3" ht="16.05" customHeight="1" x14ac:dyDescent="0.3">
      <c r="C377" s="185"/>
    </row>
    <row r="378" spans="3:3" ht="16.8" x14ac:dyDescent="0.3">
      <c r="C378" s="185"/>
    </row>
    <row r="379" spans="3:3" ht="16.8" x14ac:dyDescent="0.3">
      <c r="C379" s="185"/>
    </row>
    <row r="380" spans="3:3" ht="16.8" x14ac:dyDescent="0.3">
      <c r="C380" s="185"/>
    </row>
  </sheetData>
  <mergeCells count="4">
    <mergeCell ref="C183:H183"/>
    <mergeCell ref="C232:H232"/>
    <mergeCell ref="C284:H284"/>
    <mergeCell ref="C334:H334"/>
  </mergeCells>
  <printOptions horizontalCentered="1"/>
  <pageMargins left="0.15748031496062992" right="0.15748031496062992" top="0.78740157480314965" bottom="0.78740157480314965" header="0.51181102362204722" footer="0.51181102362204722"/>
  <pageSetup paperSize="9" scale="50" orientation="portrait" r:id="rId1"/>
  <headerFooter alignWithMargins="0">
    <oddFooter xml:space="preserve">&amp;CClarity Consultancy Services Ltd   info@clarityconsultancyservices.co.uk
Registered in the UK (6619745). Registered Office:  Suite 6 Bourne Gate, Bourne Valley Rd, Poole, BH12 1DY
</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21797-7D5D-0741-9276-59079422027E}">
  <sheetPr>
    <pageSetUpPr fitToPage="1"/>
  </sheetPr>
  <dimension ref="A1:O184"/>
  <sheetViews>
    <sheetView showGridLines="0" zoomScaleNormal="100" workbookViewId="0">
      <pane ySplit="1" topLeftCell="A2" activePane="bottomLeft" state="frozen"/>
      <selection pane="bottomLeft"/>
    </sheetView>
  </sheetViews>
  <sheetFormatPr defaultColWidth="0" defaultRowHeight="13.2" x14ac:dyDescent="0.25"/>
  <cols>
    <col min="1" max="2" width="3.6640625" style="52" customWidth="1"/>
    <col min="3" max="3" width="36.77734375" style="52" customWidth="1"/>
    <col min="4" max="5" width="14.33203125" style="52" customWidth="1"/>
    <col min="6" max="6" width="28.44140625" style="52" customWidth="1"/>
    <col min="7" max="9" width="26.44140625" style="52" customWidth="1"/>
    <col min="10" max="10" width="50.77734375" style="52" customWidth="1"/>
    <col min="11" max="15" width="17.44140625" style="52" customWidth="1"/>
    <col min="16" max="16384" width="8.77734375" style="52" hidden="1"/>
  </cols>
  <sheetData>
    <row r="1" spans="1:15" ht="49.95" customHeight="1" x14ac:dyDescent="0.3">
      <c r="A1" s="49"/>
      <c r="B1" s="50" t="s">
        <v>948</v>
      </c>
      <c r="C1" s="49"/>
      <c r="D1" s="49"/>
      <c r="E1" s="49"/>
      <c r="F1" s="51"/>
      <c r="G1" s="51"/>
      <c r="H1" s="51"/>
      <c r="I1" s="51"/>
      <c r="J1" s="51"/>
      <c r="K1" s="51"/>
      <c r="L1" s="51"/>
      <c r="M1" s="51"/>
      <c r="N1" s="51"/>
      <c r="O1" s="51"/>
    </row>
    <row r="2" spans="1:15" ht="12" customHeight="1" x14ac:dyDescent="0.25"/>
    <row r="3" spans="1:15" ht="22.05" customHeight="1" x14ac:dyDescent="0.5">
      <c r="A3" s="175"/>
      <c r="B3" s="184" t="s">
        <v>954</v>
      </c>
      <c r="C3" s="176"/>
      <c r="D3" s="176"/>
      <c r="E3" s="176"/>
      <c r="I3" s="177"/>
    </row>
    <row r="4" spans="1:15" ht="22.95" customHeight="1" x14ac:dyDescent="0.5">
      <c r="A4" s="175"/>
      <c r="B4" s="176"/>
      <c r="C4" s="53" t="s">
        <v>904</v>
      </c>
      <c r="D4" s="176"/>
      <c r="E4" s="176"/>
    </row>
    <row r="5" spans="1:15" ht="22.95" customHeight="1" x14ac:dyDescent="0.5">
      <c r="A5" s="175"/>
      <c r="B5" s="176"/>
      <c r="C5" s="53" t="s">
        <v>949</v>
      </c>
      <c r="D5" s="176"/>
      <c r="E5" s="176"/>
    </row>
    <row r="6" spans="1:15" ht="22.95" customHeight="1" x14ac:dyDescent="0.5">
      <c r="A6" s="175"/>
      <c r="B6" s="176"/>
      <c r="C6" s="53" t="s">
        <v>950</v>
      </c>
      <c r="D6" s="176"/>
      <c r="E6" s="176"/>
    </row>
    <row r="7" spans="1:15" ht="22.95" customHeight="1" x14ac:dyDescent="0.5">
      <c r="A7" s="175"/>
      <c r="B7" s="176"/>
      <c r="C7" s="53" t="s">
        <v>951</v>
      </c>
      <c r="D7" s="176"/>
      <c r="E7" s="176"/>
    </row>
    <row r="8" spans="1:15" ht="22.95" customHeight="1" x14ac:dyDescent="0.5">
      <c r="A8" s="175"/>
      <c r="B8" s="176"/>
      <c r="C8" s="53" t="s">
        <v>952</v>
      </c>
      <c r="D8" s="176"/>
      <c r="E8" s="176"/>
    </row>
    <row r="9" spans="1:15" ht="22.95" customHeight="1" x14ac:dyDescent="0.5">
      <c r="A9" s="175"/>
      <c r="B9" s="176"/>
      <c r="C9" s="53" t="s">
        <v>953</v>
      </c>
      <c r="D9" s="176"/>
      <c r="E9" s="176"/>
    </row>
    <row r="10" spans="1:15" ht="22.95" customHeight="1" x14ac:dyDescent="0.5">
      <c r="A10" s="175"/>
      <c r="B10" s="176"/>
      <c r="C10" s="53"/>
      <c r="D10" s="176"/>
      <c r="E10" s="176"/>
    </row>
    <row r="11" spans="1:15" ht="22.95" customHeight="1" x14ac:dyDescent="0.5">
      <c r="A11" s="175"/>
      <c r="B11" s="176"/>
      <c r="C11" s="53"/>
      <c r="D11" s="176"/>
      <c r="E11" s="176"/>
    </row>
    <row r="12" spans="1:15" ht="22.95" customHeight="1" x14ac:dyDescent="0.5">
      <c r="A12" s="175"/>
      <c r="B12" s="184" t="s">
        <v>955</v>
      </c>
      <c r="C12" s="176"/>
      <c r="D12" s="176"/>
      <c r="E12" s="176"/>
    </row>
    <row r="13" spans="1:15" ht="22.95" customHeight="1" x14ac:dyDescent="0.5">
      <c r="A13" s="175"/>
      <c r="B13" s="176"/>
      <c r="C13" s="53" t="s">
        <v>904</v>
      </c>
      <c r="D13" s="176"/>
      <c r="E13" s="176"/>
    </row>
    <row r="14" spans="1:15" ht="22.95" customHeight="1" x14ac:dyDescent="0.5">
      <c r="A14" s="175"/>
      <c r="B14" s="176"/>
      <c r="C14" s="53" t="s">
        <v>949</v>
      </c>
      <c r="D14" s="176"/>
      <c r="E14" s="176"/>
    </row>
    <row r="15" spans="1:15" ht="22.95" customHeight="1" x14ac:dyDescent="0.5">
      <c r="A15" s="175"/>
      <c r="B15" s="176"/>
      <c r="C15" s="53" t="s">
        <v>950</v>
      </c>
      <c r="D15" s="176"/>
      <c r="E15" s="176"/>
    </row>
    <row r="16" spans="1:15" ht="22.95" customHeight="1" x14ac:dyDescent="0.5">
      <c r="A16" s="175"/>
      <c r="B16" s="176"/>
      <c r="C16" s="53" t="s">
        <v>951</v>
      </c>
      <c r="D16" s="176"/>
      <c r="E16" s="176"/>
    </row>
    <row r="17" spans="1:15" ht="22.95" customHeight="1" x14ac:dyDescent="0.5">
      <c r="A17" s="175"/>
      <c r="B17" s="176"/>
      <c r="C17" s="53" t="s">
        <v>952</v>
      </c>
      <c r="D17" s="176"/>
      <c r="E17" s="176"/>
    </row>
    <row r="18" spans="1:15" ht="22.95" customHeight="1" x14ac:dyDescent="0.5">
      <c r="A18" s="175"/>
      <c r="B18" s="176"/>
      <c r="C18" s="53" t="s">
        <v>953</v>
      </c>
      <c r="D18" s="176"/>
      <c r="E18" s="176"/>
    </row>
    <row r="19" spans="1:15" ht="22.95" customHeight="1" x14ac:dyDescent="0.5">
      <c r="A19" s="175"/>
      <c r="B19" s="176"/>
      <c r="C19" s="53"/>
      <c r="D19" s="176"/>
      <c r="E19" s="176"/>
    </row>
    <row r="20" spans="1:15" ht="17.399999999999999" x14ac:dyDescent="0.3">
      <c r="C20" s="178"/>
    </row>
    <row r="21" spans="1:15" ht="21" x14ac:dyDescent="0.5">
      <c r="A21" s="56"/>
      <c r="B21" s="56" t="s">
        <v>7</v>
      </c>
      <c r="C21" s="56"/>
      <c r="D21" s="56"/>
      <c r="E21" s="56"/>
      <c r="F21" s="56"/>
      <c r="G21" s="56"/>
      <c r="H21" s="56"/>
      <c r="I21" s="56"/>
      <c r="J21" s="56"/>
      <c r="K21" s="56"/>
      <c r="L21" s="56"/>
      <c r="M21" s="56"/>
      <c r="N21" s="56"/>
      <c r="O21" s="56"/>
    </row>
    <row r="22" spans="1:15" s="180" customFormat="1" ht="19.95" customHeight="1" x14ac:dyDescent="0.3">
      <c r="A22" s="179"/>
      <c r="B22" s="179"/>
      <c r="C22" s="20" t="s">
        <v>957</v>
      </c>
      <c r="D22" s="179"/>
      <c r="E22" s="179"/>
      <c r="F22" s="179"/>
      <c r="G22" s="179"/>
      <c r="H22" s="179"/>
      <c r="I22" s="179"/>
      <c r="J22" s="179"/>
    </row>
    <row r="23" spans="1:15" s="180" customFormat="1" ht="19.95" customHeight="1" x14ac:dyDescent="0.3">
      <c r="A23" s="179"/>
      <c r="B23" s="179"/>
      <c r="C23" s="20" t="s">
        <v>956</v>
      </c>
      <c r="D23" s="179"/>
      <c r="E23" s="179"/>
      <c r="F23" s="179"/>
      <c r="G23" s="179"/>
      <c r="H23" s="179"/>
      <c r="I23" s="179"/>
      <c r="J23" s="179"/>
    </row>
    <row r="24" spans="1:15" s="180" customFormat="1" ht="19.95" customHeight="1" x14ac:dyDescent="0.3">
      <c r="A24" s="179"/>
      <c r="B24" s="179"/>
      <c r="C24" s="20" t="s">
        <v>1313</v>
      </c>
      <c r="D24" s="179"/>
      <c r="E24" s="179"/>
      <c r="F24" s="179"/>
      <c r="G24" s="179"/>
      <c r="H24" s="179"/>
      <c r="I24" s="179"/>
      <c r="J24" s="179"/>
    </row>
    <row r="25" spans="1:15" s="180" customFormat="1" ht="19.95" customHeight="1" x14ac:dyDescent="0.3">
      <c r="A25" s="179"/>
      <c r="B25" s="179"/>
      <c r="C25" s="20" t="s">
        <v>1314</v>
      </c>
      <c r="D25" s="179"/>
      <c r="E25" s="179"/>
      <c r="F25" s="179"/>
      <c r="G25" s="179"/>
      <c r="H25" s="179"/>
      <c r="I25" s="179"/>
      <c r="J25" s="179"/>
    </row>
    <row r="26" spans="1:15" s="180" customFormat="1" ht="19.95" customHeight="1" x14ac:dyDescent="0.3">
      <c r="A26" s="179"/>
      <c r="B26" s="179"/>
      <c r="C26" s="20"/>
      <c r="D26" s="179"/>
      <c r="E26" s="179"/>
      <c r="F26" s="179"/>
      <c r="G26" s="179"/>
      <c r="H26" s="179"/>
      <c r="I26" s="179"/>
      <c r="J26" s="179"/>
    </row>
    <row r="27" spans="1:15" s="180" customFormat="1" ht="19.95" customHeight="1" x14ac:dyDescent="0.3">
      <c r="A27" s="179"/>
      <c r="B27" s="179"/>
      <c r="C27" s="20" t="s">
        <v>958</v>
      </c>
      <c r="D27" s="179"/>
      <c r="E27" s="179"/>
      <c r="F27" s="179"/>
      <c r="G27" s="179"/>
      <c r="H27" s="179"/>
      <c r="I27" s="179"/>
      <c r="J27" s="179"/>
    </row>
    <row r="28" spans="1:15" s="180" customFormat="1" ht="19.95" customHeight="1" x14ac:dyDescent="0.3">
      <c r="A28" s="179"/>
      <c r="B28" s="179"/>
      <c r="C28" s="20" t="s">
        <v>1315</v>
      </c>
      <c r="D28" s="179"/>
      <c r="E28" s="179"/>
      <c r="F28" s="179"/>
      <c r="G28" s="179"/>
      <c r="H28" s="179"/>
      <c r="I28" s="179"/>
      <c r="J28" s="179"/>
    </row>
    <row r="29" spans="1:15" s="180" customFormat="1" ht="19.95" customHeight="1" x14ac:dyDescent="0.3">
      <c r="A29" s="179"/>
      <c r="B29" s="179"/>
      <c r="C29" s="20" t="s">
        <v>959</v>
      </c>
      <c r="D29" s="179"/>
      <c r="E29" s="179"/>
      <c r="F29" s="179"/>
      <c r="G29" s="179"/>
      <c r="H29" s="179"/>
      <c r="I29" s="179"/>
      <c r="J29" s="179"/>
    </row>
    <row r="30" spans="1:15" s="180" customFormat="1" ht="19.95" customHeight="1" x14ac:dyDescent="0.3">
      <c r="A30" s="179"/>
      <c r="B30" s="179"/>
      <c r="C30" s="20" t="s">
        <v>1316</v>
      </c>
      <c r="D30" s="179"/>
      <c r="E30" s="179"/>
      <c r="F30" s="179"/>
      <c r="G30" s="179"/>
      <c r="H30" s="179"/>
      <c r="I30" s="179"/>
      <c r="J30" s="179"/>
    </row>
    <row r="31" spans="1:15" s="180" customFormat="1" ht="19.95" customHeight="1" x14ac:dyDescent="0.3"/>
    <row r="32" spans="1:15" ht="21" x14ac:dyDescent="0.5">
      <c r="A32" s="56"/>
      <c r="B32" s="56" t="s">
        <v>8</v>
      </c>
      <c r="C32" s="56"/>
      <c r="D32" s="56"/>
      <c r="E32" s="56"/>
      <c r="F32" s="56"/>
      <c r="G32" s="56"/>
      <c r="H32" s="56"/>
      <c r="I32" s="56"/>
      <c r="J32" s="56"/>
      <c r="K32" s="56"/>
      <c r="L32" s="56"/>
      <c r="M32" s="56"/>
      <c r="N32" s="56"/>
      <c r="O32" s="56"/>
    </row>
    <row r="33" spans="2:9" x14ac:dyDescent="0.25">
      <c r="B33" s="181"/>
      <c r="D33" s="181"/>
    </row>
    <row r="34" spans="2:9" s="21" customFormat="1" ht="16.8" x14ac:dyDescent="0.3">
      <c r="E34" s="32"/>
    </row>
    <row r="35" spans="2:9" s="21" customFormat="1" ht="16.8" x14ac:dyDescent="0.3">
      <c r="C35" s="21" t="s">
        <v>961</v>
      </c>
      <c r="E35" s="32"/>
    </row>
    <row r="36" spans="2:9" s="21" customFormat="1" ht="16.8" x14ac:dyDescent="0.3">
      <c r="E36" s="32"/>
    </row>
    <row r="37" spans="2:9" s="21" customFormat="1" ht="16.8" x14ac:dyDescent="0.3">
      <c r="C37" s="98" t="s">
        <v>911</v>
      </c>
      <c r="F37" s="96" t="str">
        <f>_xlfn.TEXTBEFORE(C37, "-")</f>
        <v xml:space="preserve">Jan </v>
      </c>
      <c r="H37" s="21" t="str">
        <f ca="1">_xlfn.FORMULATEXT(F37)</f>
        <v>=TEXTBEFORE(C37, "-")</v>
      </c>
      <c r="I37" s="83"/>
    </row>
    <row r="38" spans="2:9" s="21" customFormat="1" ht="16.8" x14ac:dyDescent="0.3">
      <c r="C38" s="98" t="s">
        <v>912</v>
      </c>
      <c r="F38" s="96" t="str">
        <f>_xlfn.TEXTBEFORE(C38, "-")</f>
        <v xml:space="preserve">Mar </v>
      </c>
      <c r="H38" s="21" t="str">
        <f ca="1">_xlfn.FORMULATEXT(F38)</f>
        <v>=TEXTBEFORE(C38, "-")</v>
      </c>
    </row>
    <row r="39" spans="2:9" s="180" customFormat="1" ht="16.8" x14ac:dyDescent="0.3">
      <c r="C39" s="98" t="s">
        <v>914</v>
      </c>
      <c r="F39" s="96" t="str">
        <f>_xlfn.TEXTBEFORE(C39, "-")</f>
        <v xml:space="preserve">Jan </v>
      </c>
      <c r="G39" s="21"/>
      <c r="H39" s="21" t="str">
        <f ca="1">_xlfn.FORMULATEXT(F39)</f>
        <v>=TEXTBEFORE(C39, "-")</v>
      </c>
    </row>
    <row r="40" spans="2:9" s="180" customFormat="1" ht="16.8" x14ac:dyDescent="0.3">
      <c r="C40" s="98" t="s">
        <v>915</v>
      </c>
      <c r="F40" s="96" t="str">
        <f>_xlfn.TEXTBEFORE(C40, "-")</f>
        <v xml:space="preserve">Dec </v>
      </c>
      <c r="G40" s="21"/>
      <c r="H40" s="21" t="str">
        <f ca="1">_xlfn.FORMULATEXT(F40)</f>
        <v>=TEXTBEFORE(C40, "-")</v>
      </c>
    </row>
    <row r="41" spans="2:9" s="180" customFormat="1" ht="16.8" x14ac:dyDescent="0.3">
      <c r="C41" s="21"/>
      <c r="I41" s="83"/>
    </row>
    <row r="42" spans="2:9" s="180" customFormat="1" ht="16.8" x14ac:dyDescent="0.3">
      <c r="C42" s="21"/>
      <c r="I42" s="83"/>
    </row>
    <row r="43" spans="2:9" s="180" customFormat="1" ht="16.8" x14ac:dyDescent="0.3">
      <c r="C43" s="21" t="s">
        <v>1123</v>
      </c>
      <c r="I43" s="83"/>
    </row>
    <row r="44" spans="2:9" s="180" customFormat="1" ht="16.8" x14ac:dyDescent="0.3">
      <c r="C44" s="21" t="s">
        <v>1317</v>
      </c>
      <c r="I44" s="83"/>
    </row>
    <row r="45" spans="2:9" s="180" customFormat="1" ht="16.8" x14ac:dyDescent="0.3">
      <c r="C45" s="21"/>
      <c r="I45" s="83"/>
    </row>
    <row r="46" spans="2:9" s="180" customFormat="1" ht="16.8" x14ac:dyDescent="0.3">
      <c r="C46" s="21"/>
      <c r="F46" s="96" t="str" cm="1">
        <f t="array" ref="F46:F49">_xlfn.TEXTBEFORE(C37:C40, "-")</f>
        <v xml:space="preserve">Jan </v>
      </c>
      <c r="H46" s="21" t="str">
        <f ca="1">_xlfn.FORMULATEXT(F46)</f>
        <v>=TEXTBEFORE(C37:C40, "-")</v>
      </c>
      <c r="I46" s="83"/>
    </row>
    <row r="47" spans="2:9" s="180" customFormat="1" ht="16.8" x14ac:dyDescent="0.3">
      <c r="C47" s="21"/>
      <c r="F47" s="21" t="str">
        <v xml:space="preserve">Mar </v>
      </c>
      <c r="I47" s="83"/>
    </row>
    <row r="48" spans="2:9" s="180" customFormat="1" ht="16.8" x14ac:dyDescent="0.3">
      <c r="C48" s="21"/>
      <c r="F48" s="21" t="str">
        <v xml:space="preserve">Jan </v>
      </c>
      <c r="I48" s="83"/>
    </row>
    <row r="49" spans="1:15" s="180" customFormat="1" ht="16.8" x14ac:dyDescent="0.3">
      <c r="C49" s="21"/>
      <c r="F49" s="21" t="str">
        <v xml:space="preserve">Dec </v>
      </c>
      <c r="I49" s="83"/>
    </row>
    <row r="50" spans="1:15" s="180" customFormat="1" ht="16.8" x14ac:dyDescent="0.3">
      <c r="C50" s="21"/>
      <c r="I50" s="83"/>
    </row>
    <row r="51" spans="1:15" s="180" customFormat="1" ht="16.8" x14ac:dyDescent="0.3">
      <c r="C51" s="21"/>
      <c r="I51" s="83"/>
    </row>
    <row r="52" spans="1:15" s="180" customFormat="1" ht="16.8" x14ac:dyDescent="0.3">
      <c r="C52" s="21"/>
      <c r="F52" s="96" t="str" cm="1">
        <f t="array" ref="F52:F55">_xlfn.TEXTAFTER(C37:C40, "-")</f>
        <v xml:space="preserve"> 144995535: Peter H</v>
      </c>
      <c r="G52" s="21"/>
      <c r="H52" s="21" t="str">
        <f ca="1">_xlfn.FORMULATEXT(F52)</f>
        <v>=TEXTAFTER(C37:C40, "-")</v>
      </c>
      <c r="I52" s="83"/>
    </row>
    <row r="53" spans="1:15" s="180" customFormat="1" ht="16.8" x14ac:dyDescent="0.3">
      <c r="C53" s="21"/>
      <c r="F53" s="21" t="str">
        <v xml:space="preserve"> 195895049: Sarah O</v>
      </c>
      <c r="G53" s="21"/>
      <c r="H53" s="21"/>
      <c r="I53" s="83"/>
    </row>
    <row r="54" spans="1:15" s="180" customFormat="1" ht="16.8" x14ac:dyDescent="0.3">
      <c r="C54" s="21"/>
      <c r="F54" s="21" t="str">
        <v xml:space="preserve"> 938560385: James D</v>
      </c>
      <c r="G54" s="21"/>
      <c r="H54" s="21"/>
      <c r="I54" s="83"/>
    </row>
    <row r="55" spans="1:15" s="180" customFormat="1" ht="16.8" x14ac:dyDescent="0.3">
      <c r="F55" s="21" t="str">
        <v xml:space="preserve"> 839948573: John H</v>
      </c>
      <c r="G55" s="21"/>
      <c r="H55" s="21"/>
      <c r="I55" s="21"/>
    </row>
    <row r="56" spans="1:15" s="180" customFormat="1" ht="13.8" x14ac:dyDescent="0.3"/>
    <row r="57" spans="1:15" s="180" customFormat="1" ht="13.8" x14ac:dyDescent="0.3"/>
    <row r="58" spans="1:15" ht="21" x14ac:dyDescent="0.5">
      <c r="A58" s="56"/>
      <c r="B58" s="56" t="s">
        <v>962</v>
      </c>
      <c r="C58" s="56"/>
      <c r="D58" s="56"/>
      <c r="E58" s="56"/>
      <c r="F58" s="56"/>
      <c r="G58" s="56"/>
      <c r="H58" s="56"/>
      <c r="I58" s="56"/>
      <c r="J58" s="56"/>
      <c r="K58" s="56"/>
      <c r="L58" s="56"/>
      <c r="M58" s="56"/>
      <c r="N58" s="56"/>
      <c r="O58" s="56"/>
    </row>
    <row r="59" spans="1:15" s="180" customFormat="1" ht="13.8" x14ac:dyDescent="0.3"/>
    <row r="60" spans="1:15" s="180" customFormat="1" ht="13.8" x14ac:dyDescent="0.3"/>
    <row r="61" spans="1:15" s="180" customFormat="1" ht="13.8" x14ac:dyDescent="0.3"/>
    <row r="62" spans="1:15" s="180" customFormat="1" ht="16.8" x14ac:dyDescent="0.3">
      <c r="C62" s="98" t="s">
        <v>582</v>
      </c>
      <c r="F62" s="96" t="str" cm="1">
        <f t="array" ref="F62:F65">_xlfn.TEXTBEFORE(C62:C65, "-",2)</f>
        <v xml:space="preserve">Jan - 144995535 </v>
      </c>
      <c r="G62" s="21"/>
      <c r="H62" s="21" t="str">
        <f ca="1">_xlfn.FORMULATEXT(F62)</f>
        <v>=TEXTBEFORE(C62:C65, "-",2)</v>
      </c>
      <c r="J62" s="21"/>
      <c r="K62" s="21"/>
      <c r="L62" s="21"/>
    </row>
    <row r="63" spans="1:15" s="180" customFormat="1" ht="16.8" x14ac:dyDescent="0.3">
      <c r="C63" s="98" t="s">
        <v>583</v>
      </c>
      <c r="F63" s="21" t="str">
        <v xml:space="preserve">Mar - 195895049 </v>
      </c>
      <c r="G63" s="21"/>
      <c r="H63" s="21" t="s">
        <v>963</v>
      </c>
      <c r="J63" s="21"/>
      <c r="K63" s="21"/>
      <c r="L63" s="21"/>
    </row>
    <row r="64" spans="1:15" s="21" customFormat="1" ht="16.8" x14ac:dyDescent="0.3">
      <c r="C64" s="98" t="s">
        <v>584</v>
      </c>
      <c r="F64" s="21" t="str">
        <v xml:space="preserve">Jan - 938560385 </v>
      </c>
    </row>
    <row r="65" spans="3:12" ht="16.8" x14ac:dyDescent="0.3">
      <c r="C65" s="98" t="s">
        <v>595</v>
      </c>
      <c r="F65" s="21" t="str">
        <v xml:space="preserve">Dec - 839948573 </v>
      </c>
      <c r="G65" s="21"/>
      <c r="H65" s="21"/>
      <c r="J65" s="21"/>
      <c r="K65" s="21"/>
      <c r="L65" s="21"/>
    </row>
    <row r="66" spans="3:12" ht="16.8" x14ac:dyDescent="0.3">
      <c r="H66" s="21"/>
      <c r="J66" s="21"/>
      <c r="K66" s="21"/>
      <c r="L66" s="21"/>
    </row>
    <row r="67" spans="3:12" ht="16.8" x14ac:dyDescent="0.3">
      <c r="H67" s="21"/>
      <c r="J67" s="21"/>
      <c r="K67" s="21"/>
      <c r="L67" s="21"/>
    </row>
    <row r="68" spans="3:12" ht="16.8" x14ac:dyDescent="0.3">
      <c r="H68" s="21"/>
      <c r="J68" s="21"/>
      <c r="K68" s="21"/>
      <c r="L68" s="21"/>
    </row>
    <row r="69" spans="3:12" ht="16.8" x14ac:dyDescent="0.3">
      <c r="C69" s="98" t="s">
        <v>911</v>
      </c>
      <c r="F69" s="96" t="str" cm="1">
        <f t="array" ref="F69:F72">_xlfn.TEXTBEFORE(C69:C72, {"-",":"},2)</f>
        <v>Jan - 144995535</v>
      </c>
      <c r="G69" s="21"/>
      <c r="H69" s="21" t="str">
        <f ca="1">_xlfn.FORMULATEXT(F69)</f>
        <v>=TEXTBEFORE(C69:C72, {"-",":"},2)</v>
      </c>
      <c r="J69" s="21"/>
      <c r="K69" s="21"/>
      <c r="L69" s="21"/>
    </row>
    <row r="70" spans="3:12" ht="16.8" x14ac:dyDescent="0.3">
      <c r="C70" s="98" t="s">
        <v>912</v>
      </c>
      <c r="F70" s="21" t="str">
        <v>Mar - 195895049</v>
      </c>
      <c r="G70" s="21"/>
      <c r="H70" s="21" t="s">
        <v>964</v>
      </c>
      <c r="J70" s="21"/>
      <c r="K70" s="21"/>
      <c r="L70" s="21"/>
    </row>
    <row r="71" spans="3:12" ht="16.8" x14ac:dyDescent="0.3">
      <c r="C71" s="98" t="s">
        <v>914</v>
      </c>
      <c r="F71" s="21" t="str">
        <v>Jan - 938560385</v>
      </c>
      <c r="G71" s="21"/>
      <c r="H71" s="21"/>
      <c r="I71" s="21"/>
      <c r="J71" s="21"/>
      <c r="K71" s="21"/>
      <c r="L71" s="21"/>
    </row>
    <row r="72" spans="3:12" ht="16.8" x14ac:dyDescent="0.3">
      <c r="C72" s="98" t="s">
        <v>915</v>
      </c>
      <c r="F72" s="21" t="str">
        <v>Dec - 839948573</v>
      </c>
      <c r="G72" s="21"/>
      <c r="H72" s="21"/>
      <c r="I72" s="21"/>
      <c r="J72" s="21"/>
      <c r="K72" s="21"/>
      <c r="L72" s="21"/>
    </row>
    <row r="73" spans="3:12" ht="16.8" x14ac:dyDescent="0.3">
      <c r="F73" s="21"/>
    </row>
    <row r="77" spans="3:12" ht="16.8" x14ac:dyDescent="0.3">
      <c r="C77" s="21" t="s">
        <v>971</v>
      </c>
    </row>
    <row r="79" spans="3:12" ht="16.8" x14ac:dyDescent="0.3">
      <c r="C79" s="98" t="s">
        <v>582</v>
      </c>
      <c r="D79" s="180"/>
      <c r="E79" s="180"/>
      <c r="F79" s="96" t="str" cm="1">
        <f t="array" ref="F79:I79">TRANSPOSE(_xlfn.TEXTAFTER(C79:C82, "-",2))</f>
        <v xml:space="preserve"> Peter H</v>
      </c>
      <c r="G79" s="185" t="str">
        <v xml:space="preserve"> Sarah O</v>
      </c>
      <c r="H79" s="185" t="str">
        <v xml:space="preserve"> James D</v>
      </c>
      <c r="I79" s="185" t="str">
        <v xml:space="preserve"> John H</v>
      </c>
    </row>
    <row r="80" spans="3:12" ht="16.8" x14ac:dyDescent="0.3">
      <c r="C80" s="98" t="s">
        <v>583</v>
      </c>
      <c r="D80" s="180"/>
      <c r="E80" s="180"/>
      <c r="F80" s="21" t="str">
        <f ca="1">_xlfn.FORMULATEXT(F79)</f>
        <v>=TRANSPOSE(TEXTAFTER(C79:C82, "-",2))</v>
      </c>
      <c r="G80" s="21"/>
      <c r="H80" s="21"/>
      <c r="I80" s="21"/>
    </row>
    <row r="81" spans="3:9" ht="16.8" x14ac:dyDescent="0.3">
      <c r="C81" s="98" t="s">
        <v>584</v>
      </c>
      <c r="D81" s="21"/>
      <c r="E81" s="21"/>
      <c r="G81" s="21"/>
      <c r="H81" s="21"/>
      <c r="I81" s="21"/>
    </row>
    <row r="82" spans="3:9" ht="16.8" x14ac:dyDescent="0.3">
      <c r="C82" s="98" t="s">
        <v>595</v>
      </c>
      <c r="F82" s="21"/>
      <c r="G82" s="21"/>
      <c r="H82" s="21"/>
    </row>
    <row r="86" spans="3:9" ht="16.8" x14ac:dyDescent="0.3">
      <c r="F86" s="21"/>
    </row>
    <row r="88" spans="3:9" ht="16.8" x14ac:dyDescent="0.3">
      <c r="C88" s="185" t="s">
        <v>1318</v>
      </c>
    </row>
    <row r="90" spans="3:9" ht="16.8" x14ac:dyDescent="0.3">
      <c r="C90" s="98" t="s">
        <v>1095</v>
      </c>
      <c r="F90" s="192" t="str" cm="1">
        <f t="array" ref="F90:F93">_xlfn.TEXTBEFORE(C90:C93, "-",-1)</f>
        <v xml:space="preserve">Jan - 144995535 - Peter H </v>
      </c>
      <c r="G90" s="185"/>
      <c r="H90" s="21" t="str">
        <f ca="1">_xlfn.FORMULATEXT(F90)</f>
        <v>=TEXTBEFORE(C90:C93, "-",-1)</v>
      </c>
      <c r="I90" s="185"/>
    </row>
    <row r="91" spans="3:9" ht="16.8" x14ac:dyDescent="0.3">
      <c r="C91" s="98" t="s">
        <v>1096</v>
      </c>
      <c r="F91" s="185" t="str">
        <v xml:space="preserve">Mar - 195895049 - Sarah O </v>
      </c>
      <c r="G91" s="185"/>
      <c r="H91" s="185"/>
      <c r="I91" s="185"/>
    </row>
    <row r="92" spans="3:9" ht="16.8" x14ac:dyDescent="0.3">
      <c r="C92" s="98" t="s">
        <v>1097</v>
      </c>
      <c r="F92" s="185" t="str">
        <v xml:space="preserve">Jan - 938560385 - James D </v>
      </c>
      <c r="G92" s="185"/>
      <c r="H92" s="185"/>
      <c r="I92" s="185"/>
    </row>
    <row r="93" spans="3:9" ht="16.8" x14ac:dyDescent="0.3">
      <c r="C93" s="98" t="s">
        <v>1098</v>
      </c>
      <c r="F93" s="185" t="str">
        <v xml:space="preserve">Dec - 839948573 - John H </v>
      </c>
      <c r="G93" s="185"/>
      <c r="H93" s="185"/>
      <c r="I93" s="185"/>
    </row>
    <row r="94" spans="3:9" ht="16.8" x14ac:dyDescent="0.3">
      <c r="F94" s="21"/>
      <c r="G94" s="21"/>
      <c r="H94" s="21"/>
      <c r="I94" s="185"/>
    </row>
    <row r="95" spans="3:9" ht="16.8" x14ac:dyDescent="0.3">
      <c r="F95" s="21"/>
      <c r="G95" s="21"/>
      <c r="H95" s="21"/>
      <c r="I95" s="185"/>
    </row>
    <row r="96" spans="3:9" ht="16.8" x14ac:dyDescent="0.3">
      <c r="F96" s="185"/>
      <c r="G96" s="185"/>
      <c r="H96" s="185"/>
      <c r="I96" s="185"/>
    </row>
    <row r="97" spans="1:15" ht="16.8" x14ac:dyDescent="0.3">
      <c r="C97" s="185" t="s">
        <v>1312</v>
      </c>
      <c r="D97" s="185"/>
      <c r="E97" s="185"/>
      <c r="F97" s="185"/>
      <c r="G97" s="185"/>
      <c r="H97" s="185"/>
      <c r="I97" s="185"/>
      <c r="J97" s="185"/>
    </row>
    <row r="98" spans="1:15" ht="16.8" x14ac:dyDescent="0.3">
      <c r="C98" s="185"/>
      <c r="D98" s="185"/>
      <c r="E98" s="185"/>
      <c r="F98" s="185"/>
      <c r="G98" s="185"/>
      <c r="H98" s="185"/>
      <c r="I98" s="185"/>
      <c r="J98" s="185"/>
    </row>
    <row r="99" spans="1:15" ht="16.8" x14ac:dyDescent="0.3">
      <c r="C99" s="185"/>
      <c r="D99" s="185"/>
      <c r="E99" s="185"/>
      <c r="F99" s="185"/>
      <c r="G99" s="185"/>
      <c r="H99" s="185"/>
      <c r="I99" s="185"/>
      <c r="J99" s="185"/>
    </row>
    <row r="100" spans="1:15" ht="16.8" x14ac:dyDescent="0.3">
      <c r="C100" s="98" t="s">
        <v>991</v>
      </c>
      <c r="D100" s="185"/>
      <c r="E100" s="185"/>
      <c r="F100" s="192" t="str" cm="1">
        <f t="array" ref="F100:F104">_xlfn.TEXTAFTER(C100:C104, {" - ",": ",". "}, -1)</f>
        <v>USA</v>
      </c>
      <c r="G100" s="185"/>
      <c r="H100" s="21" t="str">
        <f ca="1">_xlfn.FORMULATEXT(F100)</f>
        <v>=TEXTAFTER(C100:C104, {" - ",": ",". "}, -1)</v>
      </c>
      <c r="I100" s="185"/>
      <c r="J100" s="185"/>
    </row>
    <row r="101" spans="1:15" ht="16.8" x14ac:dyDescent="0.3">
      <c r="C101" s="98" t="s">
        <v>1099</v>
      </c>
      <c r="D101" s="185"/>
      <c r="E101" s="185"/>
      <c r="F101" s="185" t="str">
        <v>England</v>
      </c>
      <c r="G101" s="185"/>
      <c r="H101" s="185" t="s">
        <v>1319</v>
      </c>
      <c r="I101" s="185"/>
      <c r="J101" s="185"/>
    </row>
    <row r="102" spans="1:15" ht="16.8" x14ac:dyDescent="0.3">
      <c r="C102" s="98" t="s">
        <v>993</v>
      </c>
      <c r="D102" s="185"/>
      <c r="E102" s="185"/>
      <c r="F102" s="185" t="str">
        <v>Canada</v>
      </c>
      <c r="G102" s="185"/>
      <c r="H102" s="185"/>
      <c r="I102" s="185"/>
      <c r="J102" s="185"/>
    </row>
    <row r="103" spans="1:15" ht="16.8" x14ac:dyDescent="0.3">
      <c r="C103" s="98" t="s">
        <v>1100</v>
      </c>
      <c r="D103" s="185"/>
      <c r="E103" s="185"/>
      <c r="F103" s="185" t="str">
        <v>Australia</v>
      </c>
      <c r="G103" s="185"/>
      <c r="H103" s="185"/>
      <c r="I103" s="185"/>
      <c r="J103" s="185"/>
    </row>
    <row r="104" spans="1:15" ht="16.8" x14ac:dyDescent="0.3">
      <c r="C104" s="98" t="s">
        <v>995</v>
      </c>
      <c r="D104" s="185"/>
      <c r="E104" s="185"/>
      <c r="F104" s="185" t="str">
        <v>France</v>
      </c>
      <c r="G104" s="185"/>
      <c r="H104" s="185"/>
      <c r="I104" s="185"/>
      <c r="J104" s="185"/>
    </row>
    <row r="105" spans="1:15" ht="16.8" x14ac:dyDescent="0.3">
      <c r="C105" s="185"/>
      <c r="D105" s="185"/>
      <c r="E105" s="185"/>
      <c r="F105" s="185"/>
      <c r="G105" s="185"/>
      <c r="H105" s="185"/>
      <c r="I105" s="185"/>
      <c r="J105" s="185"/>
    </row>
    <row r="107" spans="1:15" ht="21" x14ac:dyDescent="0.5">
      <c r="A107" s="56"/>
      <c r="B107" s="56" t="s">
        <v>931</v>
      </c>
      <c r="C107" s="56"/>
      <c r="D107" s="56"/>
      <c r="E107" s="56"/>
      <c r="F107" s="56"/>
      <c r="G107" s="56"/>
      <c r="H107" s="56"/>
      <c r="I107" s="56"/>
      <c r="J107" s="56"/>
      <c r="K107" s="56"/>
      <c r="L107" s="56"/>
      <c r="M107" s="56"/>
      <c r="N107" s="56"/>
      <c r="O107" s="56"/>
    </row>
    <row r="111" spans="1:15" ht="16.8" x14ac:dyDescent="0.3">
      <c r="C111" s="98" t="s">
        <v>932</v>
      </c>
      <c r="F111" s="96" t="str" cm="1">
        <f t="array" ref="F111:F115">_xlfn.TEXTBEFORE(C111:C115," vs ")</f>
        <v>Tom</v>
      </c>
      <c r="G111" s="21"/>
      <c r="H111" s="21" t="str">
        <f ca="1">_xlfn.FORMULATEXT(F111)</f>
        <v>=TEXTBEFORE(C111:C115," vs ")</v>
      </c>
      <c r="I111" s="21"/>
      <c r="K111" s="21"/>
    </row>
    <row r="112" spans="1:15" ht="16.8" x14ac:dyDescent="0.3">
      <c r="C112" s="98" t="s">
        <v>933</v>
      </c>
      <c r="F112" s="185" t="str">
        <v>Sarah</v>
      </c>
      <c r="G112" s="21"/>
      <c r="H112" s="21" t="s">
        <v>965</v>
      </c>
      <c r="I112" s="21"/>
      <c r="J112" s="21"/>
      <c r="K112" s="21"/>
    </row>
    <row r="113" spans="3:11" ht="16.8" x14ac:dyDescent="0.3">
      <c r="C113" s="98" t="s">
        <v>935</v>
      </c>
      <c r="F113" s="185" t="e">
        <v>#N/A</v>
      </c>
      <c r="G113" s="21"/>
      <c r="H113" s="21" t="s">
        <v>966</v>
      </c>
      <c r="I113" s="21"/>
      <c r="J113" s="21"/>
      <c r="K113" s="21"/>
    </row>
    <row r="114" spans="3:11" ht="16.8" x14ac:dyDescent="0.3">
      <c r="C114" s="98" t="s">
        <v>967</v>
      </c>
      <c r="F114" s="185" t="str">
        <v>Susan</v>
      </c>
      <c r="G114" s="21"/>
      <c r="H114" s="21"/>
      <c r="I114" s="21"/>
      <c r="J114" s="21"/>
      <c r="K114" s="21"/>
    </row>
    <row r="115" spans="3:11" ht="16.8" x14ac:dyDescent="0.3">
      <c r="C115" s="98" t="s">
        <v>1093</v>
      </c>
      <c r="F115" s="185" t="e">
        <v>#N/A</v>
      </c>
      <c r="G115" s="21"/>
      <c r="H115" s="21"/>
      <c r="I115" s="21"/>
      <c r="J115" s="21"/>
      <c r="K115" s="21"/>
    </row>
    <row r="116" spans="3:11" ht="16.8" x14ac:dyDescent="0.3">
      <c r="F116" s="21"/>
      <c r="G116" s="21"/>
      <c r="H116" s="21"/>
      <c r="I116" s="21"/>
      <c r="J116" s="21"/>
      <c r="K116" s="21"/>
    </row>
    <row r="117" spans="3:11" ht="16.8" x14ac:dyDescent="0.3">
      <c r="F117" s="21"/>
      <c r="G117" s="21"/>
      <c r="H117" s="21"/>
      <c r="I117" s="21"/>
      <c r="J117" s="21"/>
      <c r="K117" s="21"/>
    </row>
    <row r="118" spans="3:11" ht="16.8" x14ac:dyDescent="0.3">
      <c r="F118" s="96" t="str" cm="1">
        <f t="array" ref="F118:F122">_xlfn.TEXTBEFORE(C111:C115," vs ",,1)</f>
        <v>Tom</v>
      </c>
      <c r="G118" s="21"/>
      <c r="H118" s="21" t="str">
        <f ca="1">_xlfn.FORMULATEXT(F118)</f>
        <v>=TEXTBEFORE(C111:C115," vs ",,1)</v>
      </c>
      <c r="I118" s="21"/>
      <c r="J118" s="21"/>
      <c r="K118" s="21"/>
    </row>
    <row r="119" spans="3:11" ht="16.8" x14ac:dyDescent="0.3">
      <c r="F119" s="185" t="str">
        <v>Sarah</v>
      </c>
      <c r="G119" s="21"/>
      <c r="H119" s="21" t="s">
        <v>1094</v>
      </c>
      <c r="I119" s="21"/>
      <c r="J119" s="21"/>
      <c r="K119" s="21"/>
    </row>
    <row r="120" spans="3:11" ht="16.8" x14ac:dyDescent="0.3">
      <c r="F120" s="185" t="str">
        <v>Adam</v>
      </c>
      <c r="G120" s="21"/>
      <c r="H120" s="21"/>
      <c r="I120" s="21"/>
      <c r="J120" s="21"/>
      <c r="K120" s="21"/>
    </row>
    <row r="121" spans="3:11" ht="16.8" x14ac:dyDescent="0.3">
      <c r="F121" s="185" t="str">
        <v>Susan</v>
      </c>
      <c r="G121" s="21"/>
      <c r="H121" s="21"/>
      <c r="I121" s="21"/>
      <c r="J121" s="21"/>
      <c r="K121" s="21"/>
    </row>
    <row r="122" spans="3:11" ht="16.8" x14ac:dyDescent="0.3">
      <c r="F122" s="185" t="str">
        <v>richard</v>
      </c>
      <c r="G122" s="21"/>
      <c r="H122" s="21"/>
      <c r="I122" s="21"/>
      <c r="J122" s="21"/>
      <c r="K122" s="21"/>
    </row>
    <row r="123" spans="3:11" ht="16.8" x14ac:dyDescent="0.3">
      <c r="F123" s="21"/>
      <c r="G123" s="21"/>
      <c r="H123" s="21"/>
      <c r="I123" s="21"/>
      <c r="J123" s="21"/>
      <c r="K123" s="21"/>
    </row>
    <row r="124" spans="3:11" ht="16.8" x14ac:dyDescent="0.3">
      <c r="F124" s="21"/>
      <c r="G124" s="21"/>
      <c r="H124" s="21"/>
      <c r="I124" s="21"/>
      <c r="J124" s="21"/>
      <c r="K124" s="21"/>
    </row>
    <row r="125" spans="3:11" ht="16.8" x14ac:dyDescent="0.3">
      <c r="F125" s="96" t="str" cm="1">
        <f t="array" ref="F125:F129">PROPER(_xlfn.TEXTBEFORE(C111:C115," vs ",,1))</f>
        <v>Tom</v>
      </c>
      <c r="G125" s="21"/>
      <c r="H125" s="21" t="str">
        <f ca="1">_xlfn.FORMULATEXT(F125)</f>
        <v>=PROPER(TEXTBEFORE(C111:C115," vs ",,1))</v>
      </c>
      <c r="I125" s="21"/>
      <c r="J125" s="21"/>
      <c r="K125" s="21"/>
    </row>
    <row r="126" spans="3:11" ht="16.8" x14ac:dyDescent="0.3">
      <c r="F126" s="185" t="str">
        <v>Sarah</v>
      </c>
      <c r="G126" s="21"/>
      <c r="H126" s="21" t="s">
        <v>1320</v>
      </c>
      <c r="I126" s="21"/>
      <c r="J126" s="21"/>
      <c r="K126" s="21"/>
    </row>
    <row r="127" spans="3:11" ht="16.8" x14ac:dyDescent="0.3">
      <c r="F127" s="185" t="str">
        <v>Adam</v>
      </c>
      <c r="G127" s="21"/>
      <c r="H127" s="21"/>
      <c r="I127" s="21"/>
      <c r="J127" s="21"/>
      <c r="K127" s="21"/>
    </row>
    <row r="128" spans="3:11" ht="16.8" x14ac:dyDescent="0.3">
      <c r="F128" s="185" t="str">
        <v>Susan</v>
      </c>
      <c r="G128" s="21"/>
      <c r="H128" s="21"/>
      <c r="I128" s="21"/>
      <c r="J128" s="21"/>
      <c r="K128" s="21"/>
    </row>
    <row r="129" spans="1:15" ht="16.8" x14ac:dyDescent="0.3">
      <c r="F129" s="185" t="str">
        <v>Richard</v>
      </c>
      <c r="G129" s="21"/>
      <c r="H129" s="21"/>
    </row>
    <row r="130" spans="1:15" ht="16.8" x14ac:dyDescent="0.3">
      <c r="F130" s="21"/>
      <c r="G130" s="21"/>
      <c r="H130" s="21"/>
    </row>
    <row r="131" spans="1:15" ht="16.8" x14ac:dyDescent="0.3">
      <c r="F131" s="185"/>
    </row>
    <row r="132" spans="1:15" ht="16.8" x14ac:dyDescent="0.3">
      <c r="F132" s="185"/>
    </row>
    <row r="133" spans="1:15" ht="21" x14ac:dyDescent="0.5">
      <c r="A133" s="56"/>
      <c r="B133" s="56" t="s">
        <v>10</v>
      </c>
      <c r="C133" s="56"/>
      <c r="D133" s="56"/>
      <c r="E133" s="56"/>
      <c r="F133" s="56"/>
      <c r="G133" s="56"/>
      <c r="H133" s="56"/>
      <c r="I133" s="56"/>
      <c r="J133" s="56"/>
      <c r="K133" s="56"/>
      <c r="L133" s="56"/>
      <c r="M133" s="56"/>
      <c r="N133" s="56"/>
      <c r="O133" s="56"/>
    </row>
    <row r="134" spans="1:15" ht="19.05" customHeight="1" x14ac:dyDescent="0.25"/>
    <row r="135" spans="1:15" ht="19.05" customHeight="1" x14ac:dyDescent="0.3">
      <c r="B135" s="190">
        <v>1</v>
      </c>
      <c r="C135" s="190" t="s">
        <v>1101</v>
      </c>
      <c r="D135" s="185"/>
    </row>
    <row r="136" spans="1:15" ht="19.05" customHeight="1" x14ac:dyDescent="0.3">
      <c r="C136" s="185" t="s">
        <v>1102</v>
      </c>
      <c r="D136" s="185"/>
    </row>
    <row r="137" spans="1:15" ht="19.05" customHeight="1" x14ac:dyDescent="0.3">
      <c r="C137" s="185"/>
      <c r="D137" s="185"/>
    </row>
    <row r="138" spans="1:15" ht="19.05" customHeight="1" x14ac:dyDescent="0.3">
      <c r="C138" s="128" t="s">
        <v>973</v>
      </c>
      <c r="F138" s="192"/>
      <c r="G138" s="185"/>
      <c r="H138" s="185"/>
      <c r="I138" s="185"/>
      <c r="J138" s="185"/>
    </row>
    <row r="139" spans="1:15" ht="19.05" customHeight="1" x14ac:dyDescent="0.3">
      <c r="C139" s="128" t="s">
        <v>974</v>
      </c>
      <c r="F139" s="185"/>
      <c r="G139" s="185"/>
      <c r="H139" s="185"/>
      <c r="I139" s="185"/>
      <c r="J139" s="185"/>
    </row>
    <row r="140" spans="1:15" ht="19.05" customHeight="1" x14ac:dyDescent="0.3">
      <c r="C140" s="128" t="s">
        <v>975</v>
      </c>
      <c r="F140" s="185"/>
      <c r="G140" s="185"/>
      <c r="H140" s="185"/>
      <c r="I140" s="185"/>
      <c r="J140" s="185"/>
    </row>
    <row r="141" spans="1:15" ht="19.05" customHeight="1" x14ac:dyDescent="0.3">
      <c r="C141" s="128" t="s">
        <v>976</v>
      </c>
      <c r="F141" s="185"/>
      <c r="G141" s="185"/>
      <c r="H141" s="185"/>
      <c r="I141" s="185"/>
      <c r="J141" s="185"/>
    </row>
    <row r="142" spans="1:15" ht="19.05" customHeight="1" x14ac:dyDescent="0.3">
      <c r="C142" s="128" t="s">
        <v>977</v>
      </c>
      <c r="F142" s="185"/>
      <c r="G142" s="185"/>
      <c r="H142" s="185"/>
      <c r="I142" s="185"/>
      <c r="J142" s="185"/>
    </row>
    <row r="143" spans="1:15" ht="19.05" customHeight="1" x14ac:dyDescent="0.3">
      <c r="C143" s="128" t="s">
        <v>978</v>
      </c>
      <c r="F143" s="185"/>
      <c r="G143" s="185"/>
      <c r="H143" s="185"/>
      <c r="I143" s="185"/>
      <c r="J143" s="185"/>
    </row>
    <row r="144" spans="1:15" ht="19.05" customHeight="1" x14ac:dyDescent="0.3">
      <c r="C144" s="128" t="s">
        <v>979</v>
      </c>
      <c r="F144" s="185"/>
      <c r="G144" s="185"/>
      <c r="H144" s="185"/>
      <c r="I144" s="185"/>
      <c r="J144" s="185"/>
    </row>
    <row r="145" spans="1:15" ht="19.05" customHeight="1" x14ac:dyDescent="0.3">
      <c r="F145" s="185"/>
      <c r="G145" s="185"/>
      <c r="H145" s="185"/>
      <c r="I145" s="185"/>
      <c r="J145" s="185"/>
    </row>
    <row r="146" spans="1:15" ht="19.05" customHeight="1" x14ac:dyDescent="0.3">
      <c r="F146" s="185"/>
      <c r="G146" s="185"/>
      <c r="H146" s="185"/>
      <c r="I146" s="185"/>
      <c r="J146" s="185"/>
    </row>
    <row r="147" spans="1:15" ht="19.05" customHeight="1" x14ac:dyDescent="0.3">
      <c r="B147" s="190">
        <v>2</v>
      </c>
      <c r="C147" s="190" t="s">
        <v>1104</v>
      </c>
      <c r="D147" s="185"/>
      <c r="E147" s="185"/>
      <c r="F147" s="185"/>
      <c r="G147" s="185"/>
      <c r="H147" s="185"/>
      <c r="I147" s="185"/>
      <c r="J147" s="185"/>
    </row>
    <row r="148" spans="1:15" ht="19.05" customHeight="1" x14ac:dyDescent="0.3">
      <c r="B148" s="185"/>
      <c r="C148" s="185"/>
      <c r="D148" s="185"/>
      <c r="E148" s="185"/>
      <c r="F148" s="185"/>
      <c r="G148" s="185"/>
      <c r="H148" s="185"/>
      <c r="I148" s="185"/>
      <c r="J148" s="185"/>
    </row>
    <row r="149" spans="1:15" ht="19.05" customHeight="1" x14ac:dyDescent="0.3">
      <c r="C149" s="98" t="s">
        <v>642</v>
      </c>
      <c r="F149" s="192"/>
      <c r="G149" s="185"/>
      <c r="H149" s="185"/>
      <c r="I149" s="185"/>
      <c r="J149" s="185"/>
    </row>
    <row r="150" spans="1:15" ht="19.05" customHeight="1" x14ac:dyDescent="0.3">
      <c r="C150" s="98" t="s">
        <v>643</v>
      </c>
      <c r="F150" s="185"/>
      <c r="G150" s="185"/>
      <c r="H150" s="185"/>
      <c r="I150" s="185"/>
      <c r="J150" s="185"/>
    </row>
    <row r="151" spans="1:15" ht="19.05" customHeight="1" x14ac:dyDescent="0.3">
      <c r="C151" s="98" t="s">
        <v>644</v>
      </c>
      <c r="F151" s="185"/>
      <c r="G151" s="185"/>
      <c r="H151" s="185"/>
      <c r="I151" s="185"/>
      <c r="J151" s="185"/>
    </row>
    <row r="152" spans="1:15" ht="19.05" customHeight="1" x14ac:dyDescent="0.3">
      <c r="C152" s="98" t="s">
        <v>645</v>
      </c>
      <c r="F152" s="185"/>
      <c r="G152" s="185"/>
      <c r="H152" s="185"/>
      <c r="I152" s="185"/>
      <c r="J152" s="185"/>
    </row>
    <row r="153" spans="1:15" ht="19.05" customHeight="1" x14ac:dyDescent="0.3">
      <c r="C153" s="98" t="s">
        <v>646</v>
      </c>
      <c r="F153" s="185"/>
      <c r="G153" s="185"/>
      <c r="H153" s="185"/>
      <c r="I153" s="185"/>
      <c r="J153" s="185"/>
    </row>
    <row r="154" spans="1:15" ht="19.05" customHeight="1" x14ac:dyDescent="0.3">
      <c r="F154" s="185"/>
      <c r="G154" s="185"/>
      <c r="H154" s="185"/>
      <c r="I154" s="185"/>
      <c r="J154" s="185"/>
    </row>
    <row r="155" spans="1:15" ht="19.05" customHeight="1" x14ac:dyDescent="0.3">
      <c r="F155" s="185"/>
      <c r="G155" s="185"/>
      <c r="H155" s="185"/>
      <c r="I155" s="185"/>
      <c r="J155" s="185"/>
    </row>
    <row r="156" spans="1:15" ht="19.05" customHeight="1" x14ac:dyDescent="0.3">
      <c r="F156" s="185"/>
      <c r="G156" s="185"/>
      <c r="H156" s="185"/>
      <c r="I156" s="185"/>
      <c r="J156" s="185"/>
    </row>
    <row r="157" spans="1:15" ht="19.05" customHeight="1" x14ac:dyDescent="0.3">
      <c r="F157" s="185"/>
      <c r="G157" s="185"/>
      <c r="H157" s="185"/>
      <c r="I157" s="185"/>
      <c r="J157" s="185"/>
    </row>
    <row r="158" spans="1:15" ht="19.05" customHeight="1" x14ac:dyDescent="0.25"/>
    <row r="159" spans="1:15" ht="21" x14ac:dyDescent="0.5">
      <c r="A159" s="56"/>
      <c r="B159" s="56" t="s">
        <v>9</v>
      </c>
      <c r="C159" s="56"/>
      <c r="D159" s="56"/>
      <c r="E159" s="56"/>
      <c r="F159" s="56"/>
      <c r="G159" s="56"/>
      <c r="H159" s="56"/>
      <c r="I159" s="56"/>
      <c r="J159" s="56"/>
      <c r="K159" s="56"/>
      <c r="L159" s="56"/>
      <c r="M159" s="56"/>
      <c r="N159" s="56"/>
      <c r="O159" s="56"/>
    </row>
    <row r="160" spans="1:15" ht="19.05" customHeight="1" x14ac:dyDescent="0.25"/>
    <row r="161" spans="2:10" ht="19.05" customHeight="1" x14ac:dyDescent="0.3">
      <c r="B161" s="190">
        <v>1</v>
      </c>
      <c r="C161" s="190" t="s">
        <v>1101</v>
      </c>
      <c r="D161" s="185"/>
    </row>
    <row r="162" spans="2:10" ht="19.05" customHeight="1" x14ac:dyDescent="0.3">
      <c r="C162" s="185" t="s">
        <v>1102</v>
      </c>
      <c r="D162" s="185"/>
    </row>
    <row r="163" spans="2:10" ht="19.05" customHeight="1" x14ac:dyDescent="0.3">
      <c r="C163" s="185"/>
      <c r="D163" s="185"/>
    </row>
    <row r="164" spans="2:10" ht="19.05" customHeight="1" x14ac:dyDescent="0.3">
      <c r="C164" s="128" t="s">
        <v>973</v>
      </c>
      <c r="F164" s="192" t="str" cm="1">
        <f t="array" ref="F164:F170">_xlfn.TEXTAFTER(C164:C170, " - ",-1)</f>
        <v>3rd</v>
      </c>
      <c r="G164" s="185"/>
      <c r="H164" s="185"/>
      <c r="I164" s="185"/>
    </row>
    <row r="165" spans="2:10" ht="19.05" customHeight="1" x14ac:dyDescent="0.3">
      <c r="C165" s="128" t="s">
        <v>974</v>
      </c>
      <c r="F165" s="185" t="str">
        <v>9th</v>
      </c>
      <c r="G165" s="185"/>
      <c r="H165" s="185"/>
      <c r="I165" s="185"/>
    </row>
    <row r="166" spans="2:10" ht="19.05" customHeight="1" x14ac:dyDescent="0.3">
      <c r="C166" s="128" t="s">
        <v>975</v>
      </c>
      <c r="F166" s="185" t="str">
        <v>12th</v>
      </c>
      <c r="G166" s="185"/>
      <c r="H166" s="185"/>
      <c r="I166" s="185"/>
    </row>
    <row r="167" spans="2:10" ht="19.05" customHeight="1" x14ac:dyDescent="0.3">
      <c r="C167" s="128" t="s">
        <v>976</v>
      </c>
      <c r="F167" s="185" t="str">
        <v>21st</v>
      </c>
      <c r="G167" s="185"/>
      <c r="H167" s="185"/>
      <c r="I167" s="185"/>
    </row>
    <row r="168" spans="2:10" ht="19.05" customHeight="1" x14ac:dyDescent="0.3">
      <c r="C168" s="128" t="s">
        <v>977</v>
      </c>
      <c r="F168" s="185" t="str">
        <v>7th</v>
      </c>
      <c r="G168" s="185"/>
      <c r="H168" s="185"/>
      <c r="I168" s="185"/>
    </row>
    <row r="169" spans="2:10" ht="19.05" customHeight="1" x14ac:dyDescent="0.3">
      <c r="C169" s="128" t="s">
        <v>978</v>
      </c>
      <c r="F169" s="185" t="str">
        <v>15th</v>
      </c>
      <c r="G169" s="185"/>
      <c r="H169" s="185"/>
      <c r="I169" s="185"/>
    </row>
    <row r="170" spans="2:10" ht="19.05" customHeight="1" x14ac:dyDescent="0.3">
      <c r="C170" s="128" t="s">
        <v>979</v>
      </c>
      <c r="F170" s="185" t="str">
        <v>20th</v>
      </c>
      <c r="G170" s="185"/>
      <c r="H170" s="185"/>
      <c r="I170" s="185"/>
    </row>
    <row r="171" spans="2:10" ht="19.05" customHeight="1" x14ac:dyDescent="0.3">
      <c r="F171" s="185"/>
      <c r="G171" s="185"/>
      <c r="H171" s="185"/>
      <c r="I171" s="185"/>
    </row>
    <row r="172" spans="2:10" ht="19.05" customHeight="1" x14ac:dyDescent="0.3">
      <c r="C172" s="185" t="s">
        <v>1103</v>
      </c>
      <c r="D172" s="185"/>
      <c r="E172" s="185"/>
      <c r="F172" s="185"/>
      <c r="G172" s="185"/>
      <c r="H172" s="185"/>
      <c r="I172" s="185"/>
      <c r="J172" s="185"/>
    </row>
    <row r="173" spans="2:10" ht="19.05" customHeight="1" x14ac:dyDescent="0.3">
      <c r="C173" s="185"/>
      <c r="D173" s="185"/>
      <c r="E173" s="185"/>
      <c r="F173" s="185"/>
      <c r="G173" s="185"/>
      <c r="H173" s="185"/>
      <c r="I173" s="185"/>
      <c r="J173" s="185"/>
    </row>
    <row r="174" spans="2:10" ht="19.05" customHeight="1" x14ac:dyDescent="0.3">
      <c r="B174" s="190">
        <v>2</v>
      </c>
      <c r="C174" s="190" t="s">
        <v>1104</v>
      </c>
      <c r="D174" s="185"/>
      <c r="E174" s="185"/>
      <c r="F174" s="185"/>
      <c r="G174" s="185"/>
      <c r="H174" s="185"/>
      <c r="I174" s="185"/>
      <c r="J174" s="185"/>
    </row>
    <row r="175" spans="2:10" ht="19.05" customHeight="1" x14ac:dyDescent="0.3">
      <c r="B175" s="185"/>
      <c r="C175" s="185"/>
      <c r="D175" s="185"/>
      <c r="E175" s="185"/>
      <c r="F175" s="185"/>
      <c r="G175" s="185"/>
      <c r="H175" s="185"/>
      <c r="I175" s="185"/>
    </row>
    <row r="176" spans="2:10" ht="19.05" customHeight="1" x14ac:dyDescent="0.3">
      <c r="C176" s="98" t="s">
        <v>642</v>
      </c>
      <c r="F176" s="192" t="str" cm="1">
        <f t="array" ref="F176:F180">_xlfn.TEXTBEFORE(C176:C180, " - ")</f>
        <v>John Smith</v>
      </c>
      <c r="G176" s="185"/>
      <c r="H176" s="185"/>
      <c r="I176" s="185"/>
    </row>
    <row r="177" spans="3:9" ht="19.05" customHeight="1" x14ac:dyDescent="0.3">
      <c r="C177" s="98" t="s">
        <v>643</v>
      </c>
      <c r="F177" s="185" t="str">
        <v>Jane West</v>
      </c>
      <c r="G177" s="185"/>
      <c r="H177" s="185"/>
      <c r="I177" s="185"/>
    </row>
    <row r="178" spans="3:9" ht="19.05" customHeight="1" x14ac:dyDescent="0.3">
      <c r="C178" s="98" t="s">
        <v>644</v>
      </c>
      <c r="F178" s="185" t="str">
        <v>Bill Kane</v>
      </c>
      <c r="G178" s="185"/>
      <c r="H178" s="185"/>
      <c r="I178" s="185"/>
    </row>
    <row r="179" spans="3:9" ht="19.05" customHeight="1" x14ac:dyDescent="0.3">
      <c r="C179" s="98" t="s">
        <v>645</v>
      </c>
      <c r="F179" s="185" t="str">
        <v>Sarah Keen</v>
      </c>
      <c r="G179" s="185"/>
      <c r="H179" s="185"/>
      <c r="I179" s="185"/>
    </row>
    <row r="180" spans="3:9" ht="19.05" customHeight="1" x14ac:dyDescent="0.3">
      <c r="C180" s="98" t="s">
        <v>646</v>
      </c>
      <c r="F180" s="185" t="str">
        <v>William Clarkson</v>
      </c>
      <c r="G180" s="185"/>
      <c r="H180" s="185"/>
      <c r="I180" s="185"/>
    </row>
    <row r="181" spans="3:9" ht="19.05" customHeight="1" x14ac:dyDescent="0.3">
      <c r="F181" s="185"/>
      <c r="G181" s="185"/>
      <c r="H181" s="185"/>
      <c r="I181" s="185"/>
    </row>
    <row r="182" spans="3:9" ht="19.05" customHeight="1" x14ac:dyDescent="0.3">
      <c r="F182" s="185"/>
      <c r="G182" s="185"/>
      <c r="H182" s="185"/>
      <c r="I182" s="185"/>
    </row>
    <row r="183" spans="3:9" ht="19.05" customHeight="1" x14ac:dyDescent="0.25"/>
    <row r="184" spans="3:9" ht="19.05" customHeight="1" x14ac:dyDescent="0.25"/>
  </sheetData>
  <printOptions horizontalCentered="1"/>
  <pageMargins left="0.15748031496062992" right="0.15748031496062992" top="0.78740157480314965" bottom="0.78740157480314965" header="0.51181102362204722" footer="0.51181102362204722"/>
  <pageSetup paperSize="9" scale="50" orientation="portrait" r:id="rId1"/>
  <headerFooter alignWithMargins="0">
    <oddFooter xml:space="preserve">&amp;CClarity Consultancy Services Ltd   info@clarityconsultancyservices.co.uk
Registered in the UK (6619745). Registered Office:  Suite 6 Bourne Gate, Bourne Valley Rd, Poole, BH12 1DY
</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84B31-2C17-49DB-8C8B-F51324F55D8A}">
  <sheetPr>
    <tabColor rgb="FF00B0F0"/>
  </sheetPr>
  <dimension ref="A1:G14"/>
  <sheetViews>
    <sheetView showGridLines="0" zoomScaleNormal="100" workbookViewId="0"/>
  </sheetViews>
  <sheetFormatPr defaultColWidth="8.77734375" defaultRowHeight="16.8" x14ac:dyDescent="0.3"/>
  <cols>
    <col min="1" max="2" width="3.6640625" style="21" customWidth="1"/>
    <col min="3" max="26" width="20" style="21" customWidth="1"/>
    <col min="27" max="16384" width="8.77734375" style="21"/>
  </cols>
  <sheetData>
    <row r="1" spans="1:7" s="51" customFormat="1" ht="49.95" customHeight="1" x14ac:dyDescent="0.3">
      <c r="A1" s="49"/>
      <c r="B1" s="50" t="s">
        <v>330</v>
      </c>
      <c r="C1" s="49"/>
      <c r="D1" s="49"/>
      <c r="E1" s="49"/>
    </row>
    <row r="2" spans="1:7" x14ac:dyDescent="0.3">
      <c r="A2" s="117"/>
      <c r="B2" s="117"/>
      <c r="C2" s="117"/>
      <c r="D2" s="117"/>
      <c r="E2" s="117"/>
      <c r="F2" s="117"/>
      <c r="G2" s="118"/>
    </row>
    <row r="4" spans="1:7" x14ac:dyDescent="0.3">
      <c r="B4" s="21">
        <v>1</v>
      </c>
      <c r="C4" s="21" t="s">
        <v>1113</v>
      </c>
    </row>
    <row r="5" spans="1:7" x14ac:dyDescent="0.3">
      <c r="C5" s="21" t="s">
        <v>1114</v>
      </c>
    </row>
    <row r="6" spans="1:7" x14ac:dyDescent="0.3">
      <c r="A6" s="117"/>
    </row>
    <row r="7" spans="1:7" x14ac:dyDescent="0.3">
      <c r="C7" s="98" t="s">
        <v>1105</v>
      </c>
      <c r="E7" s="96"/>
    </row>
    <row r="8" spans="1:7" x14ac:dyDescent="0.3">
      <c r="C8" s="98" t="s">
        <v>1106</v>
      </c>
      <c r="E8" s="96"/>
    </row>
    <row r="9" spans="1:7" x14ac:dyDescent="0.3">
      <c r="C9" s="98" t="s">
        <v>1107</v>
      </c>
      <c r="E9" s="96"/>
    </row>
    <row r="10" spans="1:7" x14ac:dyDescent="0.3">
      <c r="C10" s="98" t="s">
        <v>1108</v>
      </c>
      <c r="E10" s="96"/>
    </row>
    <row r="11" spans="1:7" x14ac:dyDescent="0.3">
      <c r="C11" s="98" t="s">
        <v>1109</v>
      </c>
      <c r="E11" s="96"/>
    </row>
    <row r="12" spans="1:7" x14ac:dyDescent="0.3">
      <c r="C12" s="98" t="s">
        <v>1110</v>
      </c>
      <c r="E12" s="96"/>
    </row>
    <row r="13" spans="1:7" x14ac:dyDescent="0.3">
      <c r="A13" s="117"/>
      <c r="C13" s="98" t="s">
        <v>1111</v>
      </c>
      <c r="E13" s="96"/>
    </row>
    <row r="14" spans="1:7" x14ac:dyDescent="0.3">
      <c r="C14" s="98" t="s">
        <v>1112</v>
      </c>
      <c r="E14" s="9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039EC-63CE-4FFF-BB89-9279AB405C0E}">
  <sheetPr>
    <tabColor rgb="FF002060"/>
  </sheetPr>
  <dimension ref="A1:G14"/>
  <sheetViews>
    <sheetView showGridLines="0" zoomScaleNormal="100" workbookViewId="0"/>
  </sheetViews>
  <sheetFormatPr defaultColWidth="8.77734375" defaultRowHeight="16.8" x14ac:dyDescent="0.3"/>
  <cols>
    <col min="1" max="1" width="3.6640625" style="21" customWidth="1"/>
    <col min="2" max="2" width="3.77734375" style="21" customWidth="1"/>
    <col min="3" max="3" width="21.33203125" style="21" customWidth="1"/>
    <col min="4" max="4" width="21.44140625" style="21" customWidth="1"/>
    <col min="5" max="7" width="14.109375" style="21" customWidth="1"/>
    <col min="8" max="16384" width="8.77734375" style="21"/>
  </cols>
  <sheetData>
    <row r="1" spans="1:7" s="51" customFormat="1" ht="49.95" customHeight="1" x14ac:dyDescent="0.3">
      <c r="A1" s="49"/>
      <c r="B1" s="50" t="s">
        <v>333</v>
      </c>
      <c r="C1" s="49"/>
      <c r="D1" s="49"/>
      <c r="E1" s="49"/>
    </row>
    <row r="2" spans="1:7" x14ac:dyDescent="0.3">
      <c r="A2" s="117"/>
      <c r="B2" s="117"/>
      <c r="C2" s="117"/>
      <c r="D2" s="117"/>
      <c r="E2" s="117"/>
      <c r="F2" s="117"/>
      <c r="G2" s="117"/>
    </row>
    <row r="4" spans="1:7" x14ac:dyDescent="0.3">
      <c r="B4" s="21">
        <v>1</v>
      </c>
      <c r="C4" s="21" t="s">
        <v>1113</v>
      </c>
    </row>
    <row r="5" spans="1:7" x14ac:dyDescent="0.3">
      <c r="C5" s="21" t="s">
        <v>1114</v>
      </c>
    </row>
    <row r="7" spans="1:7" x14ac:dyDescent="0.3">
      <c r="C7" s="98" t="s">
        <v>1105</v>
      </c>
      <c r="E7" s="96" t="str" cm="1">
        <f t="array" ref="E7:G7">_xlfn.TEXTSPLIT(C7, {", "," - ",": ",". "})</f>
        <v>Simon</v>
      </c>
      <c r="F7" s="21" t="str">
        <v>86</v>
      </c>
      <c r="G7" s="21" t="str">
        <v>Very good</v>
      </c>
    </row>
    <row r="8" spans="1:7" x14ac:dyDescent="0.3">
      <c r="C8" s="98" t="s">
        <v>1106</v>
      </c>
      <c r="E8" s="96" t="str" cm="1">
        <f t="array" ref="E8:G8">_xlfn.TEXTSPLIT(C8, {", "," - ",": ",". "})</f>
        <v>Sam</v>
      </c>
      <c r="F8" s="21" t="str">
        <v>86</v>
      </c>
      <c r="G8" s="21" t="str">
        <v>Very Good</v>
      </c>
    </row>
    <row r="9" spans="1:7" x14ac:dyDescent="0.3">
      <c r="C9" s="98" t="s">
        <v>1107</v>
      </c>
      <c r="E9" s="96" t="str" cm="1">
        <f t="array" ref="E9:G9">_xlfn.TEXTSPLIT(C9, {", "," - ",": ",". "})</f>
        <v>Tim</v>
      </c>
      <c r="F9" s="21" t="str">
        <v>60</v>
      </c>
      <c r="G9" s="21" t="str">
        <v>OK</v>
      </c>
    </row>
    <row r="10" spans="1:7" x14ac:dyDescent="0.3">
      <c r="C10" s="98" t="s">
        <v>1108</v>
      </c>
      <c r="E10" s="96" t="str" cm="1">
        <f t="array" ref="E10:G10">_xlfn.TEXTSPLIT(C10, {", "," - ",": ",". "})</f>
        <v>Claire</v>
      </c>
      <c r="F10" s="21" t="str">
        <v>94</v>
      </c>
      <c r="G10" s="21" t="str">
        <v>Excellent</v>
      </c>
    </row>
    <row r="11" spans="1:7" x14ac:dyDescent="0.3">
      <c r="C11" s="98" t="s">
        <v>1109</v>
      </c>
      <c r="E11" s="96" t="str" cm="1">
        <f t="array" ref="E11:G11">_xlfn.TEXTSPLIT(C11, {", "," - ",": ",". "})</f>
        <v>Grace</v>
      </c>
      <c r="F11" s="21" t="str">
        <v>40</v>
      </c>
      <c r="G11" s="21" t="str">
        <v>Fail</v>
      </c>
    </row>
    <row r="12" spans="1:7" x14ac:dyDescent="0.3">
      <c r="C12" s="98" t="s">
        <v>1110</v>
      </c>
      <c r="E12" s="96" t="str" cm="1">
        <f t="array" ref="E12:G12">_xlfn.TEXTSPLIT(C12, {", "," - ",": ",". "})</f>
        <v>Gary</v>
      </c>
      <c r="F12" s="21" t="str">
        <v>60</v>
      </c>
      <c r="G12" s="21" t="str">
        <v>OK</v>
      </c>
    </row>
    <row r="13" spans="1:7" x14ac:dyDescent="0.3">
      <c r="C13" s="98" t="s">
        <v>1111</v>
      </c>
      <c r="E13" s="96" t="str" cm="1">
        <f t="array" ref="E13:G13">_xlfn.TEXTSPLIT(C13, {", "," - ",": ",". "})</f>
        <v>Liam</v>
      </c>
      <c r="F13" s="21" t="str">
        <v>70</v>
      </c>
      <c r="G13" s="21" t="str">
        <v>Good</v>
      </c>
    </row>
    <row r="14" spans="1:7" x14ac:dyDescent="0.3">
      <c r="C14" s="98" t="s">
        <v>1112</v>
      </c>
      <c r="E14" s="96" t="str" cm="1">
        <f t="array" ref="E14:G14">_xlfn.TEXTSPLIT(C14, {", "," - ",": ",". "})</f>
        <v>Greg</v>
      </c>
      <c r="F14" s="21" t="str">
        <v>99</v>
      </c>
      <c r="G14" s="21" t="str">
        <v>Excellent</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Y375"/>
  <sheetViews>
    <sheetView showGridLines="0" tabSelected="1" zoomScaleNormal="100" workbookViewId="0">
      <pane ySplit="1" topLeftCell="A52" activePane="bottomLeft" state="frozen"/>
      <selection activeCell="C8" sqref="C8"/>
      <selection pane="bottomLeft"/>
    </sheetView>
  </sheetViews>
  <sheetFormatPr defaultColWidth="0" defaultRowHeight="16.8" x14ac:dyDescent="0.25"/>
  <cols>
    <col min="1" max="2" width="3.6640625" style="7" customWidth="1"/>
    <col min="3" max="3" width="25.44140625" style="7" customWidth="1"/>
    <col min="4" max="4" width="14.33203125" style="7" customWidth="1"/>
    <col min="5" max="10" width="12.77734375" style="7" customWidth="1"/>
    <col min="11" max="11" width="10.44140625" style="7" customWidth="1"/>
    <col min="12" max="12" width="65.44140625" style="7" customWidth="1"/>
    <col min="13" max="14" width="10.44140625" style="7" customWidth="1"/>
    <col min="15" max="25" width="10.44140625" style="7" hidden="1" customWidth="1"/>
    <col min="26" max="16384" width="8.77734375" style="7" hidden="1"/>
  </cols>
  <sheetData>
    <row r="1" spans="1:14" s="5" customFormat="1" ht="49.95" customHeight="1" x14ac:dyDescent="0.3">
      <c r="A1" s="2"/>
      <c r="B1" s="3" t="s">
        <v>14</v>
      </c>
      <c r="C1" s="2"/>
      <c r="D1" s="2"/>
      <c r="E1" s="2"/>
      <c r="F1" s="4"/>
      <c r="G1" s="4"/>
      <c r="H1" s="4"/>
      <c r="I1" s="4"/>
      <c r="J1" s="4"/>
      <c r="K1" s="4"/>
      <c r="L1" s="4"/>
      <c r="M1" s="4"/>
      <c r="N1" s="4"/>
    </row>
    <row r="2" spans="1:14" s="15" customFormat="1" ht="12" customHeight="1" x14ac:dyDescent="0.3"/>
    <row r="3" spans="1:14" s="15" customFormat="1" ht="21" x14ac:dyDescent="0.5">
      <c r="B3" s="14" t="s">
        <v>15</v>
      </c>
      <c r="C3" s="14"/>
    </row>
    <row r="4" spans="1:14" s="15" customFormat="1" ht="12" customHeight="1" x14ac:dyDescent="0.5">
      <c r="B4" s="14"/>
      <c r="C4" s="14"/>
    </row>
    <row r="5" spans="1:14" s="15" customFormat="1" ht="21" x14ac:dyDescent="0.5">
      <c r="B5" s="14"/>
      <c r="C5" s="14" t="s">
        <v>16</v>
      </c>
    </row>
    <row r="6" spans="1:14" s="15" customFormat="1" ht="21" x14ac:dyDescent="0.5">
      <c r="B6" s="14"/>
      <c r="C6" s="14" t="s">
        <v>17</v>
      </c>
    </row>
    <row r="7" spans="1:14" s="15" customFormat="1" ht="21" x14ac:dyDescent="0.5">
      <c r="B7" s="14"/>
      <c r="C7" s="14" t="s">
        <v>18</v>
      </c>
    </row>
    <row r="8" spans="1:14" s="15" customFormat="1" ht="21" x14ac:dyDescent="0.5">
      <c r="B8" s="14"/>
      <c r="C8" s="14" t="s">
        <v>19</v>
      </c>
    </row>
    <row r="9" spans="1:14" s="15" customFormat="1" ht="21" x14ac:dyDescent="0.5">
      <c r="B9" s="14"/>
      <c r="C9" s="14" t="s">
        <v>20</v>
      </c>
    </row>
    <row r="10" spans="1:14" s="15" customFormat="1" ht="21" x14ac:dyDescent="0.5">
      <c r="B10" s="14"/>
      <c r="C10" s="16" t="s">
        <v>21</v>
      </c>
    </row>
    <row r="11" spans="1:14" s="15" customFormat="1" ht="21" x14ac:dyDescent="0.5">
      <c r="B11" s="14"/>
      <c r="C11" s="14" t="s">
        <v>22</v>
      </c>
    </row>
    <row r="12" spans="1:14" s="15" customFormat="1" ht="12" customHeight="1" x14ac:dyDescent="0.3">
      <c r="D12" s="17"/>
    </row>
    <row r="13" spans="1:14" s="5" customFormat="1" ht="21" x14ac:dyDescent="0.5">
      <c r="A13" s="18"/>
      <c r="B13" s="13" t="s">
        <v>7</v>
      </c>
      <c r="C13" s="18"/>
      <c r="D13" s="18"/>
      <c r="E13" s="18"/>
      <c r="F13" s="19"/>
      <c r="G13" s="19"/>
      <c r="H13" s="19"/>
      <c r="I13" s="19"/>
      <c r="J13" s="19"/>
      <c r="K13" s="19"/>
      <c r="L13" s="19"/>
      <c r="M13" s="19"/>
      <c r="N13" s="19"/>
    </row>
    <row r="14" spans="1:14" s="20" customFormat="1" ht="19.95" customHeight="1" x14ac:dyDescent="0.25">
      <c r="C14" s="20" t="s">
        <v>899</v>
      </c>
    </row>
    <row r="15" spans="1:14" s="20" customFormat="1" ht="19.95" customHeight="1" x14ac:dyDescent="0.25">
      <c r="C15" s="20" t="s">
        <v>1132</v>
      </c>
    </row>
    <row r="16" spans="1:14" s="20" customFormat="1" ht="19.95" customHeight="1" x14ac:dyDescent="0.25">
      <c r="C16" s="20" t="s">
        <v>23</v>
      </c>
    </row>
    <row r="17" spans="1:14" s="20" customFormat="1" ht="19.95" customHeight="1" x14ac:dyDescent="0.25">
      <c r="C17" s="20" t="s">
        <v>24</v>
      </c>
    </row>
    <row r="18" spans="1:14" s="20" customFormat="1" ht="19.95" customHeight="1" x14ac:dyDescent="0.25">
      <c r="C18" s="20" t="s">
        <v>25</v>
      </c>
    </row>
    <row r="19" spans="1:14" s="20" customFormat="1" ht="19.95" customHeight="1" x14ac:dyDescent="0.25">
      <c r="C19" s="20" t="s">
        <v>1321</v>
      </c>
    </row>
    <row r="20" spans="1:14" s="20" customFormat="1" ht="19.95" customHeight="1" x14ac:dyDescent="0.25">
      <c r="C20" s="20" t="s">
        <v>1322</v>
      </c>
    </row>
    <row r="21" spans="1:14" s="21" customFormat="1" ht="15.75" customHeight="1" x14ac:dyDescent="0.3"/>
    <row r="22" spans="1:14" s="5" customFormat="1" ht="21" x14ac:dyDescent="0.5">
      <c r="A22" s="18"/>
      <c r="B22" s="13" t="s">
        <v>8</v>
      </c>
      <c r="C22" s="18"/>
      <c r="D22" s="18"/>
      <c r="E22" s="18"/>
      <c r="F22" s="19"/>
      <c r="G22" s="19"/>
      <c r="H22" s="19"/>
      <c r="I22" s="19"/>
      <c r="J22" s="19"/>
      <c r="K22" s="19"/>
      <c r="L22" s="19"/>
      <c r="M22" s="19"/>
      <c r="N22" s="19"/>
    </row>
    <row r="23" spans="1:14" s="21" customFormat="1" ht="15.75" customHeight="1" x14ac:dyDescent="0.3"/>
    <row r="24" spans="1:14" s="21" customFormat="1" ht="19.95" customHeight="1" x14ac:dyDescent="0.3">
      <c r="C24" s="21" t="s">
        <v>26</v>
      </c>
    </row>
    <row r="25" spans="1:14" s="21" customFormat="1" ht="19.95" customHeight="1" x14ac:dyDescent="0.3">
      <c r="C25" s="21" t="s">
        <v>27</v>
      </c>
    </row>
    <row r="26" spans="1:14" s="21" customFormat="1" x14ac:dyDescent="0.3"/>
    <row r="27" spans="1:14" s="21" customFormat="1" x14ac:dyDescent="0.3">
      <c r="C27" s="22" t="s">
        <v>28</v>
      </c>
      <c r="D27" s="22" t="s">
        <v>29</v>
      </c>
    </row>
    <row r="28" spans="1:14" s="21" customFormat="1" x14ac:dyDescent="0.3">
      <c r="C28" s="23" t="s">
        <v>30</v>
      </c>
      <c r="D28" s="24">
        <v>2.75</v>
      </c>
    </row>
    <row r="29" spans="1:14" s="21" customFormat="1" x14ac:dyDescent="0.3">
      <c r="C29" s="23" t="s">
        <v>31</v>
      </c>
      <c r="D29" s="24">
        <v>3</v>
      </c>
    </row>
    <row r="30" spans="1:14" s="21" customFormat="1" x14ac:dyDescent="0.3">
      <c r="C30" s="23" t="s">
        <v>32</v>
      </c>
      <c r="D30" s="24">
        <v>3.25</v>
      </c>
    </row>
    <row r="31" spans="1:14" s="21" customFormat="1" x14ac:dyDescent="0.3">
      <c r="C31" s="23" t="s">
        <v>33</v>
      </c>
      <c r="D31" s="24">
        <v>3.15</v>
      </c>
    </row>
    <row r="32" spans="1:14" s="21" customFormat="1" x14ac:dyDescent="0.3">
      <c r="C32" s="15"/>
      <c r="D32" s="15"/>
    </row>
    <row r="33" spans="1:14" s="21" customFormat="1" x14ac:dyDescent="0.3">
      <c r="C33" s="25" t="s">
        <v>31</v>
      </c>
      <c r="G33" s="26">
        <f>_xlfn.XLOOKUP(C33, C28:C31, D28:D31)</f>
        <v>3</v>
      </c>
      <c r="I33" s="27" t="str">
        <f ca="1">_xlfn.FORMULATEXT(G33)</f>
        <v>=XLOOKUP(C33, C28:C31, D28:D31)</v>
      </c>
    </row>
    <row r="34" spans="1:14" s="21" customFormat="1" x14ac:dyDescent="0.3"/>
    <row r="35" spans="1:14" s="21" customFormat="1" x14ac:dyDescent="0.3">
      <c r="C35" s="28" t="s">
        <v>34</v>
      </c>
    </row>
    <row r="36" spans="1:14" s="21" customFormat="1" x14ac:dyDescent="0.3">
      <c r="C36" s="27" t="s">
        <v>35</v>
      </c>
    </row>
    <row r="37" spans="1:14" s="21" customFormat="1" x14ac:dyDescent="0.3"/>
    <row r="38" spans="1:14" s="21" customFormat="1" x14ac:dyDescent="0.3">
      <c r="C38" s="21" t="s">
        <v>36</v>
      </c>
    </row>
    <row r="39" spans="1:14" s="21" customFormat="1" x14ac:dyDescent="0.3"/>
    <row r="40" spans="1:14" s="21" customFormat="1" x14ac:dyDescent="0.3">
      <c r="C40" s="21" t="s">
        <v>37</v>
      </c>
    </row>
    <row r="41" spans="1:14" s="21" customFormat="1" x14ac:dyDescent="0.3">
      <c r="C41" s="21" t="s">
        <v>38</v>
      </c>
    </row>
    <row r="42" spans="1:14" s="21" customFormat="1" x14ac:dyDescent="0.3">
      <c r="C42" s="21" t="s">
        <v>39</v>
      </c>
    </row>
    <row r="43" spans="1:14" s="21" customFormat="1" x14ac:dyDescent="0.3"/>
    <row r="44" spans="1:14" s="5" customFormat="1" ht="21" x14ac:dyDescent="0.5">
      <c r="A44" s="18"/>
      <c r="B44" s="13" t="s">
        <v>40</v>
      </c>
      <c r="C44" s="18"/>
      <c r="D44" s="18"/>
      <c r="E44" s="18"/>
      <c r="F44" s="19"/>
      <c r="G44" s="19"/>
      <c r="H44" s="19"/>
      <c r="I44" s="19"/>
      <c r="J44" s="19"/>
      <c r="K44" s="19"/>
      <c r="L44" s="19"/>
      <c r="M44" s="19"/>
      <c r="N44" s="19"/>
    </row>
    <row r="45" spans="1:14" s="21" customFormat="1" ht="15.75" customHeight="1" x14ac:dyDescent="0.3"/>
    <row r="46" spans="1:14" s="21" customFormat="1" ht="19.95" customHeight="1" x14ac:dyDescent="0.3">
      <c r="C46" s="228" t="s">
        <v>41</v>
      </c>
    </row>
    <row r="47" spans="1:14" s="21" customFormat="1" ht="19.95" customHeight="1" x14ac:dyDescent="0.3">
      <c r="C47" s="21" t="s">
        <v>42</v>
      </c>
    </row>
    <row r="48" spans="1:14" s="21" customFormat="1" x14ac:dyDescent="0.3"/>
    <row r="49" spans="1:14" s="21" customFormat="1" x14ac:dyDescent="0.3">
      <c r="C49" s="22" t="s">
        <v>28</v>
      </c>
      <c r="D49" s="23" t="s">
        <v>30</v>
      </c>
      <c r="E49" s="23" t="s">
        <v>31</v>
      </c>
      <c r="F49" s="23" t="s">
        <v>32</v>
      </c>
      <c r="G49" s="23" t="s">
        <v>33</v>
      </c>
    </row>
    <row r="50" spans="1:14" s="21" customFormat="1" x14ac:dyDescent="0.3">
      <c r="C50" s="22" t="s">
        <v>29</v>
      </c>
      <c r="D50" s="24">
        <v>2.75</v>
      </c>
      <c r="E50" s="24">
        <v>3</v>
      </c>
      <c r="F50" s="24">
        <v>3.25</v>
      </c>
      <c r="G50" s="24">
        <v>3.15</v>
      </c>
    </row>
    <row r="51" spans="1:14" s="21" customFormat="1" x14ac:dyDescent="0.3"/>
    <row r="52" spans="1:14" s="21" customFormat="1" x14ac:dyDescent="0.3">
      <c r="C52" s="25" t="s">
        <v>31</v>
      </c>
      <c r="G52" s="26">
        <f>_xlfn.XLOOKUP(C52,C49:G49,C50:G50)</f>
        <v>3</v>
      </c>
      <c r="I52" s="27" t="str">
        <f ca="1">_xlfn.FORMULATEXT(G52)</f>
        <v>=XLOOKUP(C52,C49:G49,C50:G50)</v>
      </c>
    </row>
    <row r="53" spans="1:14" s="21" customFormat="1" x14ac:dyDescent="0.3"/>
    <row r="54" spans="1:14" s="21" customFormat="1" x14ac:dyDescent="0.3">
      <c r="C54" s="28" t="s">
        <v>34</v>
      </c>
    </row>
    <row r="55" spans="1:14" s="21" customFormat="1" x14ac:dyDescent="0.3">
      <c r="C55" s="27" t="s">
        <v>43</v>
      </c>
    </row>
    <row r="56" spans="1:14" s="21" customFormat="1" x14ac:dyDescent="0.3"/>
    <row r="57" spans="1:14" s="5" customFormat="1" ht="21" x14ac:dyDescent="0.5">
      <c r="A57" s="18"/>
      <c r="B57" s="13" t="s">
        <v>44</v>
      </c>
      <c r="C57" s="18"/>
      <c r="D57" s="18"/>
      <c r="E57" s="18"/>
      <c r="F57" s="19"/>
      <c r="G57" s="19"/>
      <c r="H57" s="19"/>
      <c r="I57" s="19"/>
      <c r="J57" s="19"/>
      <c r="K57" s="19"/>
      <c r="L57" s="19"/>
      <c r="M57" s="19"/>
      <c r="N57" s="19"/>
    </row>
    <row r="58" spans="1:14" s="21" customFormat="1" ht="15.75" customHeight="1" x14ac:dyDescent="0.3"/>
    <row r="59" spans="1:14" s="21" customFormat="1" ht="19.95" customHeight="1" x14ac:dyDescent="0.3">
      <c r="C59" s="6" t="s">
        <v>45</v>
      </c>
    </row>
    <row r="60" spans="1:14" s="21" customFormat="1" x14ac:dyDescent="0.3"/>
    <row r="61" spans="1:14" s="21" customFormat="1" x14ac:dyDescent="0.3">
      <c r="C61" s="22" t="s">
        <v>28</v>
      </c>
      <c r="D61" s="22" t="s">
        <v>29</v>
      </c>
    </row>
    <row r="62" spans="1:14" s="21" customFormat="1" x14ac:dyDescent="0.3">
      <c r="C62" s="23" t="s">
        <v>30</v>
      </c>
      <c r="D62" s="24">
        <v>2.75</v>
      </c>
    </row>
    <row r="63" spans="1:14" s="21" customFormat="1" x14ac:dyDescent="0.3">
      <c r="C63" s="23" t="s">
        <v>31</v>
      </c>
      <c r="D63" s="24">
        <v>3</v>
      </c>
    </row>
    <row r="64" spans="1:14" s="21" customFormat="1" x14ac:dyDescent="0.3">
      <c r="C64" s="23" t="s">
        <v>32</v>
      </c>
      <c r="D64" s="24">
        <v>3.25</v>
      </c>
    </row>
    <row r="65" spans="3:9" s="21" customFormat="1" x14ac:dyDescent="0.3">
      <c r="C65" s="23" t="s">
        <v>33</v>
      </c>
      <c r="D65" s="24">
        <v>3.15</v>
      </c>
    </row>
    <row r="66" spans="3:9" s="21" customFormat="1" x14ac:dyDescent="0.3">
      <c r="C66" s="15"/>
      <c r="D66" s="15"/>
    </row>
    <row r="67" spans="3:9" s="21" customFormat="1" x14ac:dyDescent="0.3">
      <c r="C67" s="25" t="s">
        <v>46</v>
      </c>
      <c r="G67" s="26" t="e">
        <f>_xlfn.XLOOKUP(C67,C62:C65,D62:D65)</f>
        <v>#N/A</v>
      </c>
      <c r="I67" s="27" t="str">
        <f ca="1">_xlfn.FORMULATEXT(G67)</f>
        <v>=XLOOKUP(C67,C62:C65,D62:D65)</v>
      </c>
    </row>
    <row r="68" spans="3:9" s="21" customFormat="1" x14ac:dyDescent="0.3"/>
    <row r="69" spans="3:9" s="21" customFormat="1" x14ac:dyDescent="0.3">
      <c r="C69" s="28" t="s">
        <v>34</v>
      </c>
    </row>
    <row r="70" spans="3:9" s="21" customFormat="1" x14ac:dyDescent="0.3">
      <c r="C70" s="27" t="s">
        <v>47</v>
      </c>
    </row>
    <row r="71" spans="3:9" s="21" customFormat="1" x14ac:dyDescent="0.3"/>
    <row r="72" spans="3:9" s="21" customFormat="1" x14ac:dyDescent="0.3">
      <c r="C72" s="21" t="s">
        <v>48</v>
      </c>
    </row>
    <row r="73" spans="3:9" s="21" customFormat="1" x14ac:dyDescent="0.3"/>
    <row r="74" spans="3:9" s="21" customFormat="1" x14ac:dyDescent="0.3">
      <c r="C74" s="21" t="s">
        <v>901</v>
      </c>
    </row>
    <row r="75" spans="3:9" s="21" customFormat="1" x14ac:dyDescent="0.3"/>
    <row r="76" spans="3:9" s="21" customFormat="1" x14ac:dyDescent="0.3">
      <c r="C76" s="25" t="s">
        <v>46</v>
      </c>
      <c r="G76" s="26" t="e">
        <f>_xlfn.XLOOKUP(C76,C62:C65,D62:D65)</f>
        <v>#N/A</v>
      </c>
      <c r="I76" s="27" t="str">
        <f ca="1">_xlfn.FORMULATEXT(G76)</f>
        <v>=XLOOKUP(C76,C62:C65,D62:D65)</v>
      </c>
    </row>
    <row r="77" spans="3:9" s="21" customFormat="1" x14ac:dyDescent="0.3"/>
    <row r="78" spans="3:9" s="21" customFormat="1" x14ac:dyDescent="0.3">
      <c r="C78" s="21" t="s">
        <v>49</v>
      </c>
      <c r="G78" s="26" t="str">
        <f>IFERROR(G76,"Not found")</f>
        <v>Not found</v>
      </c>
      <c r="I78" s="27" t="str">
        <f ca="1">_xlfn.FORMULATEXT(G78)</f>
        <v>=IFERROR(G76,"Not found")</v>
      </c>
    </row>
    <row r="79" spans="3:9" s="21" customFormat="1" x14ac:dyDescent="0.3"/>
    <row r="80" spans="3:9" s="21" customFormat="1" x14ac:dyDescent="0.3">
      <c r="C80" s="29" t="s">
        <v>50</v>
      </c>
      <c r="G80" s="26" t="str">
        <f>IFERROR(_xlfn.XLOOKUP(C76,C62:C65,D62:D65),"Not found")</f>
        <v>Not found</v>
      </c>
      <c r="I80" s="27" t="str">
        <f ca="1">_xlfn.FORMULATEXT(G80)</f>
        <v>=IFERROR(XLOOKUP(C76,C62:C65,D62:D65),"Not found")</v>
      </c>
    </row>
    <row r="81" spans="3:9" s="21" customFormat="1" x14ac:dyDescent="0.3"/>
    <row r="82" spans="3:9" s="21" customFormat="1" x14ac:dyDescent="0.3">
      <c r="C82" s="21" t="s">
        <v>900</v>
      </c>
    </row>
    <row r="83" spans="3:9" s="21" customFormat="1" x14ac:dyDescent="0.3"/>
    <row r="84" spans="3:9" s="21" customFormat="1" x14ac:dyDescent="0.3">
      <c r="C84" s="6" t="s">
        <v>51</v>
      </c>
    </row>
    <row r="85" spans="3:9" s="21" customFormat="1" x14ac:dyDescent="0.3"/>
    <row r="86" spans="3:9" s="21" customFormat="1" x14ac:dyDescent="0.3">
      <c r="C86" s="22" t="s">
        <v>28</v>
      </c>
      <c r="D86" s="22" t="s">
        <v>29</v>
      </c>
    </row>
    <row r="87" spans="3:9" s="21" customFormat="1" x14ac:dyDescent="0.3">
      <c r="C87" s="23" t="s">
        <v>30</v>
      </c>
      <c r="D87" s="24">
        <v>2.75</v>
      </c>
    </row>
    <row r="88" spans="3:9" s="21" customFormat="1" x14ac:dyDescent="0.3">
      <c r="C88" s="23" t="s">
        <v>31</v>
      </c>
      <c r="D88" s="24">
        <v>3</v>
      </c>
    </row>
    <row r="89" spans="3:9" s="21" customFormat="1" x14ac:dyDescent="0.3">
      <c r="C89" s="23" t="s">
        <v>32</v>
      </c>
      <c r="D89" s="24">
        <v>3.25</v>
      </c>
    </row>
    <row r="90" spans="3:9" s="21" customFormat="1" x14ac:dyDescent="0.3">
      <c r="C90" s="23" t="s">
        <v>33</v>
      </c>
      <c r="D90" s="24">
        <v>3.15</v>
      </c>
    </row>
    <row r="91" spans="3:9" s="21" customFormat="1" x14ac:dyDescent="0.3">
      <c r="C91" s="15"/>
      <c r="D91" s="15"/>
    </row>
    <row r="92" spans="3:9" s="21" customFormat="1" x14ac:dyDescent="0.3">
      <c r="C92" s="25" t="s">
        <v>46</v>
      </c>
      <c r="G92" s="26" t="str">
        <f>_xlfn.XLOOKUP(C92, C87:C90, D87:D90, "Not found")</f>
        <v>Not found</v>
      </c>
      <c r="I92" s="27" t="str">
        <f ca="1">_xlfn.FORMULATEXT(G92)</f>
        <v>=XLOOKUP(C92, C87:C90, D87:D90, "Not found")</v>
      </c>
    </row>
    <row r="93" spans="3:9" s="21" customFormat="1" x14ac:dyDescent="0.3"/>
    <row r="94" spans="3:9" s="21" customFormat="1" x14ac:dyDescent="0.3">
      <c r="C94" s="28" t="s">
        <v>34</v>
      </c>
    </row>
    <row r="95" spans="3:9" s="21" customFormat="1" x14ac:dyDescent="0.3">
      <c r="C95" s="27" t="s">
        <v>52</v>
      </c>
    </row>
    <row r="96" spans="3:9" s="21" customFormat="1" x14ac:dyDescent="0.3"/>
    <row r="97" spans="1:14" s="5" customFormat="1" ht="21" x14ac:dyDescent="0.5">
      <c r="A97" s="18"/>
      <c r="B97" s="13" t="s">
        <v>53</v>
      </c>
      <c r="C97" s="18"/>
      <c r="D97" s="18"/>
      <c r="E97" s="18"/>
      <c r="F97" s="19"/>
      <c r="G97" s="19"/>
      <c r="H97" s="19"/>
      <c r="I97" s="19"/>
      <c r="J97" s="19"/>
      <c r="K97" s="19"/>
      <c r="L97" s="19"/>
      <c r="M97" s="19"/>
      <c r="N97" s="19"/>
    </row>
    <row r="98" spans="1:14" s="21" customFormat="1" x14ac:dyDescent="0.3"/>
    <row r="99" spans="1:14" s="21" customFormat="1" x14ac:dyDescent="0.3">
      <c r="C99" s="21" t="s">
        <v>54</v>
      </c>
    </row>
    <row r="100" spans="1:14" s="21" customFormat="1" x14ac:dyDescent="0.3"/>
    <row r="101" spans="1:14" s="21" customFormat="1" x14ac:dyDescent="0.3">
      <c r="C101" s="21" t="s">
        <v>55</v>
      </c>
    </row>
    <row r="102" spans="1:14" s="21" customFormat="1" x14ac:dyDescent="0.3"/>
    <row r="103" spans="1:14" s="21" customFormat="1" x14ac:dyDescent="0.3">
      <c r="C103" s="22" t="s">
        <v>56</v>
      </c>
      <c r="D103" s="22" t="s">
        <v>57</v>
      </c>
    </row>
    <row r="104" spans="1:14" s="21" customFormat="1" x14ac:dyDescent="0.3">
      <c r="C104" s="30" t="s">
        <v>58</v>
      </c>
      <c r="D104" s="31" t="s">
        <v>59</v>
      </c>
    </row>
    <row r="105" spans="1:14" s="21" customFormat="1" x14ac:dyDescent="0.3">
      <c r="C105" s="30" t="s">
        <v>60</v>
      </c>
      <c r="D105" s="31">
        <v>-1</v>
      </c>
    </row>
    <row r="106" spans="1:14" s="21" customFormat="1" ht="16.5" customHeight="1" x14ac:dyDescent="0.3">
      <c r="C106" s="30" t="s">
        <v>61</v>
      </c>
      <c r="D106" s="31">
        <v>1</v>
      </c>
    </row>
    <row r="107" spans="1:14" s="21" customFormat="1" x14ac:dyDescent="0.3">
      <c r="C107" s="30" t="s">
        <v>62</v>
      </c>
      <c r="D107" s="31">
        <v>2</v>
      </c>
    </row>
    <row r="108" spans="1:14" s="21" customFormat="1" x14ac:dyDescent="0.3"/>
    <row r="109" spans="1:14" s="21" customFormat="1" x14ac:dyDescent="0.3">
      <c r="C109" s="21" t="s">
        <v>63</v>
      </c>
    </row>
    <row r="110" spans="1:14" s="21" customFormat="1" x14ac:dyDescent="0.3"/>
    <row r="111" spans="1:14" s="21" customFormat="1" x14ac:dyDescent="0.3">
      <c r="C111" s="32" t="s">
        <v>64</v>
      </c>
    </row>
    <row r="112" spans="1:14" s="21" customFormat="1" x14ac:dyDescent="0.3"/>
    <row r="113" spans="3:9" s="21" customFormat="1" x14ac:dyDescent="0.3">
      <c r="C113" s="22" t="s">
        <v>28</v>
      </c>
      <c r="D113" s="22" t="s">
        <v>29</v>
      </c>
    </row>
    <row r="114" spans="3:9" s="21" customFormat="1" x14ac:dyDescent="0.3">
      <c r="C114" s="23" t="s">
        <v>30</v>
      </c>
      <c r="D114" s="24">
        <v>2.75</v>
      </c>
    </row>
    <row r="115" spans="3:9" s="21" customFormat="1" x14ac:dyDescent="0.3">
      <c r="C115" s="23" t="s">
        <v>31</v>
      </c>
      <c r="D115" s="24">
        <v>3</v>
      </c>
    </row>
    <row r="116" spans="3:9" s="21" customFormat="1" x14ac:dyDescent="0.3">
      <c r="C116" s="23" t="s">
        <v>32</v>
      </c>
      <c r="D116" s="24">
        <v>3.25</v>
      </c>
    </row>
    <row r="117" spans="3:9" s="21" customFormat="1" x14ac:dyDescent="0.3">
      <c r="C117" s="23" t="s">
        <v>33</v>
      </c>
      <c r="D117" s="24">
        <v>3.15</v>
      </c>
    </row>
    <row r="118" spans="3:9" s="21" customFormat="1" x14ac:dyDescent="0.3">
      <c r="C118" s="15"/>
      <c r="D118" s="15"/>
    </row>
    <row r="119" spans="3:9" s="21" customFormat="1" x14ac:dyDescent="0.3">
      <c r="C119" s="25" t="s">
        <v>31</v>
      </c>
      <c r="G119" s="26">
        <f>_xlfn.XLOOKUP(C119, C114:C117, D114:D117, "Not found", 0)</f>
        <v>3</v>
      </c>
      <c r="I119" s="27" t="str">
        <f ca="1">_xlfn.FORMULATEXT(G119)</f>
        <v>=XLOOKUP(C119, C114:C117, D114:D117, "Not found", 0)</v>
      </c>
    </row>
    <row r="120" spans="3:9" s="21" customFormat="1" x14ac:dyDescent="0.3"/>
    <row r="121" spans="3:9" s="21" customFormat="1" x14ac:dyDescent="0.3">
      <c r="C121" s="28" t="s">
        <v>34</v>
      </c>
    </row>
    <row r="122" spans="3:9" s="21" customFormat="1" x14ac:dyDescent="0.3">
      <c r="C122" s="27" t="s">
        <v>65</v>
      </c>
    </row>
    <row r="123" spans="3:9" s="21" customFormat="1" x14ac:dyDescent="0.3"/>
    <row r="124" spans="3:9" s="21" customFormat="1" x14ac:dyDescent="0.3"/>
    <row r="125" spans="3:9" s="21" customFormat="1" x14ac:dyDescent="0.3">
      <c r="C125" s="32" t="s">
        <v>66</v>
      </c>
    </row>
    <row r="126" spans="3:9" s="21" customFormat="1" x14ac:dyDescent="0.3"/>
    <row r="127" spans="3:9" s="21" customFormat="1" x14ac:dyDescent="0.3">
      <c r="C127" s="21" t="s">
        <v>67</v>
      </c>
    </row>
    <row r="128" spans="3:9" s="21" customFormat="1" x14ac:dyDescent="0.3"/>
    <row r="129" spans="3:9" s="21" customFormat="1" x14ac:dyDescent="0.3">
      <c r="C129" s="22" t="s">
        <v>68</v>
      </c>
      <c r="D129" s="22" t="s">
        <v>69</v>
      </c>
    </row>
    <row r="130" spans="3:9" s="21" customFormat="1" x14ac:dyDescent="0.3">
      <c r="C130" s="33">
        <v>0</v>
      </c>
      <c r="D130" s="33" t="s">
        <v>70</v>
      </c>
    </row>
    <row r="131" spans="3:9" s="21" customFormat="1" x14ac:dyDescent="0.3">
      <c r="C131" s="33">
        <v>10</v>
      </c>
      <c r="D131" s="33" t="s">
        <v>71</v>
      </c>
    </row>
    <row r="132" spans="3:9" s="21" customFormat="1" x14ac:dyDescent="0.3">
      <c r="C132" s="33">
        <v>20</v>
      </c>
      <c r="D132" s="33" t="s">
        <v>72</v>
      </c>
    </row>
    <row r="133" spans="3:9" s="21" customFormat="1" x14ac:dyDescent="0.3">
      <c r="C133" s="33">
        <v>30</v>
      </c>
      <c r="D133" s="33" t="s">
        <v>73</v>
      </c>
    </row>
    <row r="134" spans="3:9" s="21" customFormat="1" x14ac:dyDescent="0.3">
      <c r="C134" s="33">
        <v>40</v>
      </c>
      <c r="D134" s="33" t="s">
        <v>74</v>
      </c>
    </row>
    <row r="135" spans="3:9" s="21" customFormat="1" x14ac:dyDescent="0.3">
      <c r="C135" s="33">
        <v>60</v>
      </c>
      <c r="D135" s="33" t="s">
        <v>75</v>
      </c>
    </row>
    <row r="136" spans="3:9" s="21" customFormat="1" x14ac:dyDescent="0.3"/>
    <row r="137" spans="3:9" s="21" customFormat="1" x14ac:dyDescent="0.3">
      <c r="C137" s="33">
        <v>12</v>
      </c>
      <c r="G137" s="26" t="str">
        <f>_xlfn.XLOOKUP(C137, C130:C135, D130:D135, "Not found", -1)</f>
        <v>10-19</v>
      </c>
      <c r="I137" s="27" t="str">
        <f ca="1">_xlfn.FORMULATEXT(G137)</f>
        <v>=XLOOKUP(C137, C130:C135, D130:D135, "Not found", -1)</v>
      </c>
    </row>
    <row r="138" spans="3:9" s="21" customFormat="1" x14ac:dyDescent="0.3"/>
    <row r="139" spans="3:9" s="21" customFormat="1" x14ac:dyDescent="0.3">
      <c r="C139" s="28" t="s">
        <v>34</v>
      </c>
    </row>
    <row r="140" spans="3:9" s="21" customFormat="1" x14ac:dyDescent="0.3">
      <c r="C140" s="27" t="s">
        <v>76</v>
      </c>
    </row>
    <row r="141" spans="3:9" s="21" customFormat="1" x14ac:dyDescent="0.3"/>
    <row r="142" spans="3:9" s="21" customFormat="1" x14ac:dyDescent="0.3">
      <c r="C142" s="32" t="s">
        <v>77</v>
      </c>
    </row>
    <row r="143" spans="3:9" s="21" customFormat="1" x14ac:dyDescent="0.3"/>
    <row r="144" spans="3:9" s="21" customFormat="1" x14ac:dyDescent="0.3">
      <c r="C144" s="21" t="s">
        <v>67</v>
      </c>
    </row>
    <row r="145" spans="3:9" s="21" customFormat="1" x14ac:dyDescent="0.3"/>
    <row r="146" spans="3:9" s="21" customFormat="1" x14ac:dyDescent="0.3">
      <c r="C146" s="22" t="s">
        <v>68</v>
      </c>
      <c r="D146" s="22" t="s">
        <v>69</v>
      </c>
    </row>
    <row r="147" spans="3:9" s="21" customFormat="1" x14ac:dyDescent="0.3">
      <c r="C147" s="33">
        <v>100</v>
      </c>
      <c r="D147" s="34" t="s">
        <v>78</v>
      </c>
    </row>
    <row r="148" spans="3:9" s="21" customFormat="1" x14ac:dyDescent="0.3">
      <c r="C148" s="33">
        <v>60</v>
      </c>
      <c r="D148" s="33" t="s">
        <v>74</v>
      </c>
    </row>
    <row r="149" spans="3:9" s="21" customFormat="1" x14ac:dyDescent="0.3">
      <c r="C149" s="33">
        <v>40</v>
      </c>
      <c r="D149" s="33" t="s">
        <v>73</v>
      </c>
    </row>
    <row r="150" spans="3:9" s="21" customFormat="1" x14ac:dyDescent="0.3">
      <c r="C150" s="33">
        <v>30</v>
      </c>
      <c r="D150" s="33" t="s">
        <v>72</v>
      </c>
    </row>
    <row r="151" spans="3:9" s="21" customFormat="1" x14ac:dyDescent="0.3">
      <c r="C151" s="33">
        <v>20</v>
      </c>
      <c r="D151" s="33" t="s">
        <v>71</v>
      </c>
    </row>
    <row r="152" spans="3:9" s="21" customFormat="1" x14ac:dyDescent="0.3">
      <c r="C152" s="33">
        <v>10</v>
      </c>
      <c r="D152" s="33" t="s">
        <v>70</v>
      </c>
    </row>
    <row r="153" spans="3:9" s="21" customFormat="1" x14ac:dyDescent="0.3"/>
    <row r="154" spans="3:9" s="21" customFormat="1" x14ac:dyDescent="0.3">
      <c r="C154" s="33">
        <v>12</v>
      </c>
      <c r="G154" s="26" t="str">
        <f>_xlfn.XLOOKUP(C154,C147:C152,D147:D152,"Not found",1)</f>
        <v>10-19</v>
      </c>
      <c r="I154" s="27" t="str">
        <f ca="1">_xlfn.FORMULATEXT(G154)</f>
        <v>=XLOOKUP(C154,C147:C152,D147:D152,"Not found",1)</v>
      </c>
    </row>
    <row r="155" spans="3:9" s="21" customFormat="1" x14ac:dyDescent="0.3"/>
    <row r="156" spans="3:9" s="21" customFormat="1" x14ac:dyDescent="0.3">
      <c r="C156" s="28" t="s">
        <v>34</v>
      </c>
    </row>
    <row r="157" spans="3:9" s="21" customFormat="1" x14ac:dyDescent="0.3">
      <c r="C157" s="27" t="s">
        <v>79</v>
      </c>
    </row>
    <row r="158" spans="3:9" s="21" customFormat="1" x14ac:dyDescent="0.3"/>
    <row r="159" spans="3:9" s="21" customFormat="1" x14ac:dyDescent="0.3">
      <c r="C159" s="32" t="s">
        <v>80</v>
      </c>
    </row>
    <row r="160" spans="3:9" s="21" customFormat="1" x14ac:dyDescent="0.3"/>
    <row r="161" spans="3:9" s="21" customFormat="1" x14ac:dyDescent="0.3">
      <c r="C161" s="21" t="s">
        <v>81</v>
      </c>
    </row>
    <row r="162" spans="3:9" s="21" customFormat="1" x14ac:dyDescent="0.3"/>
    <row r="163" spans="3:9" s="21" customFormat="1" x14ac:dyDescent="0.3">
      <c r="C163" s="29" t="s">
        <v>82</v>
      </c>
    </row>
    <row r="164" spans="3:9" s="21" customFormat="1" x14ac:dyDescent="0.3">
      <c r="C164" s="29" t="s">
        <v>83</v>
      </c>
    </row>
    <row r="165" spans="3:9" s="21" customFormat="1" x14ac:dyDescent="0.3"/>
    <row r="166" spans="3:9" s="21" customFormat="1" x14ac:dyDescent="0.3">
      <c r="C166" s="22" t="s">
        <v>84</v>
      </c>
      <c r="D166" s="22" t="s">
        <v>85</v>
      </c>
    </row>
    <row r="167" spans="3:9" s="21" customFormat="1" x14ac:dyDescent="0.3">
      <c r="C167" s="23" t="s">
        <v>86</v>
      </c>
      <c r="D167" s="35">
        <v>131</v>
      </c>
    </row>
    <row r="168" spans="3:9" s="21" customFormat="1" x14ac:dyDescent="0.3">
      <c r="C168" s="23" t="s">
        <v>87</v>
      </c>
      <c r="D168" s="35">
        <v>397</v>
      </c>
    </row>
    <row r="169" spans="3:9" s="21" customFormat="1" x14ac:dyDescent="0.3">
      <c r="C169" s="23" t="s">
        <v>88</v>
      </c>
      <c r="D169" s="35">
        <v>56</v>
      </c>
    </row>
    <row r="170" spans="3:9" s="21" customFormat="1" x14ac:dyDescent="0.3">
      <c r="C170" s="23" t="s">
        <v>89</v>
      </c>
      <c r="D170" s="35">
        <v>649</v>
      </c>
    </row>
    <row r="171" spans="3:9" s="21" customFormat="1" x14ac:dyDescent="0.3">
      <c r="C171" s="23" t="s">
        <v>90</v>
      </c>
      <c r="D171" s="35">
        <v>253</v>
      </c>
    </row>
    <row r="172" spans="3:9" s="21" customFormat="1" x14ac:dyDescent="0.3">
      <c r="C172" s="23" t="s">
        <v>91</v>
      </c>
      <c r="D172" s="35">
        <v>355</v>
      </c>
    </row>
    <row r="173" spans="3:9" s="21" customFormat="1" x14ac:dyDescent="0.3">
      <c r="C173" s="15"/>
      <c r="D173" s="15"/>
    </row>
    <row r="174" spans="3:9" s="21" customFormat="1" x14ac:dyDescent="0.3">
      <c r="C174" s="21" t="s">
        <v>92</v>
      </c>
      <c r="D174" s="33" t="s">
        <v>93</v>
      </c>
      <c r="G174" s="36">
        <f>_xlfn.XLOOKUP(D174, C167:C172, D167:D172, "Not found", 2)</f>
        <v>253</v>
      </c>
      <c r="I174" s="27" t="str">
        <f ca="1">_xlfn.FORMULATEXT(G174)</f>
        <v>=XLOOKUP(D174, C167:C172, D167:D172, "Not found", 2)</v>
      </c>
    </row>
    <row r="175" spans="3:9" s="21" customFormat="1" x14ac:dyDescent="0.3"/>
    <row r="176" spans="3:9" s="21" customFormat="1" x14ac:dyDescent="0.3">
      <c r="C176" s="21" t="s">
        <v>94</v>
      </c>
      <c r="D176" s="33" t="s">
        <v>95</v>
      </c>
      <c r="G176" s="36">
        <f>_xlfn.XLOOKUP(D176, C167:C172, D167:D172, "Not found", 2)</f>
        <v>131</v>
      </c>
      <c r="I176" s="27" t="str">
        <f ca="1">_xlfn.FORMULATEXT(G176)</f>
        <v>=XLOOKUP(D176, C167:C172, D167:D172, "Not found", 2)</v>
      </c>
    </row>
    <row r="177" spans="1:14" s="21" customFormat="1" x14ac:dyDescent="0.3"/>
    <row r="178" spans="1:14" s="21" customFormat="1" x14ac:dyDescent="0.3">
      <c r="C178" s="21" t="s">
        <v>96</v>
      </c>
      <c r="D178" s="33" t="s">
        <v>97</v>
      </c>
      <c r="G178" s="36">
        <f>_xlfn.XLOOKUP(D178, C167:C172, D167:D172, "Not found", 2)</f>
        <v>131</v>
      </c>
      <c r="I178" s="27" t="str">
        <f ca="1">_xlfn.FORMULATEXT(G178)</f>
        <v>=XLOOKUP(D178, C167:C172, D167:D172, "Not found", 2)</v>
      </c>
    </row>
    <row r="179" spans="1:14" s="21" customFormat="1" x14ac:dyDescent="0.3"/>
    <row r="180" spans="1:14" s="21" customFormat="1" x14ac:dyDescent="0.3">
      <c r="C180" s="21" t="s">
        <v>98</v>
      </c>
      <c r="D180" s="33" t="s">
        <v>99</v>
      </c>
      <c r="G180" s="36">
        <f>_xlfn.XLOOKUP(D180, C167:C172, D167:D172, "Not found", 2)</f>
        <v>649</v>
      </c>
      <c r="I180" s="27" t="str">
        <f ca="1">_xlfn.FORMULATEXT(G180)</f>
        <v>=XLOOKUP(D180, C167:C172, D167:D172, "Not found", 2)</v>
      </c>
    </row>
    <row r="181" spans="1:14" s="21" customFormat="1" x14ac:dyDescent="0.3"/>
    <row r="182" spans="1:14" s="21" customFormat="1" x14ac:dyDescent="0.3">
      <c r="C182" s="21" t="s">
        <v>100</v>
      </c>
      <c r="D182" s="33" t="s">
        <v>101</v>
      </c>
      <c r="G182" s="36">
        <f>_xlfn.XLOOKUP(D182, C167:C172, D167:D172, "Not found", 2)</f>
        <v>131</v>
      </c>
      <c r="I182" s="27" t="str">
        <f ca="1">_xlfn.FORMULATEXT(G182)</f>
        <v>=XLOOKUP(D182, C167:C172, D167:D172, "Not found", 2)</v>
      </c>
    </row>
    <row r="183" spans="1:14" s="21" customFormat="1" x14ac:dyDescent="0.3"/>
    <row r="184" spans="1:14" s="5" customFormat="1" ht="21" x14ac:dyDescent="0.5">
      <c r="A184" s="18"/>
      <c r="B184" s="13" t="s">
        <v>102</v>
      </c>
      <c r="C184" s="18"/>
      <c r="D184" s="18"/>
      <c r="E184" s="18"/>
      <c r="F184" s="19"/>
      <c r="G184" s="19"/>
      <c r="H184" s="19"/>
      <c r="I184" s="19"/>
      <c r="J184" s="19"/>
      <c r="K184" s="19"/>
      <c r="L184" s="19"/>
      <c r="M184" s="19"/>
      <c r="N184" s="19"/>
    </row>
    <row r="185" spans="1:14" s="21" customFormat="1" x14ac:dyDescent="0.3"/>
    <row r="186" spans="1:14" s="21" customFormat="1" x14ac:dyDescent="0.3">
      <c r="C186" s="21" t="s">
        <v>103</v>
      </c>
    </row>
    <row r="187" spans="1:14" s="21" customFormat="1" x14ac:dyDescent="0.3"/>
    <row r="188" spans="1:14" s="21" customFormat="1" x14ac:dyDescent="0.3">
      <c r="C188" s="37" t="s">
        <v>104</v>
      </c>
    </row>
    <row r="189" spans="1:14" s="21" customFormat="1" x14ac:dyDescent="0.3"/>
    <row r="190" spans="1:14" s="21" customFormat="1" x14ac:dyDescent="0.3">
      <c r="C190" s="22" t="s">
        <v>28</v>
      </c>
      <c r="D190" s="22" t="s">
        <v>29</v>
      </c>
    </row>
    <row r="191" spans="1:14" s="21" customFormat="1" x14ac:dyDescent="0.3">
      <c r="C191" s="23" t="s">
        <v>30</v>
      </c>
      <c r="D191" s="24">
        <v>5</v>
      </c>
    </row>
    <row r="192" spans="1:14" s="21" customFormat="1" x14ac:dyDescent="0.3">
      <c r="C192" s="23" t="s">
        <v>31</v>
      </c>
      <c r="D192" s="24">
        <v>3</v>
      </c>
    </row>
    <row r="193" spans="3:9" s="21" customFormat="1" x14ac:dyDescent="0.3">
      <c r="C193" s="23" t="s">
        <v>30</v>
      </c>
      <c r="D193" s="24">
        <v>10</v>
      </c>
    </row>
    <row r="194" spans="3:9" s="21" customFormat="1" x14ac:dyDescent="0.3">
      <c r="C194" s="23" t="s">
        <v>32</v>
      </c>
      <c r="D194" s="24">
        <v>3.25</v>
      </c>
    </row>
    <row r="195" spans="3:9" s="21" customFormat="1" x14ac:dyDescent="0.3">
      <c r="C195" s="23" t="s">
        <v>33</v>
      </c>
      <c r="D195" s="24">
        <v>3.15</v>
      </c>
    </row>
    <row r="196" spans="3:9" s="21" customFormat="1" x14ac:dyDescent="0.3">
      <c r="C196" s="15"/>
      <c r="D196" s="15"/>
    </row>
    <row r="197" spans="3:9" s="21" customFormat="1" x14ac:dyDescent="0.3">
      <c r="C197" s="25" t="s">
        <v>30</v>
      </c>
      <c r="G197" s="26">
        <f>_xlfn.XLOOKUP(C197,C191:C195,D191:D195,"Not found",0,1)</f>
        <v>5</v>
      </c>
      <c r="I197" s="27" t="str">
        <f ca="1">_xlfn.FORMULATEXT(G197)</f>
        <v>=XLOOKUP(C197,C191:C195,D191:D195,"Not found",0,1)</v>
      </c>
    </row>
    <row r="198" spans="3:9" s="21" customFormat="1" x14ac:dyDescent="0.3"/>
    <row r="199" spans="3:9" s="21" customFormat="1" x14ac:dyDescent="0.3">
      <c r="C199" s="28" t="s">
        <v>34</v>
      </c>
    </row>
    <row r="200" spans="3:9" s="21" customFormat="1" x14ac:dyDescent="0.3">
      <c r="C200" s="27" t="s">
        <v>105</v>
      </c>
    </row>
    <row r="201" spans="3:9" s="21" customFormat="1" x14ac:dyDescent="0.3">
      <c r="C201" s="27"/>
    </row>
    <row r="202" spans="3:9" s="21" customFormat="1" x14ac:dyDescent="0.3">
      <c r="C202" s="27"/>
    </row>
    <row r="203" spans="3:9" s="21" customFormat="1" x14ac:dyDescent="0.3">
      <c r="C203" s="37" t="s">
        <v>106</v>
      </c>
    </row>
    <row r="204" spans="3:9" s="21" customFormat="1" x14ac:dyDescent="0.3"/>
    <row r="205" spans="3:9" s="21" customFormat="1" x14ac:dyDescent="0.3">
      <c r="C205" s="22" t="s">
        <v>28</v>
      </c>
      <c r="D205" s="22" t="s">
        <v>29</v>
      </c>
    </row>
    <row r="206" spans="3:9" s="21" customFormat="1" x14ac:dyDescent="0.3">
      <c r="C206" s="23" t="s">
        <v>30</v>
      </c>
      <c r="D206" s="24">
        <v>5</v>
      </c>
    </row>
    <row r="207" spans="3:9" s="21" customFormat="1" x14ac:dyDescent="0.3">
      <c r="C207" s="23" t="s">
        <v>31</v>
      </c>
      <c r="D207" s="24">
        <v>3</v>
      </c>
    </row>
    <row r="208" spans="3:9" s="21" customFormat="1" x14ac:dyDescent="0.3">
      <c r="C208" s="23" t="s">
        <v>30</v>
      </c>
      <c r="D208" s="24">
        <v>10</v>
      </c>
    </row>
    <row r="209" spans="1:14" s="21" customFormat="1" x14ac:dyDescent="0.3">
      <c r="C209" s="23" t="s">
        <v>32</v>
      </c>
      <c r="D209" s="24">
        <v>3.25</v>
      </c>
    </row>
    <row r="210" spans="1:14" s="21" customFormat="1" x14ac:dyDescent="0.3">
      <c r="C210" s="23" t="s">
        <v>33</v>
      </c>
      <c r="D210" s="24">
        <v>3.15</v>
      </c>
    </row>
    <row r="211" spans="1:14" s="21" customFormat="1" x14ac:dyDescent="0.3">
      <c r="C211" s="15"/>
      <c r="D211" s="15"/>
    </row>
    <row r="212" spans="1:14" s="21" customFormat="1" x14ac:dyDescent="0.3">
      <c r="C212" s="25" t="s">
        <v>30</v>
      </c>
      <c r="G212" s="26">
        <f>_xlfn.XLOOKUP(C212,C206:C210,D206:D210,"Not found",0,-1)</f>
        <v>10</v>
      </c>
      <c r="I212" s="27" t="str">
        <f ca="1">_xlfn.FORMULATEXT(G212)</f>
        <v>=XLOOKUP(C212,C206:C210,D206:D210,"Not found",0,-1)</v>
      </c>
    </row>
    <row r="213" spans="1:14" s="21" customFormat="1" x14ac:dyDescent="0.3"/>
    <row r="214" spans="1:14" s="21" customFormat="1" x14ac:dyDescent="0.3">
      <c r="C214" s="28" t="s">
        <v>34</v>
      </c>
    </row>
    <row r="215" spans="1:14" s="21" customFormat="1" x14ac:dyDescent="0.3">
      <c r="C215" s="27" t="s">
        <v>107</v>
      </c>
    </row>
    <row r="216" spans="1:14" s="21" customFormat="1" x14ac:dyDescent="0.3"/>
    <row r="217" spans="1:14" s="21" customFormat="1" x14ac:dyDescent="0.3">
      <c r="C217" s="21" t="s">
        <v>1220</v>
      </c>
    </row>
    <row r="218" spans="1:14" s="21" customFormat="1" x14ac:dyDescent="0.3"/>
    <row r="219" spans="1:14" s="21" customFormat="1" x14ac:dyDescent="0.3"/>
    <row r="220" spans="1:14" s="5" customFormat="1" ht="21" x14ac:dyDescent="0.5">
      <c r="A220" s="18"/>
      <c r="B220" s="13" t="s">
        <v>108</v>
      </c>
      <c r="C220" s="18"/>
      <c r="D220" s="18"/>
      <c r="E220" s="18"/>
      <c r="F220" s="19"/>
      <c r="G220" s="19"/>
      <c r="H220" s="19"/>
      <c r="I220" s="19"/>
      <c r="J220" s="19"/>
      <c r="K220" s="19"/>
      <c r="L220" s="19"/>
      <c r="M220" s="19"/>
      <c r="N220" s="19"/>
    </row>
    <row r="221" spans="1:14" s="21" customFormat="1" x14ac:dyDescent="0.3"/>
    <row r="222" spans="1:14" s="21" customFormat="1" x14ac:dyDescent="0.3">
      <c r="C222" s="27" t="s">
        <v>109</v>
      </c>
    </row>
    <row r="223" spans="1:14" s="39" customFormat="1" ht="19.95" customHeight="1" x14ac:dyDescent="0.3">
      <c r="A223" s="38"/>
      <c r="B223" s="38"/>
      <c r="C223" s="27"/>
      <c r="D223" s="38"/>
      <c r="E223" s="38"/>
      <c r="F223" s="38"/>
      <c r="G223" s="38"/>
      <c r="H223" s="38"/>
      <c r="I223" s="38"/>
      <c r="J223" s="38"/>
    </row>
    <row r="224" spans="1:14" s="39" customFormat="1" ht="19.95" customHeight="1" x14ac:dyDescent="0.3">
      <c r="A224" s="38"/>
      <c r="B224" s="38"/>
      <c r="C224" s="138" t="s">
        <v>1221</v>
      </c>
      <c r="D224" s="38"/>
      <c r="E224" s="38"/>
      <c r="F224" s="38"/>
      <c r="G224" s="38"/>
      <c r="H224" s="38"/>
      <c r="I224" s="38"/>
      <c r="J224" s="38"/>
    </row>
    <row r="225" spans="3:9" s="21" customFormat="1" x14ac:dyDescent="0.3">
      <c r="C225" s="27" t="s">
        <v>110</v>
      </c>
    </row>
    <row r="226" spans="3:9" s="21" customFormat="1" x14ac:dyDescent="0.3">
      <c r="C226" s="27" t="s">
        <v>111</v>
      </c>
    </row>
    <row r="227" spans="3:9" s="21" customFormat="1" x14ac:dyDescent="0.3"/>
    <row r="228" spans="3:9" s="21" customFormat="1" x14ac:dyDescent="0.3">
      <c r="C228" s="22" t="s">
        <v>28</v>
      </c>
      <c r="D228" s="22" t="s">
        <v>29</v>
      </c>
      <c r="E228" s="22" t="s">
        <v>112</v>
      </c>
      <c r="F228" s="22" t="s">
        <v>113</v>
      </c>
    </row>
    <row r="229" spans="3:9" s="21" customFormat="1" x14ac:dyDescent="0.3">
      <c r="C229" s="33" t="s">
        <v>30</v>
      </c>
      <c r="D229" s="24">
        <v>5</v>
      </c>
      <c r="E229" s="33">
        <v>180</v>
      </c>
      <c r="F229" s="40">
        <v>171</v>
      </c>
    </row>
    <row r="230" spans="3:9" s="21" customFormat="1" x14ac:dyDescent="0.3">
      <c r="C230" s="33" t="s">
        <v>31</v>
      </c>
      <c r="D230" s="24">
        <v>3</v>
      </c>
      <c r="E230" s="33">
        <v>75</v>
      </c>
      <c r="F230" s="40">
        <v>72</v>
      </c>
    </row>
    <row r="231" spans="3:9" s="21" customFormat="1" x14ac:dyDescent="0.3">
      <c r="C231" s="33" t="s">
        <v>32</v>
      </c>
      <c r="D231" s="24">
        <v>3.25</v>
      </c>
      <c r="E231" s="33">
        <v>30</v>
      </c>
      <c r="F231" s="40">
        <v>29</v>
      </c>
    </row>
    <row r="232" spans="3:9" s="21" customFormat="1" x14ac:dyDescent="0.3"/>
    <row r="233" spans="3:9" s="21" customFormat="1" x14ac:dyDescent="0.3">
      <c r="C233" s="25" t="s">
        <v>30</v>
      </c>
    </row>
    <row r="234" spans="3:9" s="21" customFormat="1" x14ac:dyDescent="0.3"/>
    <row r="235" spans="3:9" s="21" customFormat="1" x14ac:dyDescent="0.3">
      <c r="C235" s="22" t="s">
        <v>29</v>
      </c>
      <c r="D235" s="22" t="s">
        <v>112</v>
      </c>
      <c r="E235" s="22" t="s">
        <v>113</v>
      </c>
    </row>
    <row r="236" spans="3:9" s="21" customFormat="1" x14ac:dyDescent="0.3">
      <c r="C236" s="26" cm="1">
        <f t="array" ref="C236:E236">_xlfn.XLOOKUP(C233,C229:C231,D229:F231,"Not found")</f>
        <v>5</v>
      </c>
      <c r="D236" s="21">
        <v>180</v>
      </c>
      <c r="E236" s="21">
        <v>171</v>
      </c>
      <c r="I236" s="27" t="str">
        <f ca="1">_xlfn.FORMULATEXT(C236)</f>
        <v>=XLOOKUP(C233,C229:C231,D229:F231,"Not found")</v>
      </c>
    </row>
    <row r="237" spans="3:9" s="21" customFormat="1" x14ac:dyDescent="0.3"/>
    <row r="238" spans="3:9" s="21" customFormat="1" x14ac:dyDescent="0.3"/>
    <row r="239" spans="3:9" s="21" customFormat="1" x14ac:dyDescent="0.3"/>
    <row r="240" spans="3:9" s="21" customFormat="1" x14ac:dyDescent="0.3"/>
    <row r="241" spans="3:9" s="21" customFormat="1" x14ac:dyDescent="0.3"/>
    <row r="242" spans="3:9" s="21" customFormat="1" x14ac:dyDescent="0.3">
      <c r="C242" s="138" t="s">
        <v>1222</v>
      </c>
    </row>
    <row r="243" spans="3:9" s="21" customFormat="1" x14ac:dyDescent="0.3">
      <c r="C243" s="27" t="s">
        <v>1223</v>
      </c>
    </row>
    <row r="244" spans="3:9" s="21" customFormat="1" x14ac:dyDescent="0.3"/>
    <row r="245" spans="3:9" s="21" customFormat="1" x14ac:dyDescent="0.3">
      <c r="C245" s="22" t="s">
        <v>28</v>
      </c>
      <c r="D245" s="22" t="s">
        <v>29</v>
      </c>
    </row>
    <row r="246" spans="3:9" s="21" customFormat="1" x14ac:dyDescent="0.3">
      <c r="C246" s="33" t="s">
        <v>30</v>
      </c>
      <c r="D246" s="24">
        <v>5</v>
      </c>
    </row>
    <row r="247" spans="3:9" s="21" customFormat="1" x14ac:dyDescent="0.3">
      <c r="C247" s="33" t="s">
        <v>31</v>
      </c>
      <c r="D247" s="24">
        <v>3</v>
      </c>
    </row>
    <row r="248" spans="3:9" s="21" customFormat="1" x14ac:dyDescent="0.3">
      <c r="C248" s="33" t="s">
        <v>32</v>
      </c>
      <c r="D248" s="24">
        <v>3.25</v>
      </c>
    </row>
    <row r="249" spans="3:9" s="21" customFormat="1" x14ac:dyDescent="0.3"/>
    <row r="250" spans="3:9" s="21" customFormat="1" x14ac:dyDescent="0.3">
      <c r="C250" s="25" t="s">
        <v>30</v>
      </c>
    </row>
    <row r="251" spans="3:9" s="21" customFormat="1" x14ac:dyDescent="0.3">
      <c r="C251" s="25" t="s">
        <v>31</v>
      </c>
    </row>
    <row r="252" spans="3:9" s="21" customFormat="1" x14ac:dyDescent="0.3"/>
    <row r="253" spans="3:9" s="21" customFormat="1" x14ac:dyDescent="0.3">
      <c r="C253" s="22" t="s">
        <v>29</v>
      </c>
    </row>
    <row r="254" spans="3:9" s="21" customFormat="1" x14ac:dyDescent="0.3">
      <c r="C254" s="216" cm="1">
        <f t="array" ref="C254:C255">_xlfn.XLOOKUP(C250:C251,C246:C248,D246:D248,"Not found")</f>
        <v>5</v>
      </c>
      <c r="I254" s="27" t="str">
        <f ca="1">_xlfn.FORMULATEXT(C254)</f>
        <v>=XLOOKUP(C250:C251,C246:C248,D246:D248,"Not found")</v>
      </c>
    </row>
    <row r="255" spans="3:9" s="21" customFormat="1" x14ac:dyDescent="0.3">
      <c r="C255" s="112">
        <v>3</v>
      </c>
    </row>
    <row r="256" spans="3:9" s="21" customFormat="1" x14ac:dyDescent="0.3"/>
    <row r="257" spans="3:9" s="21" customFormat="1" x14ac:dyDescent="0.3"/>
    <row r="258" spans="3:9" s="21" customFormat="1" x14ac:dyDescent="0.3"/>
    <row r="259" spans="3:9" s="21" customFormat="1" x14ac:dyDescent="0.3">
      <c r="C259" s="37" t="s">
        <v>1224</v>
      </c>
    </row>
    <row r="260" spans="3:9" s="21" customFormat="1" x14ac:dyDescent="0.3"/>
    <row r="261" spans="3:9" s="21" customFormat="1" x14ac:dyDescent="0.3">
      <c r="C261" s="22" t="s">
        <v>28</v>
      </c>
      <c r="D261" s="22" t="s">
        <v>29</v>
      </c>
      <c r="E261" s="22" t="s">
        <v>112</v>
      </c>
      <c r="F261" s="22" t="s">
        <v>113</v>
      </c>
    </row>
    <row r="262" spans="3:9" s="21" customFormat="1" x14ac:dyDescent="0.3">
      <c r="C262" s="33" t="s">
        <v>30</v>
      </c>
      <c r="D262" s="24">
        <v>5</v>
      </c>
      <c r="E262" s="33">
        <v>180</v>
      </c>
      <c r="F262" s="40">
        <v>171</v>
      </c>
    </row>
    <row r="263" spans="3:9" s="21" customFormat="1" x14ac:dyDescent="0.3">
      <c r="C263" s="33" t="s">
        <v>31</v>
      </c>
      <c r="D263" s="24">
        <v>3</v>
      </c>
      <c r="E263" s="33">
        <v>75</v>
      </c>
      <c r="F263" s="40">
        <v>72</v>
      </c>
    </row>
    <row r="264" spans="3:9" s="21" customFormat="1" x14ac:dyDescent="0.3">
      <c r="C264" s="33" t="s">
        <v>32</v>
      </c>
      <c r="D264" s="24">
        <v>3.25</v>
      </c>
      <c r="E264" s="33">
        <v>30</v>
      </c>
      <c r="F264" s="40">
        <v>29</v>
      </c>
    </row>
    <row r="265" spans="3:9" s="21" customFormat="1" x14ac:dyDescent="0.3"/>
    <row r="266" spans="3:9" s="21" customFormat="1" x14ac:dyDescent="0.3">
      <c r="C266" s="25" t="s">
        <v>30</v>
      </c>
    </row>
    <row r="267" spans="3:9" s="21" customFormat="1" x14ac:dyDescent="0.3">
      <c r="C267" s="25" t="s">
        <v>31</v>
      </c>
    </row>
    <row r="268" spans="3:9" s="21" customFormat="1" x14ac:dyDescent="0.3"/>
    <row r="269" spans="3:9" s="21" customFormat="1" x14ac:dyDescent="0.3">
      <c r="C269" s="22" t="s">
        <v>29</v>
      </c>
      <c r="D269" s="22" t="s">
        <v>112</v>
      </c>
      <c r="E269" s="22" t="s">
        <v>113</v>
      </c>
    </row>
    <row r="270" spans="3:9" s="21" customFormat="1" x14ac:dyDescent="0.3">
      <c r="C270" s="216" cm="1">
        <f t="array" ref="C270:C271">_xlfn.XLOOKUP(C266:C267,C262:C264,D262:F264,"Not found")</f>
        <v>5</v>
      </c>
      <c r="I270" s="27" t="str">
        <f ca="1">_xlfn.FORMULATEXT(C270)</f>
        <v>=XLOOKUP(C266:C267,C262:C264,D262:F264,"Not found")</v>
      </c>
    </row>
    <row r="271" spans="3:9" s="21" customFormat="1" x14ac:dyDescent="0.3">
      <c r="C271" s="112">
        <v>3</v>
      </c>
    </row>
    <row r="272" spans="3:9" s="21" customFormat="1" x14ac:dyDescent="0.3"/>
    <row r="273" spans="1:14" s="21" customFormat="1" x14ac:dyDescent="0.3"/>
    <row r="274" spans="1:14" s="21" customFormat="1" x14ac:dyDescent="0.3"/>
    <row r="275" spans="1:14" s="21" customFormat="1" x14ac:dyDescent="0.3"/>
    <row r="276" spans="1:14" s="21" customFormat="1" x14ac:dyDescent="0.3"/>
    <row r="277" spans="1:14" s="21" customFormat="1" x14ac:dyDescent="0.3"/>
    <row r="278" spans="1:14" s="21" customFormat="1" x14ac:dyDescent="0.3"/>
    <row r="279" spans="1:14" s="21" customFormat="1" x14ac:dyDescent="0.3"/>
    <row r="280" spans="1:14" s="21" customFormat="1" x14ac:dyDescent="0.3">
      <c r="C280" s="21" t="s">
        <v>1225</v>
      </c>
    </row>
    <row r="281" spans="1:14" s="21" customFormat="1" x14ac:dyDescent="0.3">
      <c r="C281" s="21" t="s">
        <v>1226</v>
      </c>
    </row>
    <row r="282" spans="1:14" s="21" customFormat="1" x14ac:dyDescent="0.3">
      <c r="C282" s="21" t="s">
        <v>1227</v>
      </c>
    </row>
    <row r="283" spans="1:14" s="21" customFormat="1" x14ac:dyDescent="0.3"/>
    <row r="284" spans="1:14" s="5" customFormat="1" ht="21" x14ac:dyDescent="0.5">
      <c r="A284" s="18"/>
      <c r="B284" s="13" t="s">
        <v>114</v>
      </c>
      <c r="C284" s="18"/>
      <c r="D284" s="18"/>
      <c r="E284" s="18"/>
      <c r="F284" s="19"/>
      <c r="G284" s="19"/>
      <c r="H284" s="19"/>
      <c r="I284" s="19"/>
      <c r="J284" s="19"/>
      <c r="K284" s="19"/>
      <c r="L284" s="19"/>
      <c r="M284" s="19"/>
      <c r="N284" s="19"/>
    </row>
    <row r="285" spans="1:14" s="15" customFormat="1" x14ac:dyDescent="0.3">
      <c r="A285" s="21"/>
    </row>
    <row r="286" spans="1:14" s="15" customFormat="1" x14ac:dyDescent="0.3">
      <c r="A286" s="21"/>
      <c r="C286" s="15" t="s">
        <v>115</v>
      </c>
    </row>
    <row r="287" spans="1:14" s="15" customFormat="1" x14ac:dyDescent="0.3">
      <c r="A287" s="21"/>
    </row>
    <row r="288" spans="1:14" s="15" customFormat="1" x14ac:dyDescent="0.3">
      <c r="A288" s="21"/>
      <c r="C288" s="15" t="s">
        <v>116</v>
      </c>
    </row>
    <row r="289" spans="1:10" s="15" customFormat="1" x14ac:dyDescent="0.3">
      <c r="A289" s="21"/>
    </row>
    <row r="290" spans="1:10" s="15" customFormat="1" x14ac:dyDescent="0.3">
      <c r="A290" s="21"/>
      <c r="C290" s="41" t="s">
        <v>117</v>
      </c>
      <c r="G290" s="41" t="s">
        <v>118</v>
      </c>
    </row>
    <row r="291" spans="1:10" s="15" customFormat="1" x14ac:dyDescent="0.3">
      <c r="A291" s="21"/>
    </row>
    <row r="292" spans="1:10" s="15" customFormat="1" x14ac:dyDescent="0.3">
      <c r="A292" s="21"/>
      <c r="C292" s="22" t="s">
        <v>119</v>
      </c>
      <c r="D292" s="22" t="s">
        <v>28</v>
      </c>
      <c r="E292" s="22" t="s">
        <v>113</v>
      </c>
      <c r="G292" s="22" t="s">
        <v>28</v>
      </c>
      <c r="H292" s="22" t="s">
        <v>120</v>
      </c>
      <c r="I292" s="22" t="s">
        <v>121</v>
      </c>
      <c r="J292" s="22" t="s">
        <v>122</v>
      </c>
    </row>
    <row r="293" spans="1:10" s="15" customFormat="1" x14ac:dyDescent="0.3">
      <c r="A293" s="21"/>
      <c r="C293" s="42">
        <v>43102</v>
      </c>
      <c r="D293" s="43" t="s">
        <v>123</v>
      </c>
      <c r="E293" s="43">
        <v>171</v>
      </c>
      <c r="G293" s="43" t="s">
        <v>123</v>
      </c>
      <c r="H293" s="24">
        <v>8</v>
      </c>
      <c r="I293" s="24">
        <v>1.2</v>
      </c>
      <c r="J293" s="43" t="s">
        <v>124</v>
      </c>
    </row>
    <row r="294" spans="1:10" s="15" customFormat="1" x14ac:dyDescent="0.3">
      <c r="C294" s="42">
        <v>43102</v>
      </c>
      <c r="D294" s="43" t="s">
        <v>125</v>
      </c>
      <c r="E294" s="43">
        <v>72</v>
      </c>
      <c r="G294" s="43" t="s">
        <v>125</v>
      </c>
      <c r="H294" s="24">
        <v>8.5</v>
      </c>
      <c r="I294" s="24">
        <v>1.95</v>
      </c>
      <c r="J294" s="43" t="s">
        <v>124</v>
      </c>
    </row>
    <row r="295" spans="1:10" s="15" customFormat="1" x14ac:dyDescent="0.3">
      <c r="C295" s="42">
        <v>43102</v>
      </c>
      <c r="D295" s="43" t="s">
        <v>126</v>
      </c>
      <c r="E295" s="43">
        <v>29</v>
      </c>
      <c r="G295" s="43" t="s">
        <v>126</v>
      </c>
      <c r="H295" s="24">
        <v>7.5</v>
      </c>
      <c r="I295" s="24">
        <v>1</v>
      </c>
      <c r="J295" s="43" t="s">
        <v>127</v>
      </c>
    </row>
    <row r="296" spans="1:10" s="15" customFormat="1" x14ac:dyDescent="0.3">
      <c r="C296" s="42">
        <v>43104</v>
      </c>
      <c r="D296" s="43" t="s">
        <v>123</v>
      </c>
      <c r="E296" s="43">
        <v>178</v>
      </c>
    </row>
    <row r="297" spans="1:10" s="15" customFormat="1" x14ac:dyDescent="0.3">
      <c r="C297" s="42">
        <v>43104</v>
      </c>
      <c r="D297" s="43" t="s">
        <v>125</v>
      </c>
      <c r="E297" s="43">
        <v>72</v>
      </c>
    </row>
    <row r="298" spans="1:10" s="15" customFormat="1" x14ac:dyDescent="0.3">
      <c r="C298" s="42">
        <v>43104</v>
      </c>
      <c r="D298" s="43" t="s">
        <v>126</v>
      </c>
      <c r="E298" s="43">
        <v>24</v>
      </c>
    </row>
    <row r="299" spans="1:10" s="15" customFormat="1" x14ac:dyDescent="0.3">
      <c r="C299" s="42">
        <v>43106</v>
      </c>
      <c r="D299" s="43" t="s">
        <v>123</v>
      </c>
      <c r="E299" s="43">
        <v>175</v>
      </c>
    </row>
    <row r="300" spans="1:10" s="15" customFormat="1" x14ac:dyDescent="0.3">
      <c r="C300" s="42">
        <v>43106</v>
      </c>
      <c r="D300" s="43" t="s">
        <v>125</v>
      </c>
      <c r="E300" s="43">
        <v>67</v>
      </c>
    </row>
    <row r="301" spans="1:10" s="15" customFormat="1" x14ac:dyDescent="0.3">
      <c r="C301" s="42">
        <v>43106</v>
      </c>
      <c r="D301" s="43" t="s">
        <v>126</v>
      </c>
      <c r="E301" s="43">
        <v>28</v>
      </c>
    </row>
    <row r="302" spans="1:10" s="15" customFormat="1" x14ac:dyDescent="0.3">
      <c r="C302" s="42">
        <v>43109</v>
      </c>
      <c r="D302" s="43" t="s">
        <v>123</v>
      </c>
      <c r="E302" s="43">
        <v>179</v>
      </c>
    </row>
    <row r="303" spans="1:10" s="15" customFormat="1" x14ac:dyDescent="0.3">
      <c r="C303" s="42">
        <v>43109</v>
      </c>
      <c r="D303" s="43" t="s">
        <v>125</v>
      </c>
      <c r="E303" s="43">
        <v>72</v>
      </c>
    </row>
    <row r="304" spans="1:10" s="15" customFormat="1" x14ac:dyDescent="0.3"/>
    <row r="305" spans="3:12" s="15" customFormat="1" x14ac:dyDescent="0.3"/>
    <row r="306" spans="3:12" s="15" customFormat="1" x14ac:dyDescent="0.3">
      <c r="C306" s="41" t="s">
        <v>128</v>
      </c>
      <c r="J306" s="15" t="s">
        <v>129</v>
      </c>
    </row>
    <row r="307" spans="3:12" s="15" customFormat="1" x14ac:dyDescent="0.3"/>
    <row r="308" spans="3:12" s="15" customFormat="1" x14ac:dyDescent="0.3">
      <c r="C308" s="22" t="s">
        <v>119</v>
      </c>
      <c r="D308" s="22" t="s">
        <v>28</v>
      </c>
      <c r="E308" s="22" t="s">
        <v>113</v>
      </c>
      <c r="F308" s="22" t="s">
        <v>120</v>
      </c>
      <c r="G308" s="22" t="s">
        <v>121</v>
      </c>
      <c r="H308" s="22" t="s">
        <v>122</v>
      </c>
      <c r="J308" s="22" t="s">
        <v>120</v>
      </c>
      <c r="K308" s="22" t="s">
        <v>121</v>
      </c>
      <c r="L308" s="22" t="s">
        <v>122</v>
      </c>
    </row>
    <row r="309" spans="3:12" s="15" customFormat="1" x14ac:dyDescent="0.3">
      <c r="C309" s="42">
        <v>43102</v>
      </c>
      <c r="D309" s="43" t="s">
        <v>123</v>
      </c>
      <c r="E309" s="44">
        <v>171</v>
      </c>
      <c r="F309" s="45" cm="1">
        <f t="array" ref="F309:H309">_xlfn.XLOOKUP(D309, $G$293:$G$295, $H$293:$J$295, "Not found")</f>
        <v>8</v>
      </c>
      <c r="G309" s="46">
        <v>1.2</v>
      </c>
      <c r="H309" s="46" t="str">
        <v>Meat Pie</v>
      </c>
      <c r="J309" s="47">
        <f>INDEX($H$293:$H$295,MATCH($D309,$G$293:$G$295,0))</f>
        <v>8</v>
      </c>
      <c r="K309" s="47">
        <f>INDEX($I$293:$I$295,MATCH($D309,$G$293:$G$295,0))</f>
        <v>1.2</v>
      </c>
      <c r="L309" s="48" t="str">
        <f>INDEX($J$293:$J$295,MATCH($D309,$G$293:$G$295,0))</f>
        <v>Meat Pie</v>
      </c>
    </row>
    <row r="310" spans="3:12" s="15" customFormat="1" x14ac:dyDescent="0.3">
      <c r="C310" s="42">
        <v>43102</v>
      </c>
      <c r="D310" s="43" t="s">
        <v>125</v>
      </c>
      <c r="E310" s="44">
        <v>72</v>
      </c>
      <c r="F310" s="45" cm="1">
        <f t="array" ref="F310:H310">_xlfn.XLOOKUP(D310, $G$293:$G$295, $H$293:$J$295, "Not found")</f>
        <v>8.5</v>
      </c>
      <c r="G310" s="46">
        <v>1.95</v>
      </c>
      <c r="H310" s="46" t="str">
        <v>Meat Pie</v>
      </c>
      <c r="J310" s="47">
        <f t="shared" ref="J310:J319" si="0">INDEX($H$293:$H$295,MATCH($D310,$G$293:$G$295,0))</f>
        <v>8.5</v>
      </c>
      <c r="K310" s="47">
        <f t="shared" ref="K310:K319" si="1">INDEX($I$293:$I$295,MATCH($D310,$G$293:$G$295,0))</f>
        <v>1.95</v>
      </c>
      <c r="L310" s="48" t="str">
        <f t="shared" ref="L310:L319" si="2">INDEX($J$293:$J$295,MATCH($D310,$G$293:$G$295,0))</f>
        <v>Meat Pie</v>
      </c>
    </row>
    <row r="311" spans="3:12" s="15" customFormat="1" x14ac:dyDescent="0.3">
      <c r="C311" s="42">
        <v>43102</v>
      </c>
      <c r="D311" s="43" t="s">
        <v>126</v>
      </c>
      <c r="E311" s="44">
        <v>29</v>
      </c>
      <c r="F311" s="45" cm="1">
        <f t="array" ref="F311:H311">_xlfn.XLOOKUP(D311, $G$293:$G$295, $H$293:$J$295, "Not found")</f>
        <v>7.5</v>
      </c>
      <c r="G311" s="46">
        <v>1</v>
      </c>
      <c r="H311" s="46" t="str">
        <v>Veggie Pie</v>
      </c>
      <c r="J311" s="47">
        <f t="shared" si="0"/>
        <v>7.5</v>
      </c>
      <c r="K311" s="47">
        <f t="shared" si="1"/>
        <v>1</v>
      </c>
      <c r="L311" s="48" t="str">
        <f t="shared" si="2"/>
        <v>Veggie Pie</v>
      </c>
    </row>
    <row r="312" spans="3:12" s="15" customFormat="1" x14ac:dyDescent="0.3">
      <c r="C312" s="42">
        <v>43104</v>
      </c>
      <c r="D312" s="43" t="s">
        <v>123</v>
      </c>
      <c r="E312" s="44">
        <v>178</v>
      </c>
      <c r="F312" s="45" cm="1">
        <f t="array" ref="F312:H312">_xlfn.XLOOKUP(D312, $G$293:$G$295, $H$293:$J$295, "Not found")</f>
        <v>8</v>
      </c>
      <c r="G312" s="46">
        <v>1.2</v>
      </c>
      <c r="H312" s="46" t="str">
        <v>Meat Pie</v>
      </c>
      <c r="J312" s="47">
        <f t="shared" si="0"/>
        <v>8</v>
      </c>
      <c r="K312" s="47">
        <f t="shared" si="1"/>
        <v>1.2</v>
      </c>
      <c r="L312" s="48" t="str">
        <f t="shared" si="2"/>
        <v>Meat Pie</v>
      </c>
    </row>
    <row r="313" spans="3:12" s="15" customFormat="1" x14ac:dyDescent="0.3">
      <c r="C313" s="42">
        <v>43104</v>
      </c>
      <c r="D313" s="43" t="s">
        <v>125</v>
      </c>
      <c r="E313" s="44">
        <v>72</v>
      </c>
      <c r="F313" s="45" cm="1">
        <f t="array" ref="F313:H313">_xlfn.XLOOKUP(D313, $G$293:$G$295, $H$293:$J$295, "Not found")</f>
        <v>8.5</v>
      </c>
      <c r="G313" s="46">
        <v>1.95</v>
      </c>
      <c r="H313" s="46" t="str">
        <v>Meat Pie</v>
      </c>
      <c r="J313" s="47">
        <f t="shared" si="0"/>
        <v>8.5</v>
      </c>
      <c r="K313" s="47">
        <f t="shared" si="1"/>
        <v>1.95</v>
      </c>
      <c r="L313" s="48" t="str">
        <f t="shared" si="2"/>
        <v>Meat Pie</v>
      </c>
    </row>
    <row r="314" spans="3:12" s="15" customFormat="1" x14ac:dyDescent="0.3">
      <c r="C314" s="42">
        <v>43104</v>
      </c>
      <c r="D314" s="43" t="s">
        <v>126</v>
      </c>
      <c r="E314" s="44">
        <v>24</v>
      </c>
      <c r="F314" s="45" cm="1">
        <f t="array" ref="F314:H314">_xlfn.XLOOKUP(D314, $G$293:$G$295, $H$293:$J$295, "Not found")</f>
        <v>7.5</v>
      </c>
      <c r="G314" s="46">
        <v>1</v>
      </c>
      <c r="H314" s="46" t="str">
        <v>Veggie Pie</v>
      </c>
      <c r="J314" s="47">
        <f t="shared" si="0"/>
        <v>7.5</v>
      </c>
      <c r="K314" s="47">
        <f t="shared" si="1"/>
        <v>1</v>
      </c>
      <c r="L314" s="48" t="str">
        <f t="shared" si="2"/>
        <v>Veggie Pie</v>
      </c>
    </row>
    <row r="315" spans="3:12" s="15" customFormat="1" x14ac:dyDescent="0.3">
      <c r="C315" s="42">
        <v>43106</v>
      </c>
      <c r="D315" s="43" t="s">
        <v>123</v>
      </c>
      <c r="E315" s="44">
        <v>175</v>
      </c>
      <c r="F315" s="45" cm="1">
        <f t="array" ref="F315:H315">_xlfn.XLOOKUP(D315, $G$293:$G$295, $H$293:$J$295, "Not found")</f>
        <v>8</v>
      </c>
      <c r="G315" s="46">
        <v>1.2</v>
      </c>
      <c r="H315" s="46" t="str">
        <v>Meat Pie</v>
      </c>
      <c r="J315" s="47">
        <f t="shared" si="0"/>
        <v>8</v>
      </c>
      <c r="K315" s="47">
        <f t="shared" si="1"/>
        <v>1.2</v>
      </c>
      <c r="L315" s="48" t="str">
        <f t="shared" si="2"/>
        <v>Meat Pie</v>
      </c>
    </row>
    <row r="316" spans="3:12" s="15" customFormat="1" x14ac:dyDescent="0.3">
      <c r="C316" s="42">
        <v>43106</v>
      </c>
      <c r="D316" s="43" t="s">
        <v>125</v>
      </c>
      <c r="E316" s="44">
        <v>67</v>
      </c>
      <c r="F316" s="45" cm="1">
        <f t="array" ref="F316:H316">_xlfn.XLOOKUP(D316, $G$293:$G$295, $H$293:$J$295, "Not found")</f>
        <v>8.5</v>
      </c>
      <c r="G316" s="46">
        <v>1.95</v>
      </c>
      <c r="H316" s="46" t="str">
        <v>Meat Pie</v>
      </c>
      <c r="J316" s="47">
        <f t="shared" si="0"/>
        <v>8.5</v>
      </c>
      <c r="K316" s="47">
        <f t="shared" si="1"/>
        <v>1.95</v>
      </c>
      <c r="L316" s="48" t="str">
        <f t="shared" si="2"/>
        <v>Meat Pie</v>
      </c>
    </row>
    <row r="317" spans="3:12" s="15" customFormat="1" x14ac:dyDescent="0.3">
      <c r="C317" s="42">
        <v>43106</v>
      </c>
      <c r="D317" s="43" t="s">
        <v>126</v>
      </c>
      <c r="E317" s="44">
        <v>28</v>
      </c>
      <c r="F317" s="45" cm="1">
        <f t="array" ref="F317:H317">_xlfn.XLOOKUP(D317, $G$293:$G$295, $H$293:$J$295, "Not found")</f>
        <v>7.5</v>
      </c>
      <c r="G317" s="46">
        <v>1</v>
      </c>
      <c r="H317" s="46" t="str">
        <v>Veggie Pie</v>
      </c>
      <c r="J317" s="47">
        <f t="shared" si="0"/>
        <v>7.5</v>
      </c>
      <c r="K317" s="47">
        <f t="shared" si="1"/>
        <v>1</v>
      </c>
      <c r="L317" s="48" t="str">
        <f t="shared" si="2"/>
        <v>Veggie Pie</v>
      </c>
    </row>
    <row r="318" spans="3:12" s="15" customFormat="1" x14ac:dyDescent="0.3">
      <c r="C318" s="42">
        <v>43109</v>
      </c>
      <c r="D318" s="43" t="s">
        <v>123</v>
      </c>
      <c r="E318" s="44">
        <v>179</v>
      </c>
      <c r="F318" s="45" cm="1">
        <f t="array" ref="F318:H318">_xlfn.XLOOKUP(D318, $G$293:$G$295, $H$293:$J$295, "Not found")</f>
        <v>8</v>
      </c>
      <c r="G318" s="46">
        <v>1.2</v>
      </c>
      <c r="H318" s="46" t="str">
        <v>Meat Pie</v>
      </c>
      <c r="J318" s="47">
        <f t="shared" si="0"/>
        <v>8</v>
      </c>
      <c r="K318" s="47">
        <f t="shared" si="1"/>
        <v>1.2</v>
      </c>
      <c r="L318" s="48" t="str">
        <f t="shared" si="2"/>
        <v>Meat Pie</v>
      </c>
    </row>
    <row r="319" spans="3:12" s="15" customFormat="1" x14ac:dyDescent="0.3">
      <c r="C319" s="42">
        <v>43109</v>
      </c>
      <c r="D319" s="43" t="s">
        <v>125</v>
      </c>
      <c r="E319" s="44">
        <v>72</v>
      </c>
      <c r="F319" s="45" cm="1">
        <f t="array" ref="F319:H319">_xlfn.XLOOKUP(D319, $G$293:$G$295, $H$293:$J$295, "Not found")</f>
        <v>8.5</v>
      </c>
      <c r="G319" s="46">
        <v>1.95</v>
      </c>
      <c r="H319" s="46" t="str">
        <v>Meat Pie</v>
      </c>
      <c r="J319" s="47">
        <f t="shared" si="0"/>
        <v>8.5</v>
      </c>
      <c r="K319" s="47">
        <f t="shared" si="1"/>
        <v>1.95</v>
      </c>
      <c r="L319" s="48" t="str">
        <f t="shared" si="2"/>
        <v>Meat Pie</v>
      </c>
    </row>
    <row r="320" spans="3:12" s="21" customFormat="1" x14ac:dyDescent="0.3"/>
    <row r="321" spans="1:14" s="21" customFormat="1" x14ac:dyDescent="0.3"/>
    <row r="322" spans="1:14" s="21" customFormat="1" x14ac:dyDescent="0.3"/>
    <row r="323" spans="1:14" s="5" customFormat="1" ht="21" x14ac:dyDescent="0.5">
      <c r="A323" s="18"/>
      <c r="B323" s="13" t="s">
        <v>1124</v>
      </c>
      <c r="C323" s="18"/>
      <c r="D323" s="18"/>
      <c r="E323" s="18"/>
      <c r="F323" s="19"/>
      <c r="G323" s="19"/>
      <c r="H323" s="19"/>
      <c r="I323" s="19"/>
      <c r="J323" s="19"/>
      <c r="K323" s="19"/>
      <c r="L323" s="19"/>
      <c r="M323" s="19"/>
      <c r="N323" s="19"/>
    </row>
    <row r="324" spans="1:14" s="21" customFormat="1" x14ac:dyDescent="0.3"/>
    <row r="325" spans="1:14" s="21" customFormat="1" x14ac:dyDescent="0.3">
      <c r="C325" s="21" t="s">
        <v>1127</v>
      </c>
    </row>
    <row r="326" spans="1:14" s="21" customFormat="1" x14ac:dyDescent="0.3">
      <c r="C326" s="21" t="s">
        <v>1128</v>
      </c>
    </row>
    <row r="327" spans="1:14" s="21" customFormat="1" x14ac:dyDescent="0.3"/>
    <row r="328" spans="1:14" s="21" customFormat="1" x14ac:dyDescent="0.3">
      <c r="D328" s="22" t="s">
        <v>349</v>
      </c>
      <c r="E328" s="22" t="s">
        <v>350</v>
      </c>
      <c r="F328" s="22" t="s">
        <v>351</v>
      </c>
      <c r="G328" s="22" t="s">
        <v>352</v>
      </c>
      <c r="H328" s="22" t="s">
        <v>353</v>
      </c>
      <c r="I328" s="22" t="s">
        <v>354</v>
      </c>
    </row>
    <row r="329" spans="1:14" s="21" customFormat="1" x14ac:dyDescent="0.3">
      <c r="C329" s="109" t="s">
        <v>1125</v>
      </c>
      <c r="D329" s="44">
        <v>45</v>
      </c>
      <c r="E329" s="44">
        <v>28</v>
      </c>
      <c r="F329" s="44">
        <v>32</v>
      </c>
      <c r="G329" s="44">
        <v>36</v>
      </c>
      <c r="H329" s="44">
        <v>62</v>
      </c>
      <c r="I329" s="44">
        <v>11</v>
      </c>
    </row>
    <row r="330" spans="1:14" s="21" customFormat="1" x14ac:dyDescent="0.3">
      <c r="C330" s="109" t="s">
        <v>534</v>
      </c>
      <c r="D330" s="44">
        <v>28</v>
      </c>
      <c r="E330" s="44">
        <v>76</v>
      </c>
      <c r="F330" s="44">
        <v>87</v>
      </c>
      <c r="G330" s="44">
        <v>28</v>
      </c>
      <c r="H330" s="44">
        <v>36</v>
      </c>
      <c r="I330" s="44">
        <v>45</v>
      </c>
    </row>
    <row r="331" spans="1:14" s="21" customFormat="1" x14ac:dyDescent="0.3">
      <c r="C331" s="109" t="s">
        <v>1126</v>
      </c>
      <c r="D331" s="44">
        <v>46</v>
      </c>
      <c r="E331" s="44">
        <v>34</v>
      </c>
      <c r="F331" s="44">
        <v>28</v>
      </c>
      <c r="G331" s="44">
        <v>89</v>
      </c>
      <c r="H331" s="44">
        <v>28</v>
      </c>
      <c r="I331" s="44">
        <v>54</v>
      </c>
    </row>
    <row r="332" spans="1:14" s="21" customFormat="1" x14ac:dyDescent="0.3"/>
    <row r="333" spans="1:14" s="21" customFormat="1" x14ac:dyDescent="0.3"/>
    <row r="334" spans="1:14" s="21" customFormat="1" x14ac:dyDescent="0.3">
      <c r="C334" s="21" t="s">
        <v>1129</v>
      </c>
      <c r="D334" s="194" t="s">
        <v>1125</v>
      </c>
    </row>
    <row r="335" spans="1:14" s="21" customFormat="1" x14ac:dyDescent="0.3">
      <c r="C335" s="21" t="s">
        <v>1130</v>
      </c>
      <c r="D335" s="194" t="s">
        <v>351</v>
      </c>
    </row>
    <row r="336" spans="1:14" s="21" customFormat="1" x14ac:dyDescent="0.3">
      <c r="C336" s="21" t="s">
        <v>806</v>
      </c>
      <c r="D336" s="96" cm="1">
        <f t="array" ref="D336">_xlfn.XLOOKUP(D334, C329:C331, _xlfn.XLOOKUP(D335, D328:I328, D329:I331))</f>
        <v>32</v>
      </c>
      <c r="F336" s="21" t="str">
        <f ca="1">_xlfn.FORMULATEXT(D336)</f>
        <v>=XLOOKUP(D334, C329:C331, XLOOKUP(D335, D328:I328, D329:I331))</v>
      </c>
    </row>
    <row r="337" spans="3:3" s="21" customFormat="1" x14ac:dyDescent="0.3"/>
    <row r="338" spans="3:3" s="21" customFormat="1" x14ac:dyDescent="0.3">
      <c r="C338" s="21" t="s">
        <v>1131</v>
      </c>
    </row>
    <row r="339" spans="3:3" s="21" customFormat="1" x14ac:dyDescent="0.3"/>
    <row r="340" spans="3:3" s="21" customFormat="1" x14ac:dyDescent="0.3"/>
    <row r="341" spans="3:3" s="21" customFormat="1" x14ac:dyDescent="0.3"/>
    <row r="342" spans="3:3" s="21" customFormat="1" x14ac:dyDescent="0.3"/>
    <row r="343" spans="3:3" s="21" customFormat="1" x14ac:dyDescent="0.3"/>
    <row r="344" spans="3:3" s="21" customFormat="1" x14ac:dyDescent="0.3"/>
    <row r="345" spans="3:3" s="21" customFormat="1" x14ac:dyDescent="0.3"/>
    <row r="346" spans="3:3" s="21" customFormat="1" x14ac:dyDescent="0.3"/>
    <row r="347" spans="3:3" s="21" customFormat="1" x14ac:dyDescent="0.3"/>
    <row r="348" spans="3:3" s="21" customFormat="1" x14ac:dyDescent="0.3"/>
    <row r="349" spans="3:3" s="21" customFormat="1" x14ac:dyDescent="0.3"/>
    <row r="350" spans="3:3" s="21" customFormat="1" x14ac:dyDescent="0.3"/>
    <row r="351" spans="3:3" s="21" customFormat="1" x14ac:dyDescent="0.3"/>
    <row r="352" spans="3:3" s="21" customFormat="1" x14ac:dyDescent="0.3"/>
    <row r="353" s="21" customFormat="1" x14ac:dyDescent="0.3"/>
    <row r="354" s="21" customFormat="1" x14ac:dyDescent="0.3"/>
    <row r="355" s="21" customFormat="1" x14ac:dyDescent="0.3"/>
    <row r="356" s="21" customFormat="1" x14ac:dyDescent="0.3"/>
    <row r="357" s="21" customFormat="1" x14ac:dyDescent="0.3"/>
    <row r="358" s="21" customFormat="1" x14ac:dyDescent="0.3"/>
    <row r="359" s="21" customFormat="1" x14ac:dyDescent="0.3"/>
    <row r="360" s="21" customFormat="1" x14ac:dyDescent="0.3"/>
    <row r="361" s="21" customFormat="1" x14ac:dyDescent="0.3"/>
    <row r="362" s="21" customFormat="1" x14ac:dyDescent="0.3"/>
    <row r="363" s="21" customFormat="1" x14ac:dyDescent="0.3"/>
    <row r="364" s="21" customFormat="1" x14ac:dyDescent="0.3"/>
    <row r="365" s="21" customFormat="1" x14ac:dyDescent="0.3"/>
    <row r="366" s="21" customFormat="1" x14ac:dyDescent="0.3"/>
    <row r="367" s="21" customFormat="1" x14ac:dyDescent="0.3"/>
    <row r="368" s="21" customFormat="1" x14ac:dyDescent="0.3"/>
    <row r="369" s="21" customFormat="1" x14ac:dyDescent="0.3"/>
    <row r="370" s="21" customFormat="1" x14ac:dyDescent="0.3"/>
    <row r="371" s="21" customFormat="1" x14ac:dyDescent="0.3"/>
    <row r="372" s="21" customFormat="1" x14ac:dyDescent="0.3"/>
    <row r="373" s="21" customFormat="1" x14ac:dyDescent="0.3"/>
    <row r="374" s="21" customFormat="1" x14ac:dyDescent="0.3"/>
    <row r="375" s="21" customFormat="1" x14ac:dyDescent="0.3"/>
  </sheetData>
  <phoneticPr fontId="2" type="noConversion"/>
  <dataValidations count="4">
    <dataValidation type="list" allowBlank="1" showInputMessage="1" showErrorMessage="1" sqref="C33 C52" xr:uid="{DA7285A4-3599-4DB0-A804-AEB224DC451B}">
      <formula1>$C$28:$C$31</formula1>
    </dataValidation>
    <dataValidation type="list" allowBlank="1" showInputMessage="1" showErrorMessage="1" sqref="C67 C76 C92 C119 C197 C212 C233 C250:C251 C266:C267" xr:uid="{3B9711B4-BC21-4BA2-83D7-8D83C9415825}">
      <formula1>"Chicken Pie,Lamb Pie, Vegetarian Pie, Pork Pie, Apple Pie"</formula1>
    </dataValidation>
    <dataValidation type="list" allowBlank="1" showInputMessage="1" showErrorMessage="1" sqref="D334" xr:uid="{837303C4-B5E0-3041-BEFE-4C18B16B2FE9}">
      <formula1>$C$329:$C$331</formula1>
    </dataValidation>
    <dataValidation type="list" allowBlank="1" showInputMessage="1" showErrorMessage="1" sqref="D335" xr:uid="{6CF40C74-519C-714E-A57E-776511C2CAC6}">
      <formula1>$D$328:$I$328</formula1>
    </dataValidation>
  </dataValidations>
  <hyperlinks>
    <hyperlink ref="C107" r:id="rId1" display="https://exceljet.net/glossary/wildcard" xr:uid="{E73B5E08-143C-4E53-A28F-1A4A80074433}"/>
  </hyperlinks>
  <printOptions horizontalCentered="1"/>
  <pageMargins left="0.15748031496062992" right="0.15748031496062992" top="0.78740157480314965" bottom="0.78740157480314965" header="0.51181102362204722" footer="0.51181102362204722"/>
  <pageSetup paperSize="9" scale="50" orientation="portrait" r:id="rId2"/>
  <headerFooter alignWithMargins="0">
    <oddFooter xml:space="preserve">&amp;CClarity Consultancy Services Ltd   info@clarityconsultancyservices.co.uk
Registered in the UK (6619745). Registered Office:  Suite 6 Bourne Gate, Bourne Valley Rd, Poole, BH12 1DY
</oddFooter>
  </headerFooter>
  <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07A62-84ED-40D5-B9AC-BC5796E3239B}">
  <sheetPr>
    <tabColor rgb="FF002060"/>
    <pageSetUpPr fitToPage="1"/>
  </sheetPr>
  <dimension ref="A1:K35"/>
  <sheetViews>
    <sheetView showGridLines="0" zoomScaleNormal="100" workbookViewId="0">
      <pane ySplit="1" topLeftCell="A2" activePane="bottomLeft" state="frozen"/>
      <selection pane="bottomLeft"/>
    </sheetView>
  </sheetViews>
  <sheetFormatPr defaultColWidth="0" defaultRowHeight="16.8" x14ac:dyDescent="0.3"/>
  <cols>
    <col min="1" max="1" width="3.6640625" style="21" customWidth="1"/>
    <col min="2" max="2" width="12.33203125" style="21" customWidth="1"/>
    <col min="3" max="3" width="14.44140625" style="21" bestFit="1" customWidth="1"/>
    <col min="4" max="4" width="14" style="21" customWidth="1"/>
    <col min="5" max="5" width="11.44140625" style="21" customWidth="1"/>
    <col min="6" max="6" width="9.44140625" style="21" bestFit="1" customWidth="1"/>
    <col min="7" max="7" width="10.44140625" style="21" bestFit="1" customWidth="1"/>
    <col min="8" max="8" width="12.77734375" style="21" bestFit="1" customWidth="1"/>
    <col min="9" max="9" width="19.44140625" style="21" customWidth="1"/>
    <col min="10" max="10" width="27.77734375" style="21" customWidth="1"/>
    <col min="11" max="11" width="13.6640625" style="21" hidden="1" customWidth="1"/>
    <col min="12" max="16384" width="8.77734375" style="21" hidden="1"/>
  </cols>
  <sheetData>
    <row r="1" spans="1:10" s="52" customFormat="1" ht="49.95" customHeight="1" x14ac:dyDescent="0.3">
      <c r="A1" s="49"/>
      <c r="B1" s="50" t="s">
        <v>334</v>
      </c>
      <c r="C1" s="49"/>
      <c r="D1" s="49"/>
      <c r="E1" s="49"/>
      <c r="F1" s="51"/>
      <c r="G1" s="51"/>
      <c r="H1" s="51"/>
      <c r="I1" s="51"/>
      <c r="J1" s="51"/>
    </row>
    <row r="2" spans="1:10" ht="19.95" customHeight="1" x14ac:dyDescent="0.3">
      <c r="B2" s="21" t="s">
        <v>316</v>
      </c>
    </row>
    <row r="4" spans="1:10" x14ac:dyDescent="0.3">
      <c r="B4" s="58" t="s">
        <v>317</v>
      </c>
      <c r="C4" s="58" t="s">
        <v>56</v>
      </c>
      <c r="D4" s="58" t="s">
        <v>29</v>
      </c>
      <c r="E4" s="58" t="s">
        <v>318</v>
      </c>
      <c r="F4" s="58" t="s">
        <v>319</v>
      </c>
      <c r="G4" s="58" t="s">
        <v>320</v>
      </c>
    </row>
    <row r="5" spans="1:10" x14ac:dyDescent="0.3">
      <c r="B5" s="33" t="s">
        <v>321</v>
      </c>
      <c r="C5" s="33" t="s">
        <v>30</v>
      </c>
      <c r="D5" s="59">
        <v>8</v>
      </c>
      <c r="E5" s="59">
        <v>1.2</v>
      </c>
      <c r="F5" s="59" t="s">
        <v>322</v>
      </c>
      <c r="G5" s="35">
        <v>300</v>
      </c>
    </row>
    <row r="6" spans="1:10" x14ac:dyDescent="0.3">
      <c r="B6" s="33" t="s">
        <v>323</v>
      </c>
      <c r="C6" s="33" t="s">
        <v>31</v>
      </c>
      <c r="D6" s="59">
        <v>8.5</v>
      </c>
      <c r="E6" s="59">
        <v>1.95</v>
      </c>
      <c r="F6" s="59" t="s">
        <v>322</v>
      </c>
      <c r="G6" s="35">
        <v>150</v>
      </c>
    </row>
    <row r="7" spans="1:10" x14ac:dyDescent="0.3">
      <c r="B7" s="33" t="s">
        <v>324</v>
      </c>
      <c r="C7" s="86" t="s">
        <v>32</v>
      </c>
      <c r="D7" s="59">
        <v>7.5</v>
      </c>
      <c r="E7" s="59">
        <v>1</v>
      </c>
      <c r="F7" s="59" t="s">
        <v>322</v>
      </c>
      <c r="G7" s="35">
        <v>205</v>
      </c>
    </row>
    <row r="8" spans="1:10" x14ac:dyDescent="0.3">
      <c r="B8" s="33" t="s">
        <v>325</v>
      </c>
      <c r="C8" s="33" t="s">
        <v>138</v>
      </c>
      <c r="D8" s="59">
        <v>8</v>
      </c>
      <c r="E8" s="59">
        <v>1.45</v>
      </c>
      <c r="F8" s="59" t="s">
        <v>322</v>
      </c>
      <c r="G8" s="35">
        <v>450</v>
      </c>
    </row>
    <row r="11" spans="1:10" x14ac:dyDescent="0.3">
      <c r="B11" s="21" t="s">
        <v>1133</v>
      </c>
    </row>
    <row r="13" spans="1:10" x14ac:dyDescent="0.3">
      <c r="B13" s="33" t="s">
        <v>323</v>
      </c>
    </row>
    <row r="15" spans="1:10" x14ac:dyDescent="0.3">
      <c r="D15" s="61"/>
    </row>
    <row r="17" spans="2:4" x14ac:dyDescent="0.3">
      <c r="B17" s="21" t="s">
        <v>1134</v>
      </c>
    </row>
    <row r="19" spans="2:4" x14ac:dyDescent="0.3">
      <c r="B19" s="33" t="s">
        <v>324</v>
      </c>
    </row>
    <row r="21" spans="2:4" x14ac:dyDescent="0.3">
      <c r="D21" s="61"/>
    </row>
    <row r="24" spans="2:4" x14ac:dyDescent="0.3">
      <c r="B24" s="21" t="s">
        <v>1135</v>
      </c>
    </row>
    <row r="26" spans="2:4" x14ac:dyDescent="0.3">
      <c r="B26" s="33" t="s">
        <v>31</v>
      </c>
    </row>
    <row r="28" spans="2:4" x14ac:dyDescent="0.3">
      <c r="D28" s="61"/>
    </row>
    <row r="31" spans="2:4" x14ac:dyDescent="0.3">
      <c r="B31" s="21" t="s">
        <v>1136</v>
      </c>
    </row>
    <row r="33" spans="2:4" x14ac:dyDescent="0.3">
      <c r="B33" s="33" t="s">
        <v>320</v>
      </c>
    </row>
    <row r="34" spans="2:4" x14ac:dyDescent="0.3">
      <c r="B34" s="33" t="s">
        <v>138</v>
      </c>
    </row>
    <row r="35" spans="2:4" x14ac:dyDescent="0.3">
      <c r="D35" s="61"/>
    </row>
  </sheetData>
  <dataValidations count="3">
    <dataValidation type="list" allowBlank="1" showInputMessage="1" showErrorMessage="1" sqref="B26 B34" xr:uid="{4D6D8E6A-D3D0-47EE-B242-3A838E60CE91}">
      <formula1>$C$5:$C$8</formula1>
    </dataValidation>
    <dataValidation type="list" allowBlank="1" showInputMessage="1" showErrorMessage="1" sqref="B19 B13" xr:uid="{0213C3CE-D8A3-415B-8A0F-A5F073CB1BA7}">
      <formula1>$B$5:$B$8</formula1>
    </dataValidation>
    <dataValidation type="list" allowBlank="1" showInputMessage="1" showErrorMessage="1" sqref="B33" xr:uid="{124DC638-FCB7-C943-A7C3-021E63359717}">
      <formula1>$D$4:$G$4</formula1>
    </dataValidation>
  </dataValidations>
  <printOptions horizontalCentered="1"/>
  <pageMargins left="0.15748031496062992" right="0.15748031496062992" top="0.78740157480314965" bottom="0.78740157480314965" header="0.51181102362204722" footer="0.51181102362204722"/>
  <pageSetup paperSize="9" scale="75" orientation="portrait" r:id="rId1"/>
  <headerFooter alignWithMargins="0">
    <oddFooter xml:space="preserve">&amp;CClarity Consultancy Services Ltd   info@clarityconsultancyservices.co.uk
Registered in the UK (6619745). Registered Office:  Suite 6 Bourne Gate, Bourne Valley Rd, Poole, BH12 1DY
</oddFooter>
  </headerFooter>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82B41-6FD1-4EE1-BB90-87DAA7AC0A21}">
  <sheetPr>
    <tabColor rgb="FF00B0F0"/>
    <pageSetUpPr fitToPage="1"/>
  </sheetPr>
  <dimension ref="A1:K35"/>
  <sheetViews>
    <sheetView showGridLines="0" zoomScaleNormal="100" workbookViewId="0">
      <pane ySplit="1" topLeftCell="A2" activePane="bottomLeft" state="frozen"/>
      <selection pane="bottomLeft"/>
    </sheetView>
  </sheetViews>
  <sheetFormatPr defaultColWidth="0" defaultRowHeight="16.8" x14ac:dyDescent="0.3"/>
  <cols>
    <col min="1" max="1" width="3.6640625" style="21" customWidth="1"/>
    <col min="2" max="2" width="12.33203125" style="21" customWidth="1"/>
    <col min="3" max="3" width="14.44140625" style="21" bestFit="1" customWidth="1"/>
    <col min="4" max="4" width="14" style="21" customWidth="1"/>
    <col min="5" max="5" width="11.44140625" style="21" customWidth="1"/>
    <col min="6" max="6" width="9.44140625" style="21" bestFit="1" customWidth="1"/>
    <col min="7" max="7" width="10.44140625" style="21" bestFit="1" customWidth="1"/>
    <col min="8" max="8" width="12.77734375" style="21" bestFit="1" customWidth="1"/>
    <col min="9" max="9" width="19.44140625" style="21" customWidth="1"/>
    <col min="10" max="10" width="27.77734375" style="21" customWidth="1"/>
    <col min="11" max="11" width="13.6640625" style="21" hidden="1" customWidth="1"/>
    <col min="12" max="16384" width="8.77734375" style="21" hidden="1"/>
  </cols>
  <sheetData>
    <row r="1" spans="1:10" s="52" customFormat="1" ht="49.95" customHeight="1" x14ac:dyDescent="0.3">
      <c r="A1" s="49"/>
      <c r="B1" s="50" t="s">
        <v>942</v>
      </c>
      <c r="C1" s="49"/>
      <c r="D1" s="49"/>
      <c r="E1" s="49"/>
      <c r="F1" s="51"/>
      <c r="G1" s="51"/>
      <c r="H1" s="51"/>
      <c r="I1" s="51"/>
      <c r="J1" s="51"/>
    </row>
    <row r="2" spans="1:10" ht="19.95" customHeight="1" x14ac:dyDescent="0.3">
      <c r="B2" s="21" t="s">
        <v>316</v>
      </c>
    </row>
    <row r="4" spans="1:10" x14ac:dyDescent="0.3">
      <c r="B4" s="58" t="s">
        <v>317</v>
      </c>
      <c r="C4" s="58" t="s">
        <v>56</v>
      </c>
      <c r="D4" s="58" t="s">
        <v>29</v>
      </c>
      <c r="E4" s="58" t="s">
        <v>318</v>
      </c>
      <c r="F4" s="58" t="s">
        <v>319</v>
      </c>
      <c r="G4" s="58" t="s">
        <v>320</v>
      </c>
    </row>
    <row r="5" spans="1:10" x14ac:dyDescent="0.3">
      <c r="B5" s="33" t="s">
        <v>321</v>
      </c>
      <c r="C5" s="33" t="s">
        <v>30</v>
      </c>
      <c r="D5" s="59">
        <v>8</v>
      </c>
      <c r="E5" s="59">
        <v>1.2</v>
      </c>
      <c r="F5" s="59" t="s">
        <v>322</v>
      </c>
      <c r="G5" s="35">
        <v>300</v>
      </c>
    </row>
    <row r="6" spans="1:10" x14ac:dyDescent="0.3">
      <c r="B6" s="33" t="s">
        <v>323</v>
      </c>
      <c r="C6" s="33" t="s">
        <v>31</v>
      </c>
      <c r="D6" s="59">
        <v>8.5</v>
      </c>
      <c r="E6" s="59">
        <v>1.95</v>
      </c>
      <c r="F6" s="59" t="s">
        <v>322</v>
      </c>
      <c r="G6" s="35">
        <v>150</v>
      </c>
    </row>
    <row r="7" spans="1:10" x14ac:dyDescent="0.3">
      <c r="B7" s="33" t="s">
        <v>324</v>
      </c>
      <c r="C7" s="86" t="s">
        <v>32</v>
      </c>
      <c r="D7" s="59">
        <v>7.5</v>
      </c>
      <c r="E7" s="59">
        <v>1</v>
      </c>
      <c r="F7" s="59" t="s">
        <v>322</v>
      </c>
      <c r="G7" s="35">
        <v>205</v>
      </c>
    </row>
    <row r="8" spans="1:10" x14ac:dyDescent="0.3">
      <c r="B8" s="33" t="s">
        <v>325</v>
      </c>
      <c r="C8" s="33" t="s">
        <v>138</v>
      </c>
      <c r="D8" s="59">
        <v>8</v>
      </c>
      <c r="E8" s="59">
        <v>1.45</v>
      </c>
      <c r="F8" s="59" t="s">
        <v>322</v>
      </c>
      <c r="G8" s="35">
        <v>450</v>
      </c>
    </row>
    <row r="11" spans="1:10" x14ac:dyDescent="0.3">
      <c r="B11" s="21" t="s">
        <v>326</v>
      </c>
    </row>
    <row r="13" spans="1:10" x14ac:dyDescent="0.3">
      <c r="B13" s="33" t="s">
        <v>323</v>
      </c>
    </row>
    <row r="15" spans="1:10" x14ac:dyDescent="0.3">
      <c r="D15" s="61">
        <f>_xlfn.XLOOKUP(B13, B5:B8, E5:E8)</f>
        <v>1.95</v>
      </c>
    </row>
    <row r="17" spans="2:4" x14ac:dyDescent="0.3">
      <c r="B17" s="21" t="s">
        <v>327</v>
      </c>
    </row>
    <row r="19" spans="2:4" x14ac:dyDescent="0.3">
      <c r="B19" s="33" t="s">
        <v>324</v>
      </c>
    </row>
    <row r="21" spans="2:4" x14ac:dyDescent="0.3">
      <c r="D21" s="61" t="str">
        <f>_xlfn.XLOOKUP(B19, B5:B8, C5:C8)</f>
        <v>Vegetarian Pie</v>
      </c>
    </row>
    <row r="24" spans="2:4" x14ac:dyDescent="0.3">
      <c r="B24" s="21" t="s">
        <v>328</v>
      </c>
    </row>
    <row r="26" spans="2:4" x14ac:dyDescent="0.3">
      <c r="B26" s="33" t="s">
        <v>31</v>
      </c>
    </row>
    <row r="28" spans="2:4" x14ac:dyDescent="0.3">
      <c r="D28" s="61">
        <f>_xlfn.XLOOKUP(B26, C5:C8, G5:G8)</f>
        <v>150</v>
      </c>
    </row>
    <row r="31" spans="2:4" x14ac:dyDescent="0.3">
      <c r="B31" s="21" t="s">
        <v>1136</v>
      </c>
    </row>
    <row r="33" spans="2:4" x14ac:dyDescent="0.3">
      <c r="B33" s="33" t="s">
        <v>320</v>
      </c>
    </row>
    <row r="34" spans="2:4" x14ac:dyDescent="0.3">
      <c r="B34" s="33" t="s">
        <v>138</v>
      </c>
    </row>
    <row r="35" spans="2:4" x14ac:dyDescent="0.3">
      <c r="D35" s="61" cm="1">
        <f t="array" ref="D35">_xlfn.XLOOKUP(B34, C5:C8, _xlfn.XLOOKUP(B33, D4:G4, D5:G8))</f>
        <v>450</v>
      </c>
    </row>
  </sheetData>
  <dataValidations count="3">
    <dataValidation type="list" allowBlank="1" showInputMessage="1" showErrorMessage="1" sqref="B19 B13" xr:uid="{DE82DD1E-45C4-44F2-95AA-05A52B3E1662}">
      <formula1>$B$5:$B$8</formula1>
    </dataValidation>
    <dataValidation type="list" allowBlank="1" showInputMessage="1" showErrorMessage="1" sqref="B26 B34" xr:uid="{2B762E31-3F89-407C-9779-A07E11CBDCD3}">
      <formula1>$C$5:$C$8</formula1>
    </dataValidation>
    <dataValidation type="list" allowBlank="1" showInputMessage="1" showErrorMessage="1" sqref="B33" xr:uid="{792B51F5-3B92-1F41-9DE2-A3045CED9E00}">
      <formula1>$D$4:$G$4</formula1>
    </dataValidation>
  </dataValidations>
  <printOptions horizontalCentered="1"/>
  <pageMargins left="0.15748031496062992" right="0.15748031496062992" top="0.78740157480314965" bottom="0.78740157480314965" header="0.51181102362204722" footer="0.51181102362204722"/>
  <pageSetup paperSize="9" scale="75" orientation="portrait" r:id="rId1"/>
  <headerFooter alignWithMargins="0">
    <oddFooter xml:space="preserve">&amp;CClarity Consultancy Services Ltd   info@clarityconsultancyservices.co.uk
Registered in the UK (6619745). Registered Office:  Suite 6 Bourne Gate, Bourne Valley Rd, Poole, BH12 1DY
</oddFooter>
  </headerFooter>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D2502-573F-42DB-B95D-B88A7C73F299}">
  <sheetPr>
    <tabColor rgb="FF002060"/>
    <pageSetUpPr fitToPage="1"/>
  </sheetPr>
  <dimension ref="A1:AK54"/>
  <sheetViews>
    <sheetView showGridLines="0" zoomScaleNormal="100" workbookViewId="0">
      <pane ySplit="1" topLeftCell="A2" activePane="bottomLeft" state="frozen"/>
      <selection pane="bottomLeft"/>
    </sheetView>
  </sheetViews>
  <sheetFormatPr defaultColWidth="0" defaultRowHeight="16.8" x14ac:dyDescent="0.3"/>
  <cols>
    <col min="1" max="2" width="3.6640625" style="21" customWidth="1"/>
    <col min="3" max="3" width="27.6640625" style="21" customWidth="1"/>
    <col min="4" max="4" width="21.109375" style="21" customWidth="1"/>
    <col min="5" max="5" width="35" style="21" customWidth="1"/>
    <col min="6" max="6" width="15.77734375" style="21" customWidth="1"/>
    <col min="7" max="7" width="13.44140625" style="21" customWidth="1"/>
    <col min="8" max="8" width="14.44140625" style="21" customWidth="1"/>
    <col min="9" max="10" width="12.33203125" style="21" customWidth="1"/>
    <col min="11" max="11" width="12.109375" style="21" customWidth="1"/>
    <col min="12" max="12" width="12.6640625" style="21" customWidth="1"/>
    <col min="13" max="13" width="10.6640625" style="21" customWidth="1"/>
    <col min="14" max="14" width="23.33203125" style="21" customWidth="1"/>
    <col min="15" max="37" width="9.109375" style="21" hidden="1" customWidth="1"/>
    <col min="38" max="16384" width="0" style="21" hidden="1"/>
  </cols>
  <sheetData>
    <row r="1" spans="1:14" s="52" customFormat="1" ht="49.95" customHeight="1" x14ac:dyDescent="0.3">
      <c r="A1" s="49"/>
      <c r="B1" s="50" t="s">
        <v>542</v>
      </c>
      <c r="C1" s="50"/>
      <c r="D1" s="49"/>
      <c r="E1" s="49"/>
      <c r="F1" s="51"/>
      <c r="G1" s="51"/>
      <c r="H1" s="51"/>
      <c r="I1" s="51"/>
      <c r="J1" s="51"/>
      <c r="K1" s="51"/>
      <c r="L1" s="51"/>
      <c r="M1" s="51"/>
      <c r="N1" s="51"/>
    </row>
    <row r="2" spans="1:14" ht="12" customHeight="1" x14ac:dyDescent="0.3"/>
    <row r="3" spans="1:14" x14ac:dyDescent="0.3">
      <c r="B3" s="37" t="s">
        <v>331</v>
      </c>
    </row>
    <row r="5" spans="1:14" x14ac:dyDescent="0.3">
      <c r="C5" s="58" t="s">
        <v>171</v>
      </c>
      <c r="D5" s="58" t="s">
        <v>172</v>
      </c>
    </row>
    <row r="6" spans="1:14" x14ac:dyDescent="0.3">
      <c r="C6" s="25" t="s">
        <v>173</v>
      </c>
      <c r="D6" s="33" t="s">
        <v>174</v>
      </c>
    </row>
    <row r="7" spans="1:14" x14ac:dyDescent="0.3">
      <c r="C7" s="25" t="s">
        <v>177</v>
      </c>
      <c r="D7" s="33" t="s">
        <v>178</v>
      </c>
    </row>
    <row r="8" spans="1:14" x14ac:dyDescent="0.3">
      <c r="C8" s="25" t="s">
        <v>179</v>
      </c>
      <c r="D8" s="33" t="s">
        <v>180</v>
      </c>
    </row>
    <row r="9" spans="1:14" x14ac:dyDescent="0.3">
      <c r="C9" s="25" t="s">
        <v>175</v>
      </c>
      <c r="D9" s="33" t="s">
        <v>176</v>
      </c>
    </row>
    <row r="11" spans="1:14" x14ac:dyDescent="0.3">
      <c r="C11" s="21" t="s">
        <v>266</v>
      </c>
      <c r="D11" s="33" t="s">
        <v>175</v>
      </c>
    </row>
    <row r="13" spans="1:14" x14ac:dyDescent="0.3">
      <c r="C13" s="21" t="s">
        <v>332</v>
      </c>
      <c r="G13" s="73"/>
    </row>
    <row r="15" spans="1:14" x14ac:dyDescent="0.3">
      <c r="B15" s="37" t="s">
        <v>1228</v>
      </c>
    </row>
    <row r="16" spans="1:14" x14ac:dyDescent="0.3">
      <c r="B16" s="37"/>
    </row>
    <row r="17" spans="3:7" x14ac:dyDescent="0.3">
      <c r="C17" s="21" t="s">
        <v>1231</v>
      </c>
      <c r="D17" s="33"/>
      <c r="G17" s="219"/>
    </row>
    <row r="19" spans="3:7" ht="48" customHeight="1" x14ac:dyDescent="0.3">
      <c r="C19" s="217" t="s">
        <v>1230</v>
      </c>
      <c r="D19" s="218"/>
      <c r="G19" s="219"/>
    </row>
    <row r="23" spans="3:7" x14ac:dyDescent="0.3">
      <c r="C23" s="129" t="s">
        <v>171</v>
      </c>
      <c r="D23" s="129" t="s">
        <v>189</v>
      </c>
    </row>
    <row r="24" spans="3:7" x14ac:dyDescent="0.3">
      <c r="C24" s="33" t="s">
        <v>190</v>
      </c>
      <c r="D24" s="79">
        <v>1500</v>
      </c>
    </row>
    <row r="25" spans="3:7" x14ac:dyDescent="0.3">
      <c r="C25" s="33" t="s">
        <v>191</v>
      </c>
      <c r="D25" s="79">
        <v>2700</v>
      </c>
    </row>
    <row r="26" spans="3:7" x14ac:dyDescent="0.3">
      <c r="C26" s="33" t="s">
        <v>192</v>
      </c>
      <c r="D26" s="79">
        <v>3600</v>
      </c>
    </row>
    <row r="27" spans="3:7" x14ac:dyDescent="0.3">
      <c r="C27" s="33" t="s">
        <v>193</v>
      </c>
      <c r="D27" s="79">
        <v>9000</v>
      </c>
    </row>
    <row r="28" spans="3:7" x14ac:dyDescent="0.3">
      <c r="C28" s="33" t="s">
        <v>194</v>
      </c>
      <c r="D28" s="79">
        <v>1500</v>
      </c>
    </row>
    <row r="29" spans="3:7" x14ac:dyDescent="0.3">
      <c r="C29" s="33" t="s">
        <v>195</v>
      </c>
      <c r="D29" s="79">
        <v>10000</v>
      </c>
    </row>
    <row r="30" spans="3:7" x14ac:dyDescent="0.3">
      <c r="C30" s="33" t="s">
        <v>196</v>
      </c>
      <c r="D30" s="79">
        <v>6750</v>
      </c>
    </row>
    <row r="31" spans="3:7" x14ac:dyDescent="0.3">
      <c r="C31" s="33" t="s">
        <v>197</v>
      </c>
      <c r="D31" s="79">
        <v>2000</v>
      </c>
    </row>
    <row r="32" spans="3:7" x14ac:dyDescent="0.3">
      <c r="C32" s="33" t="s">
        <v>198</v>
      </c>
      <c r="D32" s="79">
        <v>6000</v>
      </c>
    </row>
    <row r="33" spans="3:4" x14ac:dyDescent="0.3">
      <c r="C33" s="33" t="s">
        <v>199</v>
      </c>
      <c r="D33" s="79">
        <v>1500</v>
      </c>
    </row>
    <row r="34" spans="3:4" x14ac:dyDescent="0.3">
      <c r="C34" s="33" t="s">
        <v>200</v>
      </c>
      <c r="D34" s="79">
        <v>3600</v>
      </c>
    </row>
    <row r="35" spans="3:4" x14ac:dyDescent="0.3">
      <c r="C35" s="33" t="s">
        <v>201</v>
      </c>
      <c r="D35" s="79">
        <v>1500</v>
      </c>
    </row>
    <row r="36" spans="3:4" x14ac:dyDescent="0.3">
      <c r="C36" s="33" t="s">
        <v>202</v>
      </c>
      <c r="D36" s="79">
        <v>2250</v>
      </c>
    </row>
    <row r="37" spans="3:4" x14ac:dyDescent="0.3">
      <c r="C37" s="33" t="s">
        <v>203</v>
      </c>
      <c r="D37" s="79">
        <v>700</v>
      </c>
    </row>
    <row r="38" spans="3:4" x14ac:dyDescent="0.3">
      <c r="C38" s="33" t="s">
        <v>204</v>
      </c>
      <c r="D38" s="79">
        <v>5000</v>
      </c>
    </row>
    <row r="39" spans="3:4" x14ac:dyDescent="0.3">
      <c r="C39" s="33" t="s">
        <v>205</v>
      </c>
      <c r="D39" s="79">
        <v>500</v>
      </c>
    </row>
    <row r="40" spans="3:4" x14ac:dyDescent="0.3">
      <c r="C40" s="33" t="s">
        <v>206</v>
      </c>
      <c r="D40" s="79">
        <v>4500</v>
      </c>
    </row>
    <row r="41" spans="3:4" x14ac:dyDescent="0.3">
      <c r="C41" s="33" t="s">
        <v>207</v>
      </c>
      <c r="D41" s="79">
        <v>2000</v>
      </c>
    </row>
    <row r="42" spans="3:4" x14ac:dyDescent="0.3">
      <c r="C42" s="33" t="s">
        <v>208</v>
      </c>
      <c r="D42" s="79">
        <v>12500</v>
      </c>
    </row>
    <row r="43" spans="3:4" x14ac:dyDescent="0.3">
      <c r="C43" s="33" t="s">
        <v>209</v>
      </c>
      <c r="D43" s="79">
        <v>4500</v>
      </c>
    </row>
    <row r="44" spans="3:4" x14ac:dyDescent="0.3">
      <c r="C44" s="33" t="s">
        <v>210</v>
      </c>
      <c r="D44" s="79">
        <v>10000</v>
      </c>
    </row>
    <row r="45" spans="3:4" x14ac:dyDescent="0.3">
      <c r="C45" s="33" t="s">
        <v>211</v>
      </c>
      <c r="D45" s="79">
        <v>2700</v>
      </c>
    </row>
    <row r="46" spans="3:4" x14ac:dyDescent="0.3">
      <c r="C46" s="33" t="s">
        <v>212</v>
      </c>
      <c r="D46" s="79">
        <v>2000</v>
      </c>
    </row>
    <row r="47" spans="3:4" x14ac:dyDescent="0.3">
      <c r="C47" s="33" t="s">
        <v>213</v>
      </c>
      <c r="D47" s="79">
        <v>3500</v>
      </c>
    </row>
    <row r="48" spans="3:4" x14ac:dyDescent="0.3">
      <c r="C48" s="33" t="s">
        <v>214</v>
      </c>
      <c r="D48" s="79">
        <v>4000</v>
      </c>
    </row>
    <row r="49" spans="3:4" x14ac:dyDescent="0.3">
      <c r="C49" s="33" t="s">
        <v>215</v>
      </c>
      <c r="D49" s="79">
        <v>1000</v>
      </c>
    </row>
    <row r="50" spans="3:4" x14ac:dyDescent="0.3">
      <c r="C50" s="33" t="s">
        <v>216</v>
      </c>
      <c r="D50" s="79">
        <v>1800</v>
      </c>
    </row>
    <row r="51" spans="3:4" x14ac:dyDescent="0.3">
      <c r="C51" s="33" t="s">
        <v>217</v>
      </c>
      <c r="D51" s="79">
        <v>1800</v>
      </c>
    </row>
    <row r="52" spans="3:4" x14ac:dyDescent="0.3">
      <c r="C52" s="33" t="s">
        <v>218</v>
      </c>
      <c r="D52" s="79">
        <v>10000</v>
      </c>
    </row>
    <row r="53" spans="3:4" x14ac:dyDescent="0.3">
      <c r="C53" s="33" t="s">
        <v>219</v>
      </c>
      <c r="D53" s="79">
        <v>2000</v>
      </c>
    </row>
    <row r="54" spans="3:4" x14ac:dyDescent="0.3">
      <c r="C54" s="72" t="s">
        <v>220</v>
      </c>
      <c r="D54" s="195">
        <v>2500</v>
      </c>
    </row>
  </sheetData>
  <dataValidations disablePrompts="1" count="1">
    <dataValidation type="list" allowBlank="1" showInputMessage="1" showErrorMessage="1" sqref="D11" xr:uid="{45024214-EA75-4C15-8E1B-2B7663A94CE7}">
      <formula1>"Customer 1, Customer 2, Customer 3, Customer 4"</formula1>
    </dataValidation>
  </dataValidations>
  <printOptions horizontalCentered="1"/>
  <pageMargins left="0.15748031496063" right="0.15748031496063" top="0.78740157480314998" bottom="0.78740157480314998" header="0.511811023622047" footer="0.511811023622047"/>
  <pageSetup paperSize="9" scale="15" orientation="landscape" r:id="rId1"/>
  <headerFooter alignWithMargins="0">
    <oddFooter xml:space="preserve">&amp;CClarity Consultancy Services Ltd   info@clarityconsultancyservices.co.uk
Registered in the UK (6619745). Registered Office:  Suite 6 Bourne Gate, Bourne Valley Rd, Poole, BH12 1DY
</oddFooter>
  </headerFooter>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228AE-AF2A-42F3-98D4-7AAE8B448876}">
  <sheetPr>
    <tabColor rgb="FF00B0F0"/>
    <pageSetUpPr fitToPage="1"/>
  </sheetPr>
  <dimension ref="A1:AK54"/>
  <sheetViews>
    <sheetView showGridLines="0" zoomScaleNormal="100" workbookViewId="0">
      <pane ySplit="1" topLeftCell="A2" activePane="bottomLeft" state="frozen"/>
      <selection pane="bottomLeft"/>
    </sheetView>
  </sheetViews>
  <sheetFormatPr defaultColWidth="0" defaultRowHeight="16.8" x14ac:dyDescent="0.3"/>
  <cols>
    <col min="1" max="2" width="3.6640625" style="21" customWidth="1"/>
    <col min="3" max="3" width="27.44140625" style="21" customWidth="1"/>
    <col min="4" max="4" width="21.109375" style="21" customWidth="1"/>
    <col min="5" max="5" width="35" style="21" customWidth="1"/>
    <col min="6" max="6" width="15.77734375" style="21" customWidth="1"/>
    <col min="7" max="7" width="13.44140625" style="21" customWidth="1"/>
    <col min="8" max="8" width="14.44140625" style="21" customWidth="1"/>
    <col min="9" max="10" width="12.33203125" style="21" customWidth="1"/>
    <col min="11" max="11" width="12.109375" style="21" customWidth="1"/>
    <col min="12" max="12" width="12.6640625" style="21" customWidth="1"/>
    <col min="13" max="13" width="10.6640625" style="21" customWidth="1"/>
    <col min="14" max="14" width="23.33203125" style="21" customWidth="1"/>
    <col min="15" max="37" width="9.109375" style="21" hidden="1" customWidth="1"/>
    <col min="38" max="16384" width="0" style="21" hidden="1"/>
  </cols>
  <sheetData>
    <row r="1" spans="1:14" s="52" customFormat="1" ht="49.95" customHeight="1" x14ac:dyDescent="0.3">
      <c r="A1" s="49"/>
      <c r="B1" s="50" t="s">
        <v>943</v>
      </c>
      <c r="C1" s="50"/>
      <c r="D1" s="49"/>
      <c r="E1" s="49"/>
      <c r="F1" s="51"/>
      <c r="G1" s="51"/>
      <c r="H1" s="51"/>
      <c r="I1" s="51"/>
      <c r="J1" s="51"/>
      <c r="K1" s="51"/>
      <c r="L1" s="51"/>
      <c r="M1" s="51"/>
      <c r="N1" s="51"/>
    </row>
    <row r="2" spans="1:14" ht="12" customHeight="1" x14ac:dyDescent="0.3"/>
    <row r="3" spans="1:14" x14ac:dyDescent="0.3">
      <c r="B3" s="37" t="s">
        <v>331</v>
      </c>
    </row>
    <row r="5" spans="1:14" x14ac:dyDescent="0.3">
      <c r="C5" s="58" t="s">
        <v>171</v>
      </c>
      <c r="D5" s="58" t="s">
        <v>172</v>
      </c>
    </row>
    <row r="6" spans="1:14" x14ac:dyDescent="0.3">
      <c r="C6" s="25" t="s">
        <v>173</v>
      </c>
      <c r="D6" s="33" t="s">
        <v>174</v>
      </c>
    </row>
    <row r="7" spans="1:14" x14ac:dyDescent="0.3">
      <c r="C7" s="25" t="s">
        <v>177</v>
      </c>
      <c r="D7" s="33" t="s">
        <v>178</v>
      </c>
    </row>
    <row r="8" spans="1:14" x14ac:dyDescent="0.3">
      <c r="C8" s="25" t="s">
        <v>179</v>
      </c>
      <c r="D8" s="33" t="s">
        <v>180</v>
      </c>
    </row>
    <row r="9" spans="1:14" x14ac:dyDescent="0.3">
      <c r="C9" s="25" t="s">
        <v>175</v>
      </c>
      <c r="D9" s="33" t="s">
        <v>176</v>
      </c>
    </row>
    <row r="11" spans="1:14" x14ac:dyDescent="0.3">
      <c r="C11" s="21" t="s">
        <v>266</v>
      </c>
      <c r="D11" s="33" t="s">
        <v>175</v>
      </c>
    </row>
    <row r="13" spans="1:14" x14ac:dyDescent="0.3">
      <c r="C13" s="21" t="s">
        <v>332</v>
      </c>
      <c r="G13" s="73" t="str">
        <f>_xlfn.XLOOKUP(D11, C6:C9, D6:D9, "Not found")</f>
        <v>PD32 9WE</v>
      </c>
    </row>
    <row r="15" spans="1:14" x14ac:dyDescent="0.3">
      <c r="B15" s="37" t="s">
        <v>1228</v>
      </c>
    </row>
    <row r="16" spans="1:14" x14ac:dyDescent="0.3">
      <c r="B16" s="37"/>
    </row>
    <row r="17" spans="3:7" x14ac:dyDescent="0.3">
      <c r="C17" s="21" t="s">
        <v>1231</v>
      </c>
      <c r="D17" s="33" t="s">
        <v>216</v>
      </c>
      <c r="G17" s="36">
        <f>_xlfn.XLOOKUP(D17, TableSol[Customer], TableSol[2017 Sales], "Not found")</f>
        <v>1800</v>
      </c>
    </row>
    <row r="19" spans="3:7" ht="50.4" x14ac:dyDescent="0.3">
      <c r="C19" s="217" t="s">
        <v>1230</v>
      </c>
      <c r="D19" s="218" t="s">
        <v>1229</v>
      </c>
      <c r="G19" s="36">
        <f>_xlfn.XLOOKUP(D19, TableSol[Customer], TableSol[2017 Sales],,2,-1)</f>
        <v>10000</v>
      </c>
    </row>
    <row r="23" spans="3:7" x14ac:dyDescent="0.3">
      <c r="C23" s="129" t="s">
        <v>171</v>
      </c>
      <c r="D23" s="129" t="s">
        <v>189</v>
      </c>
    </row>
    <row r="24" spans="3:7" x14ac:dyDescent="0.3">
      <c r="C24" s="33" t="s">
        <v>190</v>
      </c>
      <c r="D24" s="79">
        <v>1500</v>
      </c>
    </row>
    <row r="25" spans="3:7" x14ac:dyDescent="0.3">
      <c r="C25" s="33" t="s">
        <v>191</v>
      </c>
      <c r="D25" s="79">
        <v>2700</v>
      </c>
    </row>
    <row r="26" spans="3:7" x14ac:dyDescent="0.3">
      <c r="C26" s="33" t="s">
        <v>192</v>
      </c>
      <c r="D26" s="79">
        <v>3600</v>
      </c>
    </row>
    <row r="27" spans="3:7" x14ac:dyDescent="0.3">
      <c r="C27" s="33" t="s">
        <v>193</v>
      </c>
      <c r="D27" s="79">
        <v>9000</v>
      </c>
    </row>
    <row r="28" spans="3:7" x14ac:dyDescent="0.3">
      <c r="C28" s="33" t="s">
        <v>194</v>
      </c>
      <c r="D28" s="79">
        <v>1500</v>
      </c>
    </row>
    <row r="29" spans="3:7" x14ac:dyDescent="0.3">
      <c r="C29" s="33" t="s">
        <v>195</v>
      </c>
      <c r="D29" s="79">
        <v>10000</v>
      </c>
    </row>
    <row r="30" spans="3:7" x14ac:dyDescent="0.3">
      <c r="C30" s="33" t="s">
        <v>196</v>
      </c>
      <c r="D30" s="79">
        <v>6750</v>
      </c>
    </row>
    <row r="31" spans="3:7" x14ac:dyDescent="0.3">
      <c r="C31" s="33" t="s">
        <v>197</v>
      </c>
      <c r="D31" s="79">
        <v>2000</v>
      </c>
    </row>
    <row r="32" spans="3:7" x14ac:dyDescent="0.3">
      <c r="C32" s="33" t="s">
        <v>198</v>
      </c>
      <c r="D32" s="79">
        <v>6000</v>
      </c>
    </row>
    <row r="33" spans="3:4" x14ac:dyDescent="0.3">
      <c r="C33" s="33" t="s">
        <v>199</v>
      </c>
      <c r="D33" s="79">
        <v>1500</v>
      </c>
    </row>
    <row r="34" spans="3:4" x14ac:dyDescent="0.3">
      <c r="C34" s="33" t="s">
        <v>200</v>
      </c>
      <c r="D34" s="79">
        <v>3600</v>
      </c>
    </row>
    <row r="35" spans="3:4" x14ac:dyDescent="0.3">
      <c r="C35" s="33" t="s">
        <v>201</v>
      </c>
      <c r="D35" s="79">
        <v>1500</v>
      </c>
    </row>
    <row r="36" spans="3:4" x14ac:dyDescent="0.3">
      <c r="C36" s="33" t="s">
        <v>202</v>
      </c>
      <c r="D36" s="79">
        <v>2250</v>
      </c>
    </row>
    <row r="37" spans="3:4" x14ac:dyDescent="0.3">
      <c r="C37" s="33" t="s">
        <v>203</v>
      </c>
      <c r="D37" s="79">
        <v>700</v>
      </c>
    </row>
    <row r="38" spans="3:4" x14ac:dyDescent="0.3">
      <c r="C38" s="33" t="s">
        <v>204</v>
      </c>
      <c r="D38" s="79">
        <v>5000</v>
      </c>
    </row>
    <row r="39" spans="3:4" x14ac:dyDescent="0.3">
      <c r="C39" s="33" t="s">
        <v>205</v>
      </c>
      <c r="D39" s="79">
        <v>500</v>
      </c>
    </row>
    <row r="40" spans="3:4" x14ac:dyDescent="0.3">
      <c r="C40" s="33" t="s">
        <v>206</v>
      </c>
      <c r="D40" s="79">
        <v>4500</v>
      </c>
    </row>
    <row r="41" spans="3:4" x14ac:dyDescent="0.3">
      <c r="C41" s="33" t="s">
        <v>207</v>
      </c>
      <c r="D41" s="79">
        <v>2000</v>
      </c>
    </row>
    <row r="42" spans="3:4" x14ac:dyDescent="0.3">
      <c r="C42" s="33" t="s">
        <v>208</v>
      </c>
      <c r="D42" s="79">
        <v>12500</v>
      </c>
    </row>
    <row r="43" spans="3:4" x14ac:dyDescent="0.3">
      <c r="C43" s="33" t="s">
        <v>209</v>
      </c>
      <c r="D43" s="79">
        <v>4500</v>
      </c>
    </row>
    <row r="44" spans="3:4" x14ac:dyDescent="0.3">
      <c r="C44" s="33" t="s">
        <v>210</v>
      </c>
      <c r="D44" s="79">
        <v>10000</v>
      </c>
    </row>
    <row r="45" spans="3:4" x14ac:dyDescent="0.3">
      <c r="C45" s="33" t="s">
        <v>211</v>
      </c>
      <c r="D45" s="79">
        <v>2700</v>
      </c>
    </row>
    <row r="46" spans="3:4" x14ac:dyDescent="0.3">
      <c r="C46" s="33" t="s">
        <v>212</v>
      </c>
      <c r="D46" s="79">
        <v>2000</v>
      </c>
    </row>
    <row r="47" spans="3:4" x14ac:dyDescent="0.3">
      <c r="C47" s="33" t="s">
        <v>213</v>
      </c>
      <c r="D47" s="79">
        <v>3500</v>
      </c>
    </row>
    <row r="48" spans="3:4" x14ac:dyDescent="0.3">
      <c r="C48" s="33" t="s">
        <v>214</v>
      </c>
      <c r="D48" s="79">
        <v>4000</v>
      </c>
    </row>
    <row r="49" spans="3:4" x14ac:dyDescent="0.3">
      <c r="C49" s="33" t="s">
        <v>215</v>
      </c>
      <c r="D49" s="79">
        <v>1000</v>
      </c>
    </row>
    <row r="50" spans="3:4" x14ac:dyDescent="0.3">
      <c r="C50" s="33" t="s">
        <v>216</v>
      </c>
      <c r="D50" s="79">
        <v>1800</v>
      </c>
    </row>
    <row r="51" spans="3:4" x14ac:dyDescent="0.3">
      <c r="C51" s="33" t="s">
        <v>217</v>
      </c>
      <c r="D51" s="79">
        <v>1800</v>
      </c>
    </row>
    <row r="52" spans="3:4" x14ac:dyDescent="0.3">
      <c r="C52" s="33" t="s">
        <v>218</v>
      </c>
      <c r="D52" s="79">
        <v>10000</v>
      </c>
    </row>
    <row r="53" spans="3:4" x14ac:dyDescent="0.3">
      <c r="C53" s="33" t="s">
        <v>219</v>
      </c>
      <c r="D53" s="79">
        <v>2000</v>
      </c>
    </row>
    <row r="54" spans="3:4" x14ac:dyDescent="0.3">
      <c r="C54" s="72" t="s">
        <v>220</v>
      </c>
      <c r="D54" s="195">
        <v>2500</v>
      </c>
    </row>
  </sheetData>
  <dataValidations count="1">
    <dataValidation type="list" allowBlank="1" showInputMessage="1" showErrorMessage="1" sqref="D11" xr:uid="{34AD38D7-7B7D-422F-ADB6-1622E4042B49}">
      <formula1>"Customer 1, Customer 2, Customer 3, Customer 4"</formula1>
    </dataValidation>
  </dataValidations>
  <printOptions horizontalCentered="1"/>
  <pageMargins left="0.15748031496063" right="0.15748031496063" top="0.78740157480314998" bottom="0.78740157480314998" header="0.511811023622047" footer="0.511811023622047"/>
  <pageSetup paperSize="9" scale="15" orientation="landscape" r:id="rId1"/>
  <headerFooter alignWithMargins="0">
    <oddFooter xml:space="preserve">&amp;CClarity Consultancy Services Ltd   info@clarityconsultancyservices.co.uk
Registered in the UK (6619745). Registered Office:  Suite 6 Bourne Gate, Bourne Valley Rd, Poole, BH12 1DY
</oddFooter>
  </headerFooter>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F4BBA-D099-44C8-8A4C-529A3650AAFB}">
  <sheetPr>
    <tabColor rgb="FF002060"/>
  </sheetPr>
  <dimension ref="A1:N244"/>
  <sheetViews>
    <sheetView showGridLines="0" zoomScaleNormal="100" workbookViewId="0">
      <pane ySplit="9" topLeftCell="A10" activePane="bottomLeft" state="frozen"/>
      <selection pane="bottomLeft"/>
    </sheetView>
  </sheetViews>
  <sheetFormatPr defaultColWidth="0" defaultRowHeight="16.8" x14ac:dyDescent="0.3"/>
  <cols>
    <col min="1" max="1" width="3" style="21" customWidth="1"/>
    <col min="2" max="2" width="12.109375" style="21" customWidth="1"/>
    <col min="3" max="3" width="15" style="21" customWidth="1"/>
    <col min="4" max="4" width="25.44140625" style="21" customWidth="1"/>
    <col min="5" max="5" width="17.6640625" style="21" bestFit="1" customWidth="1"/>
    <col min="6" max="6" width="15.44140625" style="21" customWidth="1"/>
    <col min="7" max="12" width="19.109375" style="21" customWidth="1"/>
    <col min="13" max="13" width="5.77734375" style="21" customWidth="1"/>
    <col min="14" max="14" width="0" style="21" hidden="1" customWidth="1"/>
    <col min="15" max="16384" width="8.77734375" style="21" hidden="1"/>
  </cols>
  <sheetData>
    <row r="1" spans="1:13" s="52" customFormat="1" ht="49.95" customHeight="1" x14ac:dyDescent="0.3">
      <c r="A1" s="49"/>
      <c r="B1" s="50" t="s">
        <v>559</v>
      </c>
      <c r="C1" s="49"/>
      <c r="D1" s="49"/>
      <c r="E1" s="49"/>
      <c r="F1" s="51"/>
      <c r="G1" s="51"/>
      <c r="H1" s="51"/>
      <c r="I1" s="51"/>
      <c r="J1" s="51"/>
      <c r="K1" s="51"/>
      <c r="L1" s="51"/>
      <c r="M1" s="51"/>
    </row>
    <row r="3" spans="1:13" ht="19.95" customHeight="1" x14ac:dyDescent="0.3">
      <c r="B3" s="21" t="s">
        <v>335</v>
      </c>
    </row>
    <row r="4" spans="1:13" ht="19.95" customHeight="1" x14ac:dyDescent="0.3">
      <c r="B4" s="21" t="s">
        <v>336</v>
      </c>
    </row>
    <row r="5" spans="1:13" ht="19.95" customHeight="1" x14ac:dyDescent="0.3">
      <c r="B5" s="21" t="s">
        <v>337</v>
      </c>
    </row>
    <row r="6" spans="1:13" ht="19.95" customHeight="1" x14ac:dyDescent="0.3">
      <c r="B6" s="21" t="s">
        <v>338</v>
      </c>
    </row>
    <row r="9" spans="1:13" x14ac:dyDescent="0.3">
      <c r="B9" s="58" t="s">
        <v>119</v>
      </c>
      <c r="C9" s="58" t="s">
        <v>84</v>
      </c>
      <c r="D9" s="58" t="s">
        <v>28</v>
      </c>
      <c r="E9" s="58" t="s">
        <v>112</v>
      </c>
      <c r="F9" s="58" t="s">
        <v>113</v>
      </c>
      <c r="G9" s="58" t="s">
        <v>122</v>
      </c>
      <c r="H9" s="58" t="s">
        <v>120</v>
      </c>
      <c r="I9" s="58" t="s">
        <v>121</v>
      </c>
      <c r="J9" s="58" t="s">
        <v>146</v>
      </c>
      <c r="K9" s="58" t="s">
        <v>339</v>
      </c>
      <c r="L9" s="58" t="s">
        <v>340</v>
      </c>
    </row>
    <row r="10" spans="1:13" x14ac:dyDescent="0.3">
      <c r="B10" s="76">
        <v>43102</v>
      </c>
      <c r="C10" s="33" t="s">
        <v>341</v>
      </c>
      <c r="D10" s="33" t="s">
        <v>123</v>
      </c>
      <c r="E10" s="33">
        <v>180</v>
      </c>
      <c r="F10" s="33">
        <v>171</v>
      </c>
      <c r="G10" s="87"/>
      <c r="H10" s="88"/>
      <c r="I10" s="88"/>
      <c r="J10" s="88"/>
      <c r="K10" s="88"/>
      <c r="L10" s="88"/>
    </row>
    <row r="11" spans="1:13" x14ac:dyDescent="0.3">
      <c r="B11" s="76">
        <v>43102</v>
      </c>
      <c r="C11" s="33" t="s">
        <v>341</v>
      </c>
      <c r="D11" s="33" t="s">
        <v>125</v>
      </c>
      <c r="E11" s="33">
        <v>75</v>
      </c>
      <c r="F11" s="33">
        <v>72</v>
      </c>
      <c r="G11" s="87"/>
      <c r="H11" s="88"/>
      <c r="I11" s="88"/>
      <c r="J11" s="88"/>
      <c r="K11" s="88"/>
      <c r="L11" s="88"/>
    </row>
    <row r="12" spans="1:13" x14ac:dyDescent="0.3">
      <c r="B12" s="76">
        <v>43102</v>
      </c>
      <c r="C12" s="33" t="s">
        <v>341</v>
      </c>
      <c r="D12" s="33" t="s">
        <v>126</v>
      </c>
      <c r="E12" s="33">
        <v>30</v>
      </c>
      <c r="F12" s="33">
        <v>29</v>
      </c>
      <c r="G12" s="87"/>
      <c r="H12" s="88"/>
      <c r="I12" s="88"/>
      <c r="J12" s="88"/>
      <c r="K12" s="88"/>
      <c r="L12" s="88"/>
    </row>
    <row r="13" spans="1:13" x14ac:dyDescent="0.3">
      <c r="B13" s="76">
        <v>43104</v>
      </c>
      <c r="C13" s="33" t="s">
        <v>341</v>
      </c>
      <c r="D13" s="33" t="s">
        <v>123</v>
      </c>
      <c r="E13" s="33">
        <v>180</v>
      </c>
      <c r="F13" s="33">
        <v>178</v>
      </c>
      <c r="G13" s="87"/>
      <c r="H13" s="88"/>
      <c r="I13" s="88"/>
      <c r="J13" s="88"/>
      <c r="K13" s="88"/>
      <c r="L13" s="88"/>
    </row>
    <row r="14" spans="1:13" x14ac:dyDescent="0.3">
      <c r="B14" s="76">
        <v>43104</v>
      </c>
      <c r="C14" s="33" t="s">
        <v>341</v>
      </c>
      <c r="D14" s="33" t="s">
        <v>125</v>
      </c>
      <c r="E14" s="33">
        <v>75</v>
      </c>
      <c r="F14" s="33">
        <v>72</v>
      </c>
      <c r="G14" s="87"/>
      <c r="H14" s="88"/>
      <c r="I14" s="88"/>
      <c r="J14" s="88"/>
      <c r="K14" s="88"/>
      <c r="L14" s="88"/>
    </row>
    <row r="15" spans="1:13" x14ac:dyDescent="0.3">
      <c r="B15" s="76">
        <v>43104</v>
      </c>
      <c r="C15" s="33" t="s">
        <v>341</v>
      </c>
      <c r="D15" s="33" t="s">
        <v>126</v>
      </c>
      <c r="E15" s="33">
        <v>30</v>
      </c>
      <c r="F15" s="33">
        <v>24</v>
      </c>
      <c r="G15" s="87"/>
      <c r="H15" s="88"/>
      <c r="I15" s="88"/>
      <c r="J15" s="88"/>
      <c r="K15" s="88"/>
      <c r="L15" s="88"/>
    </row>
    <row r="16" spans="1:13" x14ac:dyDescent="0.3">
      <c r="B16" s="76">
        <v>43106</v>
      </c>
      <c r="C16" s="33" t="s">
        <v>341</v>
      </c>
      <c r="D16" s="33" t="s">
        <v>123</v>
      </c>
      <c r="E16" s="33">
        <v>180</v>
      </c>
      <c r="F16" s="33">
        <v>175</v>
      </c>
      <c r="G16" s="87"/>
      <c r="H16" s="88"/>
      <c r="I16" s="88"/>
      <c r="J16" s="88"/>
      <c r="K16" s="88"/>
      <c r="L16" s="88"/>
    </row>
    <row r="17" spans="2:12" x14ac:dyDescent="0.3">
      <c r="B17" s="76">
        <v>43106</v>
      </c>
      <c r="C17" s="33" t="s">
        <v>341</v>
      </c>
      <c r="D17" s="33" t="s">
        <v>125</v>
      </c>
      <c r="E17" s="33">
        <v>75</v>
      </c>
      <c r="F17" s="33">
        <v>67</v>
      </c>
      <c r="G17" s="87"/>
      <c r="H17" s="88"/>
      <c r="I17" s="88"/>
      <c r="J17" s="88"/>
      <c r="K17" s="88"/>
      <c r="L17" s="88"/>
    </row>
    <row r="18" spans="2:12" x14ac:dyDescent="0.3">
      <c r="B18" s="76">
        <v>43106</v>
      </c>
      <c r="C18" s="33" t="s">
        <v>341</v>
      </c>
      <c r="D18" s="33" t="s">
        <v>126</v>
      </c>
      <c r="E18" s="33">
        <v>30</v>
      </c>
      <c r="F18" s="33">
        <v>28</v>
      </c>
      <c r="G18" s="87"/>
      <c r="H18" s="88"/>
      <c r="I18" s="88"/>
      <c r="J18" s="88"/>
      <c r="K18" s="88"/>
      <c r="L18" s="88"/>
    </row>
    <row r="19" spans="2:12" x14ac:dyDescent="0.3">
      <c r="B19" s="76">
        <v>43109</v>
      </c>
      <c r="C19" s="33" t="s">
        <v>341</v>
      </c>
      <c r="D19" s="33" t="s">
        <v>123</v>
      </c>
      <c r="E19" s="33">
        <v>180</v>
      </c>
      <c r="F19" s="33">
        <v>179</v>
      </c>
      <c r="G19" s="87"/>
      <c r="H19" s="88"/>
      <c r="I19" s="88"/>
      <c r="J19" s="88"/>
      <c r="K19" s="88"/>
      <c r="L19" s="88"/>
    </row>
    <row r="20" spans="2:12" x14ac:dyDescent="0.3">
      <c r="B20" s="76">
        <v>43109</v>
      </c>
      <c r="C20" s="33" t="s">
        <v>341</v>
      </c>
      <c r="D20" s="33" t="s">
        <v>125</v>
      </c>
      <c r="E20" s="33">
        <v>75</v>
      </c>
      <c r="F20" s="33">
        <v>72</v>
      </c>
      <c r="G20" s="87"/>
      <c r="H20" s="88"/>
      <c r="I20" s="88"/>
      <c r="J20" s="88"/>
      <c r="K20" s="88"/>
      <c r="L20" s="88"/>
    </row>
    <row r="21" spans="2:12" x14ac:dyDescent="0.3">
      <c r="B21" s="76">
        <v>43109</v>
      </c>
      <c r="C21" s="33" t="s">
        <v>341</v>
      </c>
      <c r="D21" s="33" t="s">
        <v>126</v>
      </c>
      <c r="E21" s="33">
        <v>30</v>
      </c>
      <c r="F21" s="33">
        <v>28</v>
      </c>
      <c r="G21" s="87"/>
      <c r="H21" s="88"/>
      <c r="I21" s="88"/>
      <c r="J21" s="88"/>
      <c r="K21" s="88"/>
      <c r="L21" s="88"/>
    </row>
    <row r="22" spans="2:12" x14ac:dyDescent="0.3">
      <c r="B22" s="76">
        <v>43111</v>
      </c>
      <c r="C22" s="33" t="s">
        <v>341</v>
      </c>
      <c r="D22" s="33" t="s">
        <v>123</v>
      </c>
      <c r="E22" s="33">
        <v>180</v>
      </c>
      <c r="F22" s="33">
        <v>172</v>
      </c>
      <c r="G22" s="87"/>
      <c r="H22" s="88"/>
      <c r="I22" s="88"/>
      <c r="J22" s="88"/>
      <c r="K22" s="88"/>
      <c r="L22" s="88"/>
    </row>
    <row r="23" spans="2:12" x14ac:dyDescent="0.3">
      <c r="B23" s="76">
        <v>43111</v>
      </c>
      <c r="C23" s="33" t="s">
        <v>341</v>
      </c>
      <c r="D23" s="33" t="s">
        <v>125</v>
      </c>
      <c r="E23" s="33">
        <v>75</v>
      </c>
      <c r="F23" s="33">
        <v>62</v>
      </c>
      <c r="G23" s="87"/>
      <c r="H23" s="88"/>
      <c r="I23" s="88"/>
      <c r="J23" s="88"/>
      <c r="K23" s="88"/>
      <c r="L23" s="88"/>
    </row>
    <row r="24" spans="2:12" x14ac:dyDescent="0.3">
      <c r="B24" s="76">
        <v>43111</v>
      </c>
      <c r="C24" s="33" t="s">
        <v>341</v>
      </c>
      <c r="D24" s="33" t="s">
        <v>126</v>
      </c>
      <c r="E24" s="33">
        <v>30</v>
      </c>
      <c r="F24" s="33">
        <v>29</v>
      </c>
      <c r="G24" s="87"/>
      <c r="H24" s="88"/>
      <c r="I24" s="88"/>
      <c r="J24" s="88"/>
      <c r="K24" s="88"/>
      <c r="L24" s="88"/>
    </row>
    <row r="25" spans="2:12" x14ac:dyDescent="0.3">
      <c r="B25" s="76">
        <v>43113</v>
      </c>
      <c r="C25" s="33" t="s">
        <v>341</v>
      </c>
      <c r="D25" s="33" t="s">
        <v>123</v>
      </c>
      <c r="E25" s="33">
        <v>180</v>
      </c>
      <c r="F25" s="33">
        <v>179</v>
      </c>
      <c r="G25" s="87"/>
      <c r="H25" s="88"/>
      <c r="I25" s="88"/>
      <c r="J25" s="88"/>
      <c r="K25" s="88"/>
      <c r="L25" s="88"/>
    </row>
    <row r="26" spans="2:12" x14ac:dyDescent="0.3">
      <c r="B26" s="76">
        <v>43113</v>
      </c>
      <c r="C26" s="33" t="s">
        <v>341</v>
      </c>
      <c r="D26" s="33" t="s">
        <v>125</v>
      </c>
      <c r="E26" s="33">
        <v>75</v>
      </c>
      <c r="F26" s="33">
        <v>74</v>
      </c>
      <c r="G26" s="87"/>
      <c r="H26" s="88"/>
      <c r="I26" s="88"/>
      <c r="J26" s="88"/>
      <c r="K26" s="88"/>
      <c r="L26" s="88"/>
    </row>
    <row r="27" spans="2:12" x14ac:dyDescent="0.3">
      <c r="B27" s="76">
        <v>43113</v>
      </c>
      <c r="C27" s="33" t="s">
        <v>341</v>
      </c>
      <c r="D27" s="33" t="s">
        <v>126</v>
      </c>
      <c r="E27" s="33">
        <v>30</v>
      </c>
      <c r="F27" s="33">
        <v>27</v>
      </c>
      <c r="G27" s="87"/>
      <c r="H27" s="88"/>
      <c r="I27" s="88"/>
      <c r="J27" s="88"/>
      <c r="K27" s="88"/>
      <c r="L27" s="88"/>
    </row>
    <row r="28" spans="2:12" x14ac:dyDescent="0.3">
      <c r="B28" s="76">
        <v>43116</v>
      </c>
      <c r="C28" s="33" t="s">
        <v>341</v>
      </c>
      <c r="D28" s="33" t="s">
        <v>123</v>
      </c>
      <c r="E28" s="33">
        <v>180</v>
      </c>
      <c r="F28" s="33">
        <v>180</v>
      </c>
      <c r="G28" s="87"/>
      <c r="H28" s="88"/>
      <c r="I28" s="88"/>
      <c r="J28" s="88"/>
      <c r="K28" s="88"/>
      <c r="L28" s="88"/>
    </row>
    <row r="29" spans="2:12" x14ac:dyDescent="0.3">
      <c r="B29" s="76">
        <v>43116</v>
      </c>
      <c r="C29" s="33" t="s">
        <v>341</v>
      </c>
      <c r="D29" s="33" t="s">
        <v>125</v>
      </c>
      <c r="E29" s="33">
        <v>75</v>
      </c>
      <c r="F29" s="33">
        <v>73</v>
      </c>
      <c r="G29" s="87"/>
      <c r="H29" s="88"/>
      <c r="I29" s="88"/>
      <c r="J29" s="88"/>
      <c r="K29" s="88"/>
      <c r="L29" s="88"/>
    </row>
    <row r="30" spans="2:12" x14ac:dyDescent="0.3">
      <c r="B30" s="76">
        <v>43116</v>
      </c>
      <c r="C30" s="33" t="s">
        <v>341</v>
      </c>
      <c r="D30" s="33" t="s">
        <v>126</v>
      </c>
      <c r="E30" s="33">
        <v>30</v>
      </c>
      <c r="F30" s="33">
        <v>29</v>
      </c>
      <c r="G30" s="87"/>
      <c r="H30" s="88"/>
      <c r="I30" s="88"/>
      <c r="J30" s="88"/>
      <c r="K30" s="88"/>
      <c r="L30" s="88"/>
    </row>
    <row r="31" spans="2:12" x14ac:dyDescent="0.3">
      <c r="B31" s="76">
        <v>43118</v>
      </c>
      <c r="C31" s="33" t="s">
        <v>341</v>
      </c>
      <c r="D31" s="33" t="s">
        <v>123</v>
      </c>
      <c r="E31" s="33">
        <v>180</v>
      </c>
      <c r="F31" s="33">
        <v>178</v>
      </c>
      <c r="G31" s="87"/>
      <c r="H31" s="88"/>
      <c r="I31" s="88"/>
      <c r="J31" s="88"/>
      <c r="K31" s="88"/>
      <c r="L31" s="88"/>
    </row>
    <row r="32" spans="2:12" x14ac:dyDescent="0.3">
      <c r="B32" s="76">
        <v>43118</v>
      </c>
      <c r="C32" s="33" t="s">
        <v>341</v>
      </c>
      <c r="D32" s="33" t="s">
        <v>125</v>
      </c>
      <c r="E32" s="33">
        <v>75</v>
      </c>
      <c r="F32" s="33">
        <v>72</v>
      </c>
      <c r="G32" s="87"/>
      <c r="H32" s="88"/>
      <c r="I32" s="88"/>
      <c r="J32" s="88"/>
      <c r="K32" s="88"/>
      <c r="L32" s="88"/>
    </row>
    <row r="33" spans="2:12" x14ac:dyDescent="0.3">
      <c r="B33" s="76">
        <v>43118</v>
      </c>
      <c r="C33" s="33" t="s">
        <v>341</v>
      </c>
      <c r="D33" s="33" t="s">
        <v>126</v>
      </c>
      <c r="E33" s="33">
        <v>30</v>
      </c>
      <c r="F33" s="33">
        <v>28</v>
      </c>
      <c r="G33" s="87"/>
      <c r="H33" s="88"/>
      <c r="I33" s="88"/>
      <c r="J33" s="88"/>
      <c r="K33" s="88"/>
      <c r="L33" s="88"/>
    </row>
    <row r="34" spans="2:12" x14ac:dyDescent="0.3">
      <c r="B34" s="76">
        <v>43120</v>
      </c>
      <c r="C34" s="33" t="s">
        <v>341</v>
      </c>
      <c r="D34" s="33" t="s">
        <v>123</v>
      </c>
      <c r="E34" s="33">
        <v>180</v>
      </c>
      <c r="F34" s="33">
        <v>180</v>
      </c>
      <c r="G34" s="87"/>
      <c r="H34" s="88"/>
      <c r="I34" s="88"/>
      <c r="J34" s="88"/>
      <c r="K34" s="88"/>
      <c r="L34" s="88"/>
    </row>
    <row r="35" spans="2:12" x14ac:dyDescent="0.3">
      <c r="B35" s="76">
        <v>43120</v>
      </c>
      <c r="C35" s="33" t="s">
        <v>341</v>
      </c>
      <c r="D35" s="33" t="s">
        <v>125</v>
      </c>
      <c r="E35" s="33">
        <v>75</v>
      </c>
      <c r="F35" s="33">
        <v>75</v>
      </c>
      <c r="G35" s="87"/>
      <c r="H35" s="88"/>
      <c r="I35" s="88"/>
      <c r="J35" s="88"/>
      <c r="K35" s="88"/>
      <c r="L35" s="88"/>
    </row>
    <row r="36" spans="2:12" x14ac:dyDescent="0.3">
      <c r="B36" s="76">
        <v>43120</v>
      </c>
      <c r="C36" s="33" t="s">
        <v>341</v>
      </c>
      <c r="D36" s="33" t="s">
        <v>126</v>
      </c>
      <c r="E36" s="33">
        <v>30</v>
      </c>
      <c r="F36" s="33">
        <v>30</v>
      </c>
      <c r="G36" s="87"/>
      <c r="H36" s="88"/>
      <c r="I36" s="88"/>
      <c r="J36" s="88"/>
      <c r="K36" s="88"/>
      <c r="L36" s="88"/>
    </row>
    <row r="37" spans="2:12" x14ac:dyDescent="0.3">
      <c r="B37" s="76">
        <v>43123</v>
      </c>
      <c r="C37" s="33" t="s">
        <v>341</v>
      </c>
      <c r="D37" s="33" t="s">
        <v>123</v>
      </c>
      <c r="E37" s="33">
        <v>180</v>
      </c>
      <c r="F37" s="33">
        <v>173</v>
      </c>
      <c r="G37" s="87"/>
      <c r="H37" s="88"/>
      <c r="I37" s="88"/>
      <c r="J37" s="88"/>
      <c r="K37" s="88"/>
      <c r="L37" s="88"/>
    </row>
    <row r="38" spans="2:12" x14ac:dyDescent="0.3">
      <c r="B38" s="76">
        <v>43123</v>
      </c>
      <c r="C38" s="33" t="s">
        <v>341</v>
      </c>
      <c r="D38" s="33" t="s">
        <v>125</v>
      </c>
      <c r="E38" s="33">
        <v>75</v>
      </c>
      <c r="F38" s="33">
        <v>67</v>
      </c>
      <c r="G38" s="87"/>
      <c r="H38" s="88"/>
      <c r="I38" s="88"/>
      <c r="J38" s="88"/>
      <c r="K38" s="88"/>
      <c r="L38" s="88"/>
    </row>
    <row r="39" spans="2:12" x14ac:dyDescent="0.3">
      <c r="B39" s="76">
        <v>43123</v>
      </c>
      <c r="C39" s="33" t="s">
        <v>341</v>
      </c>
      <c r="D39" s="33" t="s">
        <v>126</v>
      </c>
      <c r="E39" s="33">
        <v>30</v>
      </c>
      <c r="F39" s="33">
        <v>26</v>
      </c>
      <c r="G39" s="87"/>
      <c r="H39" s="88"/>
      <c r="I39" s="88"/>
      <c r="J39" s="88"/>
      <c r="K39" s="88"/>
      <c r="L39" s="88"/>
    </row>
    <row r="40" spans="2:12" x14ac:dyDescent="0.3">
      <c r="B40" s="76">
        <v>43125</v>
      </c>
      <c r="C40" s="33" t="s">
        <v>341</v>
      </c>
      <c r="D40" s="33" t="s">
        <v>123</v>
      </c>
      <c r="E40" s="33">
        <v>180</v>
      </c>
      <c r="F40" s="33">
        <v>180</v>
      </c>
      <c r="G40" s="87"/>
      <c r="H40" s="88"/>
      <c r="I40" s="88"/>
      <c r="J40" s="88"/>
      <c r="K40" s="88"/>
      <c r="L40" s="88"/>
    </row>
    <row r="41" spans="2:12" x14ac:dyDescent="0.3">
      <c r="B41" s="76">
        <v>43125</v>
      </c>
      <c r="C41" s="33" t="s">
        <v>341</v>
      </c>
      <c r="D41" s="33" t="s">
        <v>125</v>
      </c>
      <c r="E41" s="33">
        <v>75</v>
      </c>
      <c r="F41" s="33">
        <v>74</v>
      </c>
      <c r="G41" s="87"/>
      <c r="H41" s="88"/>
      <c r="I41" s="88"/>
      <c r="J41" s="88"/>
      <c r="K41" s="88"/>
      <c r="L41" s="88"/>
    </row>
    <row r="42" spans="2:12" x14ac:dyDescent="0.3">
      <c r="B42" s="76">
        <v>43125</v>
      </c>
      <c r="C42" s="33" t="s">
        <v>341</v>
      </c>
      <c r="D42" s="33" t="s">
        <v>126</v>
      </c>
      <c r="E42" s="33">
        <v>30</v>
      </c>
      <c r="F42" s="33">
        <v>29</v>
      </c>
      <c r="G42" s="87"/>
      <c r="H42" s="88"/>
      <c r="I42" s="88"/>
      <c r="J42" s="88"/>
      <c r="K42" s="88"/>
      <c r="L42" s="88"/>
    </row>
    <row r="43" spans="2:12" x14ac:dyDescent="0.3">
      <c r="B43" s="76">
        <v>43127</v>
      </c>
      <c r="C43" s="33" t="s">
        <v>341</v>
      </c>
      <c r="D43" s="33" t="s">
        <v>123</v>
      </c>
      <c r="E43" s="33">
        <v>180</v>
      </c>
      <c r="F43" s="33">
        <v>180</v>
      </c>
      <c r="G43" s="87"/>
      <c r="H43" s="88"/>
      <c r="I43" s="88"/>
      <c r="J43" s="88"/>
      <c r="K43" s="88"/>
      <c r="L43" s="88"/>
    </row>
    <row r="44" spans="2:12" x14ac:dyDescent="0.3">
      <c r="B44" s="76">
        <v>43127</v>
      </c>
      <c r="C44" s="33" t="s">
        <v>341</v>
      </c>
      <c r="D44" s="33" t="s">
        <v>125</v>
      </c>
      <c r="E44" s="33">
        <v>75</v>
      </c>
      <c r="F44" s="33">
        <v>75</v>
      </c>
      <c r="G44" s="87"/>
      <c r="H44" s="88"/>
      <c r="I44" s="88"/>
      <c r="J44" s="88"/>
      <c r="K44" s="88"/>
      <c r="L44" s="88"/>
    </row>
    <row r="45" spans="2:12" x14ac:dyDescent="0.3">
      <c r="B45" s="76">
        <v>43127</v>
      </c>
      <c r="C45" s="33" t="s">
        <v>341</v>
      </c>
      <c r="D45" s="33" t="s">
        <v>126</v>
      </c>
      <c r="E45" s="33">
        <v>30</v>
      </c>
      <c r="F45" s="33">
        <v>26</v>
      </c>
      <c r="G45" s="87"/>
      <c r="H45" s="88"/>
      <c r="I45" s="88"/>
      <c r="J45" s="88"/>
      <c r="K45" s="88"/>
      <c r="L45" s="88"/>
    </row>
    <row r="46" spans="2:12" x14ac:dyDescent="0.3">
      <c r="B46" s="76">
        <v>43130</v>
      </c>
      <c r="C46" s="33" t="s">
        <v>341</v>
      </c>
      <c r="D46" s="33" t="s">
        <v>123</v>
      </c>
      <c r="E46" s="33">
        <v>180</v>
      </c>
      <c r="F46" s="33">
        <v>168</v>
      </c>
      <c r="G46" s="87"/>
      <c r="H46" s="88"/>
      <c r="I46" s="88"/>
      <c r="J46" s="88"/>
      <c r="K46" s="88"/>
      <c r="L46" s="88"/>
    </row>
    <row r="47" spans="2:12" x14ac:dyDescent="0.3">
      <c r="B47" s="76">
        <v>43130</v>
      </c>
      <c r="C47" s="33" t="s">
        <v>341</v>
      </c>
      <c r="D47" s="33" t="s">
        <v>125</v>
      </c>
      <c r="E47" s="33">
        <v>75</v>
      </c>
      <c r="F47" s="33">
        <v>73</v>
      </c>
      <c r="G47" s="87"/>
      <c r="H47" s="88"/>
      <c r="I47" s="88"/>
      <c r="J47" s="88"/>
      <c r="K47" s="88"/>
      <c r="L47" s="88"/>
    </row>
    <row r="48" spans="2:12" x14ac:dyDescent="0.3">
      <c r="B48" s="76">
        <v>43130</v>
      </c>
      <c r="C48" s="33" t="s">
        <v>341</v>
      </c>
      <c r="D48" s="33" t="s">
        <v>126</v>
      </c>
      <c r="E48" s="33">
        <v>30</v>
      </c>
      <c r="F48" s="33">
        <v>24</v>
      </c>
      <c r="G48" s="87"/>
      <c r="H48" s="88"/>
      <c r="I48" s="88"/>
      <c r="J48" s="88"/>
      <c r="K48" s="88"/>
      <c r="L48" s="88"/>
    </row>
    <row r="49" spans="2:12" x14ac:dyDescent="0.3">
      <c r="B49" s="76">
        <v>43132</v>
      </c>
      <c r="C49" s="33" t="s">
        <v>341</v>
      </c>
      <c r="D49" s="33" t="s">
        <v>123</v>
      </c>
      <c r="E49" s="33">
        <v>180</v>
      </c>
      <c r="F49" s="33">
        <v>179</v>
      </c>
      <c r="G49" s="87"/>
      <c r="H49" s="88"/>
      <c r="I49" s="88"/>
      <c r="J49" s="88"/>
      <c r="K49" s="88"/>
      <c r="L49" s="88"/>
    </row>
    <row r="50" spans="2:12" x14ac:dyDescent="0.3">
      <c r="B50" s="76">
        <v>43132</v>
      </c>
      <c r="C50" s="33" t="s">
        <v>341</v>
      </c>
      <c r="D50" s="33" t="s">
        <v>125</v>
      </c>
      <c r="E50" s="33">
        <v>75</v>
      </c>
      <c r="F50" s="33">
        <v>71</v>
      </c>
      <c r="G50" s="87"/>
      <c r="H50" s="88"/>
      <c r="I50" s="88"/>
      <c r="J50" s="88"/>
      <c r="K50" s="88"/>
      <c r="L50" s="88"/>
    </row>
    <row r="51" spans="2:12" x14ac:dyDescent="0.3">
      <c r="B51" s="76">
        <v>43132</v>
      </c>
      <c r="C51" s="33" t="s">
        <v>341</v>
      </c>
      <c r="D51" s="33" t="s">
        <v>126</v>
      </c>
      <c r="E51" s="33">
        <v>30</v>
      </c>
      <c r="F51" s="33">
        <v>23</v>
      </c>
      <c r="G51" s="87"/>
      <c r="H51" s="88"/>
      <c r="I51" s="88"/>
      <c r="J51" s="88"/>
      <c r="K51" s="88"/>
      <c r="L51" s="88"/>
    </row>
    <row r="52" spans="2:12" x14ac:dyDescent="0.3">
      <c r="B52" s="76">
        <v>43134</v>
      </c>
      <c r="C52" s="33" t="s">
        <v>341</v>
      </c>
      <c r="D52" s="33" t="s">
        <v>123</v>
      </c>
      <c r="E52" s="33">
        <v>180</v>
      </c>
      <c r="F52" s="33">
        <v>180</v>
      </c>
      <c r="G52" s="87"/>
      <c r="H52" s="88"/>
      <c r="I52" s="88"/>
      <c r="J52" s="88"/>
      <c r="K52" s="88"/>
      <c r="L52" s="88"/>
    </row>
    <row r="53" spans="2:12" x14ac:dyDescent="0.3">
      <c r="B53" s="76">
        <v>43134</v>
      </c>
      <c r="C53" s="33" t="s">
        <v>341</v>
      </c>
      <c r="D53" s="33" t="s">
        <v>125</v>
      </c>
      <c r="E53" s="33">
        <v>75</v>
      </c>
      <c r="F53" s="33">
        <v>75</v>
      </c>
      <c r="G53" s="87"/>
      <c r="H53" s="88"/>
      <c r="I53" s="88"/>
      <c r="J53" s="88"/>
      <c r="K53" s="88"/>
      <c r="L53" s="88"/>
    </row>
    <row r="54" spans="2:12" x14ac:dyDescent="0.3">
      <c r="B54" s="76">
        <v>43134</v>
      </c>
      <c r="C54" s="33" t="s">
        <v>341</v>
      </c>
      <c r="D54" s="33" t="s">
        <v>126</v>
      </c>
      <c r="E54" s="33">
        <v>30</v>
      </c>
      <c r="F54" s="33">
        <v>30</v>
      </c>
      <c r="G54" s="87"/>
      <c r="H54" s="88"/>
      <c r="I54" s="88"/>
      <c r="J54" s="88"/>
      <c r="K54" s="88"/>
      <c r="L54" s="88"/>
    </row>
    <row r="55" spans="2:12" x14ac:dyDescent="0.3">
      <c r="B55" s="76">
        <v>43137</v>
      </c>
      <c r="C55" s="33" t="s">
        <v>341</v>
      </c>
      <c r="D55" s="33" t="s">
        <v>123</v>
      </c>
      <c r="E55" s="33">
        <v>180</v>
      </c>
      <c r="F55" s="33">
        <v>173</v>
      </c>
      <c r="G55" s="87"/>
      <c r="H55" s="88"/>
      <c r="I55" s="88"/>
      <c r="J55" s="88"/>
      <c r="K55" s="88"/>
      <c r="L55" s="88"/>
    </row>
    <row r="56" spans="2:12" x14ac:dyDescent="0.3">
      <c r="B56" s="76">
        <v>43137</v>
      </c>
      <c r="C56" s="33" t="s">
        <v>341</v>
      </c>
      <c r="D56" s="33" t="s">
        <v>125</v>
      </c>
      <c r="E56" s="33">
        <v>75</v>
      </c>
      <c r="F56" s="33">
        <v>72</v>
      </c>
      <c r="G56" s="87"/>
      <c r="H56" s="88"/>
      <c r="I56" s="88"/>
      <c r="J56" s="88"/>
      <c r="K56" s="88"/>
      <c r="L56" s="88"/>
    </row>
    <row r="57" spans="2:12" x14ac:dyDescent="0.3">
      <c r="B57" s="76">
        <v>43137</v>
      </c>
      <c r="C57" s="33" t="s">
        <v>341</v>
      </c>
      <c r="D57" s="33" t="s">
        <v>126</v>
      </c>
      <c r="E57" s="33">
        <v>30</v>
      </c>
      <c r="F57" s="33">
        <v>26</v>
      </c>
      <c r="G57" s="87"/>
      <c r="H57" s="88"/>
      <c r="I57" s="88"/>
      <c r="J57" s="88"/>
      <c r="K57" s="88"/>
      <c r="L57" s="88"/>
    </row>
    <row r="58" spans="2:12" x14ac:dyDescent="0.3">
      <c r="B58" s="76">
        <v>43139</v>
      </c>
      <c r="C58" s="33" t="s">
        <v>341</v>
      </c>
      <c r="D58" s="33" t="s">
        <v>123</v>
      </c>
      <c r="E58" s="33">
        <v>180</v>
      </c>
      <c r="F58" s="33">
        <v>178</v>
      </c>
      <c r="G58" s="87"/>
      <c r="H58" s="88"/>
      <c r="I58" s="88"/>
      <c r="J58" s="88"/>
      <c r="K58" s="88"/>
      <c r="L58" s="88"/>
    </row>
    <row r="59" spans="2:12" x14ac:dyDescent="0.3">
      <c r="B59" s="76">
        <v>43139</v>
      </c>
      <c r="C59" s="33" t="s">
        <v>341</v>
      </c>
      <c r="D59" s="33" t="s">
        <v>125</v>
      </c>
      <c r="E59" s="33">
        <v>75</v>
      </c>
      <c r="F59" s="33">
        <v>74</v>
      </c>
      <c r="G59" s="87"/>
      <c r="H59" s="88"/>
      <c r="I59" s="88"/>
      <c r="J59" s="88"/>
      <c r="K59" s="88"/>
      <c r="L59" s="88"/>
    </row>
    <row r="60" spans="2:12" x14ac:dyDescent="0.3">
      <c r="B60" s="76">
        <v>43139</v>
      </c>
      <c r="C60" s="33" t="s">
        <v>341</v>
      </c>
      <c r="D60" s="33" t="s">
        <v>126</v>
      </c>
      <c r="E60" s="33">
        <v>30</v>
      </c>
      <c r="F60" s="33">
        <v>29</v>
      </c>
      <c r="G60" s="87"/>
      <c r="H60" s="88"/>
      <c r="I60" s="88"/>
      <c r="J60" s="88"/>
      <c r="K60" s="88"/>
      <c r="L60" s="88"/>
    </row>
    <row r="61" spans="2:12" x14ac:dyDescent="0.3">
      <c r="B61" s="76">
        <v>43141</v>
      </c>
      <c r="C61" s="33" t="s">
        <v>341</v>
      </c>
      <c r="D61" s="33" t="s">
        <v>123</v>
      </c>
      <c r="E61" s="33">
        <v>180</v>
      </c>
      <c r="F61" s="33">
        <v>180</v>
      </c>
      <c r="G61" s="87"/>
      <c r="H61" s="88"/>
      <c r="I61" s="88"/>
      <c r="J61" s="88"/>
      <c r="K61" s="88"/>
      <c r="L61" s="88"/>
    </row>
    <row r="62" spans="2:12" x14ac:dyDescent="0.3">
      <c r="B62" s="76">
        <v>43141</v>
      </c>
      <c r="C62" s="33" t="s">
        <v>341</v>
      </c>
      <c r="D62" s="33" t="s">
        <v>125</v>
      </c>
      <c r="E62" s="33">
        <v>75</v>
      </c>
      <c r="F62" s="33">
        <v>75</v>
      </c>
      <c r="G62" s="87"/>
      <c r="H62" s="88"/>
      <c r="I62" s="88"/>
      <c r="J62" s="88"/>
      <c r="K62" s="88"/>
      <c r="L62" s="88"/>
    </row>
    <row r="63" spans="2:12" x14ac:dyDescent="0.3">
      <c r="B63" s="76">
        <v>43141</v>
      </c>
      <c r="C63" s="33" t="s">
        <v>341</v>
      </c>
      <c r="D63" s="33" t="s">
        <v>126</v>
      </c>
      <c r="E63" s="33">
        <v>30</v>
      </c>
      <c r="F63" s="33">
        <v>29</v>
      </c>
      <c r="G63" s="87"/>
      <c r="H63" s="88"/>
      <c r="I63" s="88"/>
      <c r="J63" s="88"/>
      <c r="K63" s="88"/>
      <c r="L63" s="88"/>
    </row>
    <row r="64" spans="2:12" x14ac:dyDescent="0.3">
      <c r="B64" s="76">
        <v>43144</v>
      </c>
      <c r="C64" s="33" t="s">
        <v>341</v>
      </c>
      <c r="D64" s="33" t="s">
        <v>123</v>
      </c>
      <c r="E64" s="33">
        <v>180</v>
      </c>
      <c r="F64" s="33">
        <v>163</v>
      </c>
      <c r="G64" s="87"/>
      <c r="H64" s="88"/>
      <c r="I64" s="88"/>
      <c r="J64" s="88"/>
      <c r="K64" s="88"/>
      <c r="L64" s="88"/>
    </row>
    <row r="65" spans="2:12" x14ac:dyDescent="0.3">
      <c r="B65" s="76">
        <v>43144</v>
      </c>
      <c r="C65" s="33" t="s">
        <v>341</v>
      </c>
      <c r="D65" s="33" t="s">
        <v>125</v>
      </c>
      <c r="E65" s="33">
        <v>75</v>
      </c>
      <c r="F65" s="33">
        <v>71</v>
      </c>
      <c r="G65" s="87"/>
      <c r="H65" s="88"/>
      <c r="I65" s="88"/>
      <c r="J65" s="88"/>
      <c r="K65" s="88"/>
      <c r="L65" s="88"/>
    </row>
    <row r="66" spans="2:12" x14ac:dyDescent="0.3">
      <c r="B66" s="76">
        <v>43144</v>
      </c>
      <c r="C66" s="33" t="s">
        <v>341</v>
      </c>
      <c r="D66" s="33" t="s">
        <v>126</v>
      </c>
      <c r="E66" s="33">
        <v>30</v>
      </c>
      <c r="F66" s="33">
        <v>27</v>
      </c>
      <c r="G66" s="87"/>
      <c r="H66" s="88"/>
      <c r="I66" s="88"/>
      <c r="J66" s="88"/>
      <c r="K66" s="88"/>
      <c r="L66" s="88"/>
    </row>
    <row r="67" spans="2:12" x14ac:dyDescent="0.3">
      <c r="B67" s="76">
        <v>43146</v>
      </c>
      <c r="C67" s="33" t="s">
        <v>341</v>
      </c>
      <c r="D67" s="33" t="s">
        <v>123</v>
      </c>
      <c r="E67" s="33">
        <v>180</v>
      </c>
      <c r="F67" s="33">
        <v>178</v>
      </c>
      <c r="G67" s="87"/>
      <c r="H67" s="88"/>
      <c r="I67" s="88"/>
      <c r="J67" s="88"/>
      <c r="K67" s="88"/>
      <c r="L67" s="88"/>
    </row>
    <row r="68" spans="2:12" x14ac:dyDescent="0.3">
      <c r="B68" s="76">
        <v>43146</v>
      </c>
      <c r="C68" s="33" t="s">
        <v>341</v>
      </c>
      <c r="D68" s="33" t="s">
        <v>125</v>
      </c>
      <c r="E68" s="33">
        <v>75</v>
      </c>
      <c r="F68" s="33">
        <v>72</v>
      </c>
      <c r="G68" s="87"/>
      <c r="H68" s="88"/>
      <c r="I68" s="88"/>
      <c r="J68" s="88"/>
      <c r="K68" s="88"/>
      <c r="L68" s="88"/>
    </row>
    <row r="69" spans="2:12" x14ac:dyDescent="0.3">
      <c r="B69" s="76">
        <v>43146</v>
      </c>
      <c r="C69" s="33" t="s">
        <v>341</v>
      </c>
      <c r="D69" s="33" t="s">
        <v>126</v>
      </c>
      <c r="E69" s="33">
        <v>30</v>
      </c>
      <c r="F69" s="33">
        <v>25</v>
      </c>
      <c r="G69" s="87"/>
      <c r="H69" s="88"/>
      <c r="I69" s="88"/>
      <c r="J69" s="88"/>
      <c r="K69" s="88"/>
      <c r="L69" s="88"/>
    </row>
    <row r="70" spans="2:12" x14ac:dyDescent="0.3">
      <c r="B70" s="76">
        <v>43148</v>
      </c>
      <c r="C70" s="33" t="s">
        <v>341</v>
      </c>
      <c r="D70" s="33" t="s">
        <v>123</v>
      </c>
      <c r="E70" s="33">
        <v>180</v>
      </c>
      <c r="F70" s="33">
        <v>180</v>
      </c>
      <c r="G70" s="87"/>
      <c r="H70" s="88"/>
      <c r="I70" s="88"/>
      <c r="J70" s="88"/>
      <c r="K70" s="88"/>
      <c r="L70" s="88"/>
    </row>
    <row r="71" spans="2:12" x14ac:dyDescent="0.3">
      <c r="B71" s="76">
        <v>43148</v>
      </c>
      <c r="C71" s="33" t="s">
        <v>341</v>
      </c>
      <c r="D71" s="33" t="s">
        <v>125</v>
      </c>
      <c r="E71" s="33">
        <v>75</v>
      </c>
      <c r="F71" s="33">
        <v>75</v>
      </c>
      <c r="G71" s="87"/>
      <c r="H71" s="88"/>
      <c r="I71" s="88"/>
      <c r="J71" s="88"/>
      <c r="K71" s="88"/>
      <c r="L71" s="88"/>
    </row>
    <row r="72" spans="2:12" x14ac:dyDescent="0.3">
      <c r="B72" s="76">
        <v>43148</v>
      </c>
      <c r="C72" s="33" t="s">
        <v>341</v>
      </c>
      <c r="D72" s="33" t="s">
        <v>126</v>
      </c>
      <c r="E72" s="33">
        <v>30</v>
      </c>
      <c r="F72" s="33">
        <v>29</v>
      </c>
      <c r="G72" s="87"/>
      <c r="H72" s="88"/>
      <c r="I72" s="88"/>
      <c r="J72" s="88"/>
      <c r="K72" s="88"/>
      <c r="L72" s="88"/>
    </row>
    <row r="73" spans="2:12" x14ac:dyDescent="0.3">
      <c r="B73" s="76">
        <v>43151</v>
      </c>
      <c r="C73" s="33" t="s">
        <v>341</v>
      </c>
      <c r="D73" s="33" t="s">
        <v>123</v>
      </c>
      <c r="E73" s="33">
        <v>180</v>
      </c>
      <c r="F73" s="33">
        <v>171</v>
      </c>
      <c r="G73" s="87"/>
      <c r="H73" s="88"/>
      <c r="I73" s="88"/>
      <c r="J73" s="88"/>
      <c r="K73" s="88"/>
      <c r="L73" s="88"/>
    </row>
    <row r="74" spans="2:12" x14ac:dyDescent="0.3">
      <c r="B74" s="76">
        <v>43151</v>
      </c>
      <c r="C74" s="33" t="s">
        <v>341</v>
      </c>
      <c r="D74" s="33" t="s">
        <v>125</v>
      </c>
      <c r="E74" s="33">
        <v>75</v>
      </c>
      <c r="F74" s="33">
        <v>64</v>
      </c>
      <c r="G74" s="87"/>
      <c r="H74" s="88"/>
      <c r="I74" s="88"/>
      <c r="J74" s="88"/>
      <c r="K74" s="88"/>
      <c r="L74" s="88"/>
    </row>
    <row r="75" spans="2:12" x14ac:dyDescent="0.3">
      <c r="B75" s="76">
        <v>43151</v>
      </c>
      <c r="C75" s="33" t="s">
        <v>341</v>
      </c>
      <c r="D75" s="33" t="s">
        <v>126</v>
      </c>
      <c r="E75" s="33">
        <v>30</v>
      </c>
      <c r="F75" s="33">
        <v>25</v>
      </c>
      <c r="G75" s="87"/>
      <c r="H75" s="88"/>
      <c r="I75" s="88"/>
      <c r="J75" s="88"/>
      <c r="K75" s="88"/>
      <c r="L75" s="88"/>
    </row>
    <row r="76" spans="2:12" x14ac:dyDescent="0.3">
      <c r="B76" s="76">
        <v>43153</v>
      </c>
      <c r="C76" s="33" t="s">
        <v>341</v>
      </c>
      <c r="D76" s="33" t="s">
        <v>123</v>
      </c>
      <c r="E76" s="33">
        <v>180</v>
      </c>
      <c r="F76" s="33">
        <v>179</v>
      </c>
      <c r="G76" s="87"/>
      <c r="H76" s="88"/>
      <c r="I76" s="88"/>
      <c r="J76" s="88"/>
      <c r="K76" s="88"/>
      <c r="L76" s="88"/>
    </row>
    <row r="77" spans="2:12" x14ac:dyDescent="0.3">
      <c r="B77" s="76">
        <v>43153</v>
      </c>
      <c r="C77" s="33" t="s">
        <v>341</v>
      </c>
      <c r="D77" s="33" t="s">
        <v>125</v>
      </c>
      <c r="E77" s="33">
        <v>75</v>
      </c>
      <c r="F77" s="33">
        <v>74</v>
      </c>
      <c r="G77" s="87"/>
      <c r="H77" s="88"/>
      <c r="I77" s="88"/>
      <c r="J77" s="88"/>
      <c r="K77" s="88"/>
      <c r="L77" s="88"/>
    </row>
    <row r="78" spans="2:12" x14ac:dyDescent="0.3">
      <c r="B78" s="76">
        <v>43153</v>
      </c>
      <c r="C78" s="33" t="s">
        <v>341</v>
      </c>
      <c r="D78" s="33" t="s">
        <v>126</v>
      </c>
      <c r="E78" s="33">
        <v>30</v>
      </c>
      <c r="F78" s="33">
        <v>23</v>
      </c>
      <c r="G78" s="87"/>
      <c r="H78" s="88"/>
      <c r="I78" s="88"/>
      <c r="J78" s="88"/>
      <c r="K78" s="88"/>
      <c r="L78" s="88"/>
    </row>
    <row r="79" spans="2:12" x14ac:dyDescent="0.3">
      <c r="B79" s="76">
        <v>43155</v>
      </c>
      <c r="C79" s="33" t="s">
        <v>341</v>
      </c>
      <c r="D79" s="33" t="s">
        <v>123</v>
      </c>
      <c r="E79" s="33">
        <v>180</v>
      </c>
      <c r="F79" s="33">
        <v>180</v>
      </c>
      <c r="G79" s="87"/>
      <c r="H79" s="88"/>
      <c r="I79" s="88"/>
      <c r="J79" s="88"/>
      <c r="K79" s="88"/>
      <c r="L79" s="88"/>
    </row>
    <row r="80" spans="2:12" x14ac:dyDescent="0.3">
      <c r="B80" s="76">
        <v>43155</v>
      </c>
      <c r="C80" s="33" t="s">
        <v>341</v>
      </c>
      <c r="D80" s="33" t="s">
        <v>125</v>
      </c>
      <c r="E80" s="33">
        <v>75</v>
      </c>
      <c r="F80" s="33">
        <v>75</v>
      </c>
      <c r="G80" s="87"/>
      <c r="H80" s="88"/>
      <c r="I80" s="88"/>
      <c r="J80" s="88"/>
      <c r="K80" s="88"/>
      <c r="L80" s="88"/>
    </row>
    <row r="81" spans="2:12" x14ac:dyDescent="0.3">
      <c r="B81" s="76">
        <v>43155</v>
      </c>
      <c r="C81" s="33" t="s">
        <v>341</v>
      </c>
      <c r="D81" s="33" t="s">
        <v>126</v>
      </c>
      <c r="E81" s="33">
        <v>30</v>
      </c>
      <c r="F81" s="33">
        <v>30</v>
      </c>
      <c r="G81" s="87"/>
      <c r="H81" s="88"/>
      <c r="I81" s="88"/>
      <c r="J81" s="88"/>
      <c r="K81" s="88"/>
      <c r="L81" s="88"/>
    </row>
    <row r="82" spans="2:12" x14ac:dyDescent="0.3">
      <c r="B82" s="76">
        <v>43158</v>
      </c>
      <c r="C82" s="33" t="s">
        <v>341</v>
      </c>
      <c r="D82" s="33" t="s">
        <v>123</v>
      </c>
      <c r="E82" s="33">
        <v>180</v>
      </c>
      <c r="F82" s="33">
        <v>178</v>
      </c>
      <c r="G82" s="87"/>
      <c r="H82" s="88"/>
      <c r="I82" s="88"/>
      <c r="J82" s="88"/>
      <c r="K82" s="88"/>
      <c r="L82" s="88"/>
    </row>
    <row r="83" spans="2:12" x14ac:dyDescent="0.3">
      <c r="B83" s="76">
        <v>43158</v>
      </c>
      <c r="C83" s="33" t="s">
        <v>341</v>
      </c>
      <c r="D83" s="33" t="s">
        <v>125</v>
      </c>
      <c r="E83" s="33">
        <v>75</v>
      </c>
      <c r="F83" s="33">
        <v>64</v>
      </c>
      <c r="G83" s="87"/>
      <c r="H83" s="88"/>
      <c r="I83" s="88"/>
      <c r="J83" s="88"/>
      <c r="K83" s="88"/>
      <c r="L83" s="88"/>
    </row>
    <row r="84" spans="2:12" x14ac:dyDescent="0.3">
      <c r="B84" s="76">
        <v>43158</v>
      </c>
      <c r="C84" s="33" t="s">
        <v>341</v>
      </c>
      <c r="D84" s="33" t="s">
        <v>126</v>
      </c>
      <c r="E84" s="33">
        <v>30</v>
      </c>
      <c r="F84" s="33">
        <v>22</v>
      </c>
      <c r="G84" s="87"/>
      <c r="H84" s="88"/>
      <c r="I84" s="88"/>
      <c r="J84" s="88"/>
      <c r="K84" s="88"/>
      <c r="L84" s="88"/>
    </row>
    <row r="85" spans="2:12" x14ac:dyDescent="0.3">
      <c r="B85" s="76">
        <v>43160</v>
      </c>
      <c r="C85" s="33" t="s">
        <v>341</v>
      </c>
      <c r="D85" s="33" t="s">
        <v>123</v>
      </c>
      <c r="E85" s="33">
        <v>180</v>
      </c>
      <c r="F85" s="33">
        <v>178</v>
      </c>
      <c r="G85" s="87"/>
      <c r="H85" s="88"/>
      <c r="I85" s="88"/>
      <c r="J85" s="88"/>
      <c r="K85" s="88"/>
      <c r="L85" s="88"/>
    </row>
    <row r="86" spans="2:12" x14ac:dyDescent="0.3">
      <c r="B86" s="76">
        <v>43160</v>
      </c>
      <c r="C86" s="33" t="s">
        <v>341</v>
      </c>
      <c r="D86" s="33" t="s">
        <v>125</v>
      </c>
      <c r="E86" s="33">
        <v>75</v>
      </c>
      <c r="F86" s="33">
        <v>70</v>
      </c>
      <c r="G86" s="87"/>
      <c r="H86" s="88"/>
      <c r="I86" s="88"/>
      <c r="J86" s="88"/>
      <c r="K86" s="88"/>
      <c r="L86" s="88"/>
    </row>
    <row r="87" spans="2:12" x14ac:dyDescent="0.3">
      <c r="B87" s="76">
        <v>43160</v>
      </c>
      <c r="C87" s="33" t="s">
        <v>341</v>
      </c>
      <c r="D87" s="33" t="s">
        <v>126</v>
      </c>
      <c r="E87" s="33">
        <v>30</v>
      </c>
      <c r="F87" s="33">
        <v>23</v>
      </c>
      <c r="G87" s="87"/>
      <c r="H87" s="88"/>
      <c r="I87" s="88"/>
      <c r="J87" s="88"/>
      <c r="K87" s="88"/>
      <c r="L87" s="88"/>
    </row>
    <row r="88" spans="2:12" x14ac:dyDescent="0.3">
      <c r="B88" s="76">
        <v>43162</v>
      </c>
      <c r="C88" s="33" t="s">
        <v>341</v>
      </c>
      <c r="D88" s="33" t="s">
        <v>123</v>
      </c>
      <c r="E88" s="33">
        <v>180</v>
      </c>
      <c r="F88" s="33">
        <v>180</v>
      </c>
      <c r="G88" s="87"/>
      <c r="H88" s="88"/>
      <c r="I88" s="88"/>
      <c r="J88" s="88"/>
      <c r="K88" s="88"/>
      <c r="L88" s="88"/>
    </row>
    <row r="89" spans="2:12" x14ac:dyDescent="0.3">
      <c r="B89" s="76">
        <v>43162</v>
      </c>
      <c r="C89" s="33" t="s">
        <v>341</v>
      </c>
      <c r="D89" s="33" t="s">
        <v>125</v>
      </c>
      <c r="E89" s="33">
        <v>75</v>
      </c>
      <c r="F89" s="33">
        <v>75</v>
      </c>
      <c r="G89" s="87"/>
      <c r="H89" s="88"/>
      <c r="I89" s="88"/>
      <c r="J89" s="88"/>
      <c r="K89" s="88"/>
      <c r="L89" s="88"/>
    </row>
    <row r="90" spans="2:12" x14ac:dyDescent="0.3">
      <c r="B90" s="76">
        <v>43162</v>
      </c>
      <c r="C90" s="33" t="s">
        <v>341</v>
      </c>
      <c r="D90" s="33" t="s">
        <v>126</v>
      </c>
      <c r="E90" s="33">
        <v>30</v>
      </c>
      <c r="F90" s="33">
        <v>30</v>
      </c>
      <c r="G90" s="87"/>
      <c r="H90" s="88"/>
      <c r="I90" s="88"/>
      <c r="J90" s="88"/>
      <c r="K90" s="88"/>
      <c r="L90" s="88"/>
    </row>
    <row r="91" spans="2:12" x14ac:dyDescent="0.3">
      <c r="B91" s="76">
        <v>43165</v>
      </c>
      <c r="C91" s="33" t="s">
        <v>341</v>
      </c>
      <c r="D91" s="33" t="s">
        <v>123</v>
      </c>
      <c r="E91" s="33">
        <v>180</v>
      </c>
      <c r="F91" s="33">
        <v>174</v>
      </c>
      <c r="G91" s="87"/>
      <c r="H91" s="88"/>
      <c r="I91" s="88"/>
      <c r="J91" s="88"/>
      <c r="K91" s="88"/>
      <c r="L91" s="88"/>
    </row>
    <row r="92" spans="2:12" x14ac:dyDescent="0.3">
      <c r="B92" s="76">
        <v>43165</v>
      </c>
      <c r="C92" s="33" t="s">
        <v>341</v>
      </c>
      <c r="D92" s="33" t="s">
        <v>125</v>
      </c>
      <c r="E92" s="33">
        <v>75</v>
      </c>
      <c r="F92" s="33">
        <v>72</v>
      </c>
      <c r="G92" s="87"/>
      <c r="H92" s="88"/>
      <c r="I92" s="88"/>
      <c r="J92" s="88"/>
      <c r="K92" s="88"/>
      <c r="L92" s="88"/>
    </row>
    <row r="93" spans="2:12" x14ac:dyDescent="0.3">
      <c r="B93" s="76">
        <v>43165</v>
      </c>
      <c r="C93" s="33" t="s">
        <v>341</v>
      </c>
      <c r="D93" s="33" t="s">
        <v>126</v>
      </c>
      <c r="E93" s="33">
        <v>30</v>
      </c>
      <c r="F93" s="33">
        <v>22</v>
      </c>
      <c r="G93" s="87"/>
      <c r="H93" s="88"/>
      <c r="I93" s="88"/>
      <c r="J93" s="88"/>
      <c r="K93" s="88"/>
      <c r="L93" s="88"/>
    </row>
    <row r="94" spans="2:12" x14ac:dyDescent="0.3">
      <c r="B94" s="76">
        <v>43167</v>
      </c>
      <c r="C94" s="33" t="s">
        <v>341</v>
      </c>
      <c r="D94" s="33" t="s">
        <v>123</v>
      </c>
      <c r="E94" s="33">
        <v>180</v>
      </c>
      <c r="F94" s="33">
        <v>180</v>
      </c>
      <c r="G94" s="87"/>
      <c r="H94" s="88"/>
      <c r="I94" s="88"/>
      <c r="J94" s="88"/>
      <c r="K94" s="88"/>
      <c r="L94" s="88"/>
    </row>
    <row r="95" spans="2:12" x14ac:dyDescent="0.3">
      <c r="B95" s="76">
        <v>43167</v>
      </c>
      <c r="C95" s="33" t="s">
        <v>341</v>
      </c>
      <c r="D95" s="33" t="s">
        <v>125</v>
      </c>
      <c r="E95" s="33">
        <v>75</v>
      </c>
      <c r="F95" s="33">
        <v>72</v>
      </c>
      <c r="G95" s="87"/>
      <c r="H95" s="88"/>
      <c r="I95" s="88"/>
      <c r="J95" s="88"/>
      <c r="K95" s="88"/>
      <c r="L95" s="88"/>
    </row>
    <row r="96" spans="2:12" x14ac:dyDescent="0.3">
      <c r="B96" s="76">
        <v>43167</v>
      </c>
      <c r="C96" s="33" t="s">
        <v>341</v>
      </c>
      <c r="D96" s="33" t="s">
        <v>126</v>
      </c>
      <c r="E96" s="33">
        <v>30</v>
      </c>
      <c r="F96" s="33">
        <v>28</v>
      </c>
      <c r="G96" s="87"/>
      <c r="H96" s="88"/>
      <c r="I96" s="88"/>
      <c r="J96" s="88"/>
      <c r="K96" s="88"/>
      <c r="L96" s="88"/>
    </row>
    <row r="97" spans="2:12" x14ac:dyDescent="0.3">
      <c r="B97" s="76">
        <v>43169</v>
      </c>
      <c r="C97" s="33" t="s">
        <v>341</v>
      </c>
      <c r="D97" s="33" t="s">
        <v>123</v>
      </c>
      <c r="E97" s="33">
        <v>180</v>
      </c>
      <c r="F97" s="33">
        <v>180</v>
      </c>
      <c r="G97" s="87"/>
      <c r="H97" s="88"/>
      <c r="I97" s="88"/>
      <c r="J97" s="88"/>
      <c r="K97" s="88"/>
      <c r="L97" s="88"/>
    </row>
    <row r="98" spans="2:12" x14ac:dyDescent="0.3">
      <c r="B98" s="76">
        <v>43169</v>
      </c>
      <c r="C98" s="33" t="s">
        <v>341</v>
      </c>
      <c r="D98" s="33" t="s">
        <v>125</v>
      </c>
      <c r="E98" s="33">
        <v>75</v>
      </c>
      <c r="F98" s="33">
        <v>75</v>
      </c>
      <c r="G98" s="87"/>
      <c r="H98" s="88"/>
      <c r="I98" s="88"/>
      <c r="J98" s="88"/>
      <c r="K98" s="88"/>
      <c r="L98" s="88"/>
    </row>
    <row r="99" spans="2:12" x14ac:dyDescent="0.3">
      <c r="B99" s="76">
        <v>43169</v>
      </c>
      <c r="C99" s="33" t="s">
        <v>341</v>
      </c>
      <c r="D99" s="33" t="s">
        <v>126</v>
      </c>
      <c r="E99" s="33">
        <v>30</v>
      </c>
      <c r="F99" s="33">
        <v>25</v>
      </c>
      <c r="G99" s="87"/>
      <c r="H99" s="88"/>
      <c r="I99" s="88"/>
      <c r="J99" s="88"/>
      <c r="K99" s="88"/>
      <c r="L99" s="88"/>
    </row>
    <row r="100" spans="2:12" x14ac:dyDescent="0.3">
      <c r="B100" s="76">
        <v>43172</v>
      </c>
      <c r="C100" s="33" t="s">
        <v>341</v>
      </c>
      <c r="D100" s="33" t="s">
        <v>123</v>
      </c>
      <c r="E100" s="33">
        <v>180</v>
      </c>
      <c r="F100" s="33">
        <v>178</v>
      </c>
      <c r="G100" s="87"/>
      <c r="H100" s="88"/>
      <c r="I100" s="88"/>
      <c r="J100" s="88"/>
      <c r="K100" s="88"/>
      <c r="L100" s="88"/>
    </row>
    <row r="101" spans="2:12" x14ac:dyDescent="0.3">
      <c r="B101" s="76">
        <v>43172</v>
      </c>
      <c r="C101" s="33" t="s">
        <v>341</v>
      </c>
      <c r="D101" s="33" t="s">
        <v>125</v>
      </c>
      <c r="E101" s="33">
        <v>75</v>
      </c>
      <c r="F101" s="33">
        <v>72</v>
      </c>
      <c r="G101" s="87"/>
      <c r="H101" s="88"/>
      <c r="I101" s="88"/>
      <c r="J101" s="88"/>
      <c r="K101" s="88"/>
      <c r="L101" s="88"/>
    </row>
    <row r="102" spans="2:12" x14ac:dyDescent="0.3">
      <c r="B102" s="76">
        <v>43172</v>
      </c>
      <c r="C102" s="33" t="s">
        <v>341</v>
      </c>
      <c r="D102" s="33" t="s">
        <v>126</v>
      </c>
      <c r="E102" s="33">
        <v>30</v>
      </c>
      <c r="F102" s="33">
        <v>21</v>
      </c>
      <c r="G102" s="87"/>
      <c r="H102" s="88"/>
      <c r="I102" s="88"/>
      <c r="J102" s="88"/>
      <c r="K102" s="88"/>
      <c r="L102" s="88"/>
    </row>
    <row r="103" spans="2:12" x14ac:dyDescent="0.3">
      <c r="B103" s="76">
        <v>43174</v>
      </c>
      <c r="C103" s="33" t="s">
        <v>341</v>
      </c>
      <c r="D103" s="33" t="s">
        <v>123</v>
      </c>
      <c r="E103" s="33">
        <v>180</v>
      </c>
      <c r="F103" s="33">
        <v>180</v>
      </c>
      <c r="G103" s="87"/>
      <c r="H103" s="88"/>
      <c r="I103" s="88"/>
      <c r="J103" s="88"/>
      <c r="K103" s="88"/>
      <c r="L103" s="88"/>
    </row>
    <row r="104" spans="2:12" x14ac:dyDescent="0.3">
      <c r="B104" s="76">
        <v>43174</v>
      </c>
      <c r="C104" s="33" t="s">
        <v>341</v>
      </c>
      <c r="D104" s="33" t="s">
        <v>125</v>
      </c>
      <c r="E104" s="33">
        <v>75</v>
      </c>
      <c r="F104" s="33">
        <v>72</v>
      </c>
      <c r="G104" s="87"/>
      <c r="H104" s="88"/>
      <c r="I104" s="88"/>
      <c r="J104" s="88"/>
      <c r="K104" s="88"/>
      <c r="L104" s="88"/>
    </row>
    <row r="105" spans="2:12" x14ac:dyDescent="0.3">
      <c r="B105" s="76">
        <v>43174</v>
      </c>
      <c r="C105" s="33" t="s">
        <v>341</v>
      </c>
      <c r="D105" s="33" t="s">
        <v>126</v>
      </c>
      <c r="E105" s="33">
        <v>30</v>
      </c>
      <c r="F105" s="33">
        <v>27</v>
      </c>
      <c r="G105" s="87"/>
      <c r="H105" s="88"/>
      <c r="I105" s="88"/>
      <c r="J105" s="88"/>
      <c r="K105" s="88"/>
      <c r="L105" s="88"/>
    </row>
    <row r="106" spans="2:12" x14ac:dyDescent="0.3">
      <c r="B106" s="76">
        <v>43176</v>
      </c>
      <c r="C106" s="33" t="s">
        <v>341</v>
      </c>
      <c r="D106" s="33" t="s">
        <v>123</v>
      </c>
      <c r="E106" s="33">
        <v>180</v>
      </c>
      <c r="F106" s="33">
        <v>180</v>
      </c>
      <c r="G106" s="87"/>
      <c r="H106" s="88"/>
      <c r="I106" s="88"/>
      <c r="J106" s="88"/>
      <c r="K106" s="88"/>
      <c r="L106" s="88"/>
    </row>
    <row r="107" spans="2:12" x14ac:dyDescent="0.3">
      <c r="B107" s="76">
        <v>43176</v>
      </c>
      <c r="C107" s="33" t="s">
        <v>341</v>
      </c>
      <c r="D107" s="33" t="s">
        <v>125</v>
      </c>
      <c r="E107" s="33">
        <v>75</v>
      </c>
      <c r="F107" s="33">
        <v>75</v>
      </c>
      <c r="G107" s="87"/>
      <c r="H107" s="88"/>
      <c r="I107" s="88"/>
      <c r="J107" s="88"/>
      <c r="K107" s="88"/>
      <c r="L107" s="88"/>
    </row>
    <row r="108" spans="2:12" x14ac:dyDescent="0.3">
      <c r="B108" s="76">
        <v>43176</v>
      </c>
      <c r="C108" s="33" t="s">
        <v>341</v>
      </c>
      <c r="D108" s="33" t="s">
        <v>126</v>
      </c>
      <c r="E108" s="33">
        <v>30</v>
      </c>
      <c r="F108" s="33">
        <v>28</v>
      </c>
      <c r="G108" s="87"/>
      <c r="H108" s="88"/>
      <c r="I108" s="88"/>
      <c r="J108" s="88"/>
      <c r="K108" s="88"/>
      <c r="L108" s="88"/>
    </row>
    <row r="109" spans="2:12" x14ac:dyDescent="0.3">
      <c r="B109" s="76">
        <v>43179</v>
      </c>
      <c r="C109" s="33" t="s">
        <v>341</v>
      </c>
      <c r="D109" s="33" t="s">
        <v>123</v>
      </c>
      <c r="E109" s="33">
        <v>180</v>
      </c>
      <c r="F109" s="33">
        <v>178</v>
      </c>
      <c r="G109" s="87"/>
      <c r="H109" s="88"/>
      <c r="I109" s="88"/>
      <c r="J109" s="88"/>
      <c r="K109" s="88"/>
      <c r="L109" s="88"/>
    </row>
    <row r="110" spans="2:12" x14ac:dyDescent="0.3">
      <c r="B110" s="76">
        <v>43179</v>
      </c>
      <c r="C110" s="33" t="s">
        <v>341</v>
      </c>
      <c r="D110" s="33" t="s">
        <v>125</v>
      </c>
      <c r="E110" s="33">
        <v>75</v>
      </c>
      <c r="F110" s="33">
        <v>74</v>
      </c>
      <c r="G110" s="87"/>
      <c r="H110" s="88"/>
      <c r="I110" s="88"/>
      <c r="J110" s="88"/>
      <c r="K110" s="88"/>
      <c r="L110" s="88"/>
    </row>
    <row r="111" spans="2:12" x14ac:dyDescent="0.3">
      <c r="B111" s="76">
        <v>43179</v>
      </c>
      <c r="C111" s="33" t="s">
        <v>341</v>
      </c>
      <c r="D111" s="33" t="s">
        <v>126</v>
      </c>
      <c r="E111" s="33">
        <v>30</v>
      </c>
      <c r="F111" s="33">
        <v>20</v>
      </c>
      <c r="G111" s="87"/>
      <c r="H111" s="88"/>
      <c r="I111" s="88"/>
      <c r="J111" s="88"/>
      <c r="K111" s="88"/>
      <c r="L111" s="88"/>
    </row>
    <row r="112" spans="2:12" x14ac:dyDescent="0.3">
      <c r="B112" s="76">
        <v>43181</v>
      </c>
      <c r="C112" s="33" t="s">
        <v>341</v>
      </c>
      <c r="D112" s="33" t="s">
        <v>123</v>
      </c>
      <c r="E112" s="33">
        <v>180</v>
      </c>
      <c r="F112" s="33">
        <v>178</v>
      </c>
      <c r="G112" s="87"/>
      <c r="H112" s="88"/>
      <c r="I112" s="88"/>
      <c r="J112" s="88"/>
      <c r="K112" s="88"/>
      <c r="L112" s="88"/>
    </row>
    <row r="113" spans="2:12" x14ac:dyDescent="0.3">
      <c r="B113" s="76">
        <v>43181</v>
      </c>
      <c r="C113" s="33" t="s">
        <v>341</v>
      </c>
      <c r="D113" s="33" t="s">
        <v>125</v>
      </c>
      <c r="E113" s="33">
        <v>75</v>
      </c>
      <c r="F113" s="33">
        <v>69</v>
      </c>
      <c r="G113" s="87"/>
      <c r="H113" s="88"/>
      <c r="I113" s="88"/>
      <c r="J113" s="88"/>
      <c r="K113" s="88"/>
      <c r="L113" s="88"/>
    </row>
    <row r="114" spans="2:12" x14ac:dyDescent="0.3">
      <c r="B114" s="76">
        <v>43181</v>
      </c>
      <c r="C114" s="33" t="s">
        <v>341</v>
      </c>
      <c r="D114" s="33" t="s">
        <v>126</v>
      </c>
      <c r="E114" s="33">
        <v>30</v>
      </c>
      <c r="F114" s="33">
        <v>27</v>
      </c>
      <c r="G114" s="87"/>
      <c r="H114" s="88"/>
      <c r="I114" s="88"/>
      <c r="J114" s="88"/>
      <c r="K114" s="88"/>
      <c r="L114" s="88"/>
    </row>
    <row r="115" spans="2:12" x14ac:dyDescent="0.3">
      <c r="B115" s="76">
        <v>43183</v>
      </c>
      <c r="C115" s="33" t="s">
        <v>341</v>
      </c>
      <c r="D115" s="33" t="s">
        <v>123</v>
      </c>
      <c r="E115" s="33">
        <v>180</v>
      </c>
      <c r="F115" s="33">
        <v>180</v>
      </c>
      <c r="G115" s="87"/>
      <c r="H115" s="88"/>
      <c r="I115" s="88"/>
      <c r="J115" s="88"/>
      <c r="K115" s="88"/>
      <c r="L115" s="88"/>
    </row>
    <row r="116" spans="2:12" x14ac:dyDescent="0.3">
      <c r="B116" s="76">
        <v>43183</v>
      </c>
      <c r="C116" s="33" t="s">
        <v>341</v>
      </c>
      <c r="D116" s="33" t="s">
        <v>125</v>
      </c>
      <c r="E116" s="33">
        <v>75</v>
      </c>
      <c r="F116" s="33">
        <v>75</v>
      </c>
      <c r="G116" s="87"/>
      <c r="H116" s="88"/>
      <c r="I116" s="88"/>
      <c r="J116" s="88"/>
      <c r="K116" s="88"/>
      <c r="L116" s="88"/>
    </row>
    <row r="117" spans="2:12" x14ac:dyDescent="0.3">
      <c r="B117" s="76">
        <v>43183</v>
      </c>
      <c r="C117" s="33" t="s">
        <v>341</v>
      </c>
      <c r="D117" s="33" t="s">
        <v>126</v>
      </c>
      <c r="E117" s="33">
        <v>30</v>
      </c>
      <c r="F117" s="33">
        <v>30</v>
      </c>
      <c r="G117" s="87"/>
      <c r="H117" s="88"/>
      <c r="I117" s="88"/>
      <c r="J117" s="88"/>
      <c r="K117" s="88"/>
      <c r="L117" s="88"/>
    </row>
    <row r="118" spans="2:12" x14ac:dyDescent="0.3">
      <c r="B118" s="76">
        <v>43186</v>
      </c>
      <c r="C118" s="33" t="s">
        <v>341</v>
      </c>
      <c r="D118" s="33" t="s">
        <v>123</v>
      </c>
      <c r="E118" s="33">
        <v>180</v>
      </c>
      <c r="F118" s="33">
        <v>178</v>
      </c>
      <c r="G118" s="87"/>
      <c r="H118" s="88"/>
      <c r="I118" s="88"/>
      <c r="J118" s="88"/>
      <c r="K118" s="88"/>
      <c r="L118" s="88"/>
    </row>
    <row r="119" spans="2:12" x14ac:dyDescent="0.3">
      <c r="B119" s="76">
        <v>43186</v>
      </c>
      <c r="C119" s="33" t="s">
        <v>341</v>
      </c>
      <c r="D119" s="33" t="s">
        <v>125</v>
      </c>
      <c r="E119" s="33">
        <v>75</v>
      </c>
      <c r="F119" s="33">
        <v>72</v>
      </c>
      <c r="G119" s="87"/>
      <c r="H119" s="88"/>
      <c r="I119" s="88"/>
      <c r="J119" s="88"/>
      <c r="K119" s="88"/>
      <c r="L119" s="88"/>
    </row>
    <row r="120" spans="2:12" x14ac:dyDescent="0.3">
      <c r="B120" s="76">
        <v>43186</v>
      </c>
      <c r="C120" s="33" t="s">
        <v>341</v>
      </c>
      <c r="D120" s="33" t="s">
        <v>126</v>
      </c>
      <c r="E120" s="33">
        <v>30</v>
      </c>
      <c r="F120" s="33">
        <v>23</v>
      </c>
      <c r="G120" s="87"/>
      <c r="H120" s="88"/>
      <c r="I120" s="88"/>
      <c r="J120" s="88"/>
      <c r="K120" s="88"/>
      <c r="L120" s="88"/>
    </row>
    <row r="121" spans="2:12" x14ac:dyDescent="0.3">
      <c r="B121" s="76">
        <v>43188</v>
      </c>
      <c r="C121" s="33" t="s">
        <v>341</v>
      </c>
      <c r="D121" s="33" t="s">
        <v>123</v>
      </c>
      <c r="E121" s="33">
        <v>180</v>
      </c>
      <c r="F121" s="33">
        <v>180</v>
      </c>
      <c r="G121" s="87"/>
      <c r="H121" s="88"/>
      <c r="I121" s="88"/>
      <c r="J121" s="88"/>
      <c r="K121" s="88"/>
      <c r="L121" s="88"/>
    </row>
    <row r="122" spans="2:12" x14ac:dyDescent="0.3">
      <c r="B122" s="76">
        <v>43188</v>
      </c>
      <c r="C122" s="33" t="s">
        <v>341</v>
      </c>
      <c r="D122" s="33" t="s">
        <v>125</v>
      </c>
      <c r="E122" s="33">
        <v>75</v>
      </c>
      <c r="F122" s="33">
        <v>74</v>
      </c>
      <c r="G122" s="87"/>
      <c r="H122" s="88"/>
      <c r="I122" s="88"/>
      <c r="J122" s="88"/>
      <c r="K122" s="88"/>
      <c r="L122" s="88"/>
    </row>
    <row r="123" spans="2:12" x14ac:dyDescent="0.3">
      <c r="B123" s="76">
        <v>43188</v>
      </c>
      <c r="C123" s="33" t="s">
        <v>341</v>
      </c>
      <c r="D123" s="33" t="s">
        <v>126</v>
      </c>
      <c r="E123" s="33">
        <v>30</v>
      </c>
      <c r="F123" s="33">
        <v>27</v>
      </c>
      <c r="G123" s="87"/>
      <c r="H123" s="88"/>
      <c r="I123" s="88"/>
      <c r="J123" s="88"/>
      <c r="K123" s="88"/>
      <c r="L123" s="88"/>
    </row>
    <row r="124" spans="2:12" x14ac:dyDescent="0.3">
      <c r="B124" s="76">
        <v>43190</v>
      </c>
      <c r="C124" s="33" t="s">
        <v>341</v>
      </c>
      <c r="D124" s="33" t="s">
        <v>123</v>
      </c>
      <c r="E124" s="33">
        <v>180</v>
      </c>
      <c r="F124" s="33">
        <v>180</v>
      </c>
      <c r="G124" s="87"/>
      <c r="H124" s="88"/>
      <c r="I124" s="88"/>
      <c r="J124" s="88"/>
      <c r="K124" s="88"/>
      <c r="L124" s="88"/>
    </row>
    <row r="125" spans="2:12" x14ac:dyDescent="0.3">
      <c r="B125" s="76">
        <v>43190</v>
      </c>
      <c r="C125" s="33" t="s">
        <v>341</v>
      </c>
      <c r="D125" s="33" t="s">
        <v>125</v>
      </c>
      <c r="E125" s="33">
        <v>75</v>
      </c>
      <c r="F125" s="33">
        <v>74</v>
      </c>
      <c r="G125" s="87"/>
      <c r="H125" s="88"/>
      <c r="I125" s="88"/>
      <c r="J125" s="88"/>
      <c r="K125" s="88"/>
      <c r="L125" s="88"/>
    </row>
    <row r="126" spans="2:12" x14ac:dyDescent="0.3">
      <c r="B126" s="76">
        <v>43190</v>
      </c>
      <c r="C126" s="33" t="s">
        <v>341</v>
      </c>
      <c r="D126" s="33" t="s">
        <v>126</v>
      </c>
      <c r="E126" s="33">
        <v>30</v>
      </c>
      <c r="F126" s="33">
        <v>27</v>
      </c>
      <c r="G126" s="87"/>
      <c r="H126" s="88"/>
      <c r="I126" s="88"/>
      <c r="J126" s="88"/>
      <c r="K126" s="88"/>
      <c r="L126" s="88"/>
    </row>
    <row r="127" spans="2:12" x14ac:dyDescent="0.3">
      <c r="B127" s="76">
        <v>43193</v>
      </c>
      <c r="C127" s="33" t="s">
        <v>341</v>
      </c>
      <c r="D127" s="33" t="s">
        <v>123</v>
      </c>
      <c r="E127" s="33">
        <v>180</v>
      </c>
      <c r="F127" s="33">
        <v>174</v>
      </c>
      <c r="G127" s="87"/>
      <c r="H127" s="88"/>
      <c r="I127" s="88"/>
      <c r="J127" s="88"/>
      <c r="K127" s="88"/>
      <c r="L127" s="88"/>
    </row>
    <row r="128" spans="2:12" x14ac:dyDescent="0.3">
      <c r="B128" s="76">
        <v>43193</v>
      </c>
      <c r="C128" s="33" t="s">
        <v>341</v>
      </c>
      <c r="D128" s="33" t="s">
        <v>125</v>
      </c>
      <c r="E128" s="33">
        <v>75</v>
      </c>
      <c r="F128" s="33">
        <v>71</v>
      </c>
      <c r="G128" s="87"/>
      <c r="H128" s="88"/>
      <c r="I128" s="88"/>
      <c r="J128" s="88"/>
      <c r="K128" s="88"/>
      <c r="L128" s="88"/>
    </row>
    <row r="129" spans="2:12" x14ac:dyDescent="0.3">
      <c r="B129" s="76">
        <v>43193</v>
      </c>
      <c r="C129" s="33" t="s">
        <v>341</v>
      </c>
      <c r="D129" s="33" t="s">
        <v>126</v>
      </c>
      <c r="E129" s="33">
        <v>30</v>
      </c>
      <c r="F129" s="33">
        <v>26</v>
      </c>
      <c r="G129" s="87"/>
      <c r="H129" s="88"/>
      <c r="I129" s="88"/>
      <c r="J129" s="88"/>
      <c r="K129" s="88"/>
      <c r="L129" s="88"/>
    </row>
    <row r="130" spans="2:12" x14ac:dyDescent="0.3">
      <c r="B130" s="76">
        <v>43195</v>
      </c>
      <c r="C130" s="33" t="s">
        <v>341</v>
      </c>
      <c r="D130" s="33" t="s">
        <v>123</v>
      </c>
      <c r="E130" s="33">
        <v>180</v>
      </c>
      <c r="F130" s="33">
        <v>180</v>
      </c>
      <c r="G130" s="87"/>
      <c r="H130" s="88"/>
      <c r="I130" s="88"/>
      <c r="J130" s="88"/>
      <c r="K130" s="88"/>
      <c r="L130" s="88"/>
    </row>
    <row r="131" spans="2:12" x14ac:dyDescent="0.3">
      <c r="B131" s="76">
        <v>43195</v>
      </c>
      <c r="C131" s="33" t="s">
        <v>341</v>
      </c>
      <c r="D131" s="33" t="s">
        <v>125</v>
      </c>
      <c r="E131" s="33">
        <v>75</v>
      </c>
      <c r="F131" s="33">
        <v>75</v>
      </c>
      <c r="G131" s="87"/>
      <c r="H131" s="88"/>
      <c r="I131" s="88"/>
      <c r="J131" s="88"/>
      <c r="K131" s="88"/>
      <c r="L131" s="88"/>
    </row>
    <row r="132" spans="2:12" x14ac:dyDescent="0.3">
      <c r="B132" s="76">
        <v>43195</v>
      </c>
      <c r="C132" s="33" t="s">
        <v>341</v>
      </c>
      <c r="D132" s="33" t="s">
        <v>126</v>
      </c>
      <c r="E132" s="33">
        <v>30</v>
      </c>
      <c r="F132" s="33">
        <v>24</v>
      </c>
      <c r="G132" s="87"/>
      <c r="H132" s="88"/>
      <c r="I132" s="88"/>
      <c r="J132" s="88"/>
      <c r="K132" s="88"/>
      <c r="L132" s="88"/>
    </row>
    <row r="133" spans="2:12" x14ac:dyDescent="0.3">
      <c r="B133" s="76">
        <v>43197</v>
      </c>
      <c r="C133" s="33" t="s">
        <v>341</v>
      </c>
      <c r="D133" s="33" t="s">
        <v>123</v>
      </c>
      <c r="E133" s="33">
        <v>180</v>
      </c>
      <c r="F133" s="33">
        <v>180</v>
      </c>
      <c r="G133" s="87"/>
      <c r="H133" s="88"/>
      <c r="I133" s="88"/>
      <c r="J133" s="88"/>
      <c r="K133" s="88"/>
      <c r="L133" s="88"/>
    </row>
    <row r="134" spans="2:12" x14ac:dyDescent="0.3">
      <c r="B134" s="76">
        <v>43197</v>
      </c>
      <c r="C134" s="33" t="s">
        <v>341</v>
      </c>
      <c r="D134" s="33" t="s">
        <v>125</v>
      </c>
      <c r="E134" s="33">
        <v>75</v>
      </c>
      <c r="F134" s="33">
        <v>75</v>
      </c>
      <c r="G134" s="87"/>
      <c r="H134" s="88"/>
      <c r="I134" s="88"/>
      <c r="J134" s="88"/>
      <c r="K134" s="88"/>
      <c r="L134" s="88"/>
    </row>
    <row r="135" spans="2:12" x14ac:dyDescent="0.3">
      <c r="B135" s="76">
        <v>43197</v>
      </c>
      <c r="C135" s="33" t="s">
        <v>341</v>
      </c>
      <c r="D135" s="33" t="s">
        <v>126</v>
      </c>
      <c r="E135" s="33">
        <v>30</v>
      </c>
      <c r="F135" s="33">
        <v>30</v>
      </c>
      <c r="G135" s="87"/>
      <c r="H135" s="88"/>
      <c r="I135" s="88"/>
      <c r="J135" s="88"/>
      <c r="K135" s="88"/>
      <c r="L135" s="88"/>
    </row>
    <row r="136" spans="2:12" x14ac:dyDescent="0.3">
      <c r="B136" s="76">
        <v>43200</v>
      </c>
      <c r="C136" s="33" t="s">
        <v>341</v>
      </c>
      <c r="D136" s="33" t="s">
        <v>123</v>
      </c>
      <c r="E136" s="33">
        <v>180</v>
      </c>
      <c r="F136" s="33">
        <v>178</v>
      </c>
      <c r="G136" s="87"/>
      <c r="H136" s="88"/>
      <c r="I136" s="88"/>
      <c r="J136" s="88"/>
      <c r="K136" s="88"/>
      <c r="L136" s="88"/>
    </row>
    <row r="137" spans="2:12" x14ac:dyDescent="0.3">
      <c r="B137" s="76">
        <v>43200</v>
      </c>
      <c r="C137" s="33" t="s">
        <v>341</v>
      </c>
      <c r="D137" s="33" t="s">
        <v>125</v>
      </c>
      <c r="E137" s="33">
        <v>75</v>
      </c>
      <c r="F137" s="33">
        <v>71</v>
      </c>
      <c r="G137" s="87"/>
      <c r="H137" s="88"/>
      <c r="I137" s="88"/>
      <c r="J137" s="88"/>
      <c r="K137" s="88"/>
      <c r="L137" s="88"/>
    </row>
    <row r="138" spans="2:12" x14ac:dyDescent="0.3">
      <c r="B138" s="76">
        <v>43200</v>
      </c>
      <c r="C138" s="33" t="s">
        <v>341</v>
      </c>
      <c r="D138" s="33" t="s">
        <v>126</v>
      </c>
      <c r="E138" s="33">
        <v>30</v>
      </c>
      <c r="F138" s="33">
        <v>28</v>
      </c>
      <c r="G138" s="87"/>
      <c r="H138" s="88"/>
      <c r="I138" s="88"/>
      <c r="J138" s="88"/>
      <c r="K138" s="88"/>
      <c r="L138" s="88"/>
    </row>
    <row r="139" spans="2:12" x14ac:dyDescent="0.3">
      <c r="B139" s="76">
        <v>43202</v>
      </c>
      <c r="C139" s="33" t="s">
        <v>341</v>
      </c>
      <c r="D139" s="33" t="s">
        <v>123</v>
      </c>
      <c r="E139" s="33">
        <v>180</v>
      </c>
      <c r="F139" s="33">
        <v>180</v>
      </c>
      <c r="G139" s="87"/>
      <c r="H139" s="88"/>
      <c r="I139" s="88"/>
      <c r="J139" s="88"/>
      <c r="K139" s="88"/>
      <c r="L139" s="88"/>
    </row>
    <row r="140" spans="2:12" x14ac:dyDescent="0.3">
      <c r="B140" s="76">
        <v>43202</v>
      </c>
      <c r="C140" s="33" t="s">
        <v>341</v>
      </c>
      <c r="D140" s="33" t="s">
        <v>125</v>
      </c>
      <c r="E140" s="33">
        <v>75</v>
      </c>
      <c r="F140" s="33">
        <v>75</v>
      </c>
      <c r="G140" s="87"/>
      <c r="H140" s="88"/>
      <c r="I140" s="88"/>
      <c r="J140" s="88"/>
      <c r="K140" s="88"/>
      <c r="L140" s="88"/>
    </row>
    <row r="141" spans="2:12" x14ac:dyDescent="0.3">
      <c r="B141" s="76">
        <v>43202</v>
      </c>
      <c r="C141" s="33" t="s">
        <v>341</v>
      </c>
      <c r="D141" s="33" t="s">
        <v>126</v>
      </c>
      <c r="E141" s="33">
        <v>30</v>
      </c>
      <c r="F141" s="33">
        <v>30</v>
      </c>
      <c r="G141" s="87"/>
      <c r="H141" s="88"/>
      <c r="I141" s="88"/>
      <c r="J141" s="88"/>
      <c r="K141" s="88"/>
      <c r="L141" s="88"/>
    </row>
    <row r="142" spans="2:12" x14ac:dyDescent="0.3">
      <c r="B142" s="76">
        <v>43204</v>
      </c>
      <c r="C142" s="33" t="s">
        <v>341</v>
      </c>
      <c r="D142" s="33" t="s">
        <v>123</v>
      </c>
      <c r="E142" s="33">
        <v>180</v>
      </c>
      <c r="F142" s="33">
        <v>180</v>
      </c>
      <c r="G142" s="87"/>
      <c r="H142" s="88"/>
      <c r="I142" s="88"/>
      <c r="J142" s="88"/>
      <c r="K142" s="88"/>
      <c r="L142" s="88"/>
    </row>
    <row r="143" spans="2:12" x14ac:dyDescent="0.3">
      <c r="B143" s="76">
        <v>43204</v>
      </c>
      <c r="C143" s="33" t="s">
        <v>341</v>
      </c>
      <c r="D143" s="33" t="s">
        <v>125</v>
      </c>
      <c r="E143" s="33">
        <v>75</v>
      </c>
      <c r="F143" s="33">
        <v>75</v>
      </c>
      <c r="G143" s="87"/>
      <c r="H143" s="88"/>
      <c r="I143" s="88"/>
      <c r="J143" s="88"/>
      <c r="K143" s="88"/>
      <c r="L143" s="88"/>
    </row>
    <row r="144" spans="2:12" x14ac:dyDescent="0.3">
      <c r="B144" s="76">
        <v>43204</v>
      </c>
      <c r="C144" s="33" t="s">
        <v>341</v>
      </c>
      <c r="D144" s="33" t="s">
        <v>126</v>
      </c>
      <c r="E144" s="33">
        <v>30</v>
      </c>
      <c r="F144" s="33">
        <v>28</v>
      </c>
      <c r="G144" s="87"/>
      <c r="H144" s="88"/>
      <c r="I144" s="88"/>
      <c r="J144" s="88"/>
      <c r="K144" s="88"/>
      <c r="L144" s="88"/>
    </row>
    <row r="145" spans="2:12" x14ac:dyDescent="0.3">
      <c r="B145" s="76">
        <v>43207</v>
      </c>
      <c r="C145" s="33" t="s">
        <v>341</v>
      </c>
      <c r="D145" s="33" t="s">
        <v>123</v>
      </c>
      <c r="E145" s="33">
        <v>180</v>
      </c>
      <c r="F145" s="33">
        <v>180</v>
      </c>
      <c r="G145" s="87"/>
      <c r="H145" s="88"/>
      <c r="I145" s="88"/>
      <c r="J145" s="88"/>
      <c r="K145" s="88"/>
      <c r="L145" s="88"/>
    </row>
    <row r="146" spans="2:12" x14ac:dyDescent="0.3">
      <c r="B146" s="76">
        <v>43207</v>
      </c>
      <c r="C146" s="33" t="s">
        <v>341</v>
      </c>
      <c r="D146" s="33" t="s">
        <v>125</v>
      </c>
      <c r="E146" s="33">
        <v>75</v>
      </c>
      <c r="F146" s="33">
        <v>74</v>
      </c>
      <c r="G146" s="87"/>
      <c r="H146" s="88"/>
      <c r="I146" s="88"/>
      <c r="J146" s="88"/>
      <c r="K146" s="88"/>
      <c r="L146" s="88"/>
    </row>
    <row r="147" spans="2:12" x14ac:dyDescent="0.3">
      <c r="B147" s="76">
        <v>43207</v>
      </c>
      <c r="C147" s="33" t="s">
        <v>341</v>
      </c>
      <c r="D147" s="33" t="s">
        <v>126</v>
      </c>
      <c r="E147" s="33">
        <v>30</v>
      </c>
      <c r="F147" s="33">
        <v>26</v>
      </c>
      <c r="G147" s="87"/>
      <c r="H147" s="88"/>
      <c r="I147" s="88"/>
      <c r="J147" s="88"/>
      <c r="K147" s="88"/>
      <c r="L147" s="88"/>
    </row>
    <row r="148" spans="2:12" x14ac:dyDescent="0.3">
      <c r="B148" s="76">
        <v>43209</v>
      </c>
      <c r="C148" s="33" t="s">
        <v>341</v>
      </c>
      <c r="D148" s="33" t="s">
        <v>123</v>
      </c>
      <c r="E148" s="33">
        <v>180</v>
      </c>
      <c r="F148" s="33">
        <v>178</v>
      </c>
      <c r="G148" s="87"/>
      <c r="H148" s="88"/>
      <c r="I148" s="88"/>
      <c r="J148" s="88"/>
      <c r="K148" s="88"/>
      <c r="L148" s="88"/>
    </row>
    <row r="149" spans="2:12" x14ac:dyDescent="0.3">
      <c r="B149" s="76">
        <v>43209</v>
      </c>
      <c r="C149" s="33" t="s">
        <v>341</v>
      </c>
      <c r="D149" s="33" t="s">
        <v>125</v>
      </c>
      <c r="E149" s="33">
        <v>75</v>
      </c>
      <c r="F149" s="33">
        <v>71</v>
      </c>
      <c r="G149" s="87"/>
      <c r="H149" s="88"/>
      <c r="I149" s="88"/>
      <c r="J149" s="88"/>
      <c r="K149" s="88"/>
      <c r="L149" s="88"/>
    </row>
    <row r="150" spans="2:12" x14ac:dyDescent="0.3">
      <c r="B150" s="76">
        <v>43209</v>
      </c>
      <c r="C150" s="33" t="s">
        <v>341</v>
      </c>
      <c r="D150" s="33" t="s">
        <v>126</v>
      </c>
      <c r="E150" s="33">
        <v>30</v>
      </c>
      <c r="F150" s="33">
        <v>24</v>
      </c>
      <c r="G150" s="87"/>
      <c r="H150" s="88"/>
      <c r="I150" s="88"/>
      <c r="J150" s="88"/>
      <c r="K150" s="88"/>
      <c r="L150" s="88"/>
    </row>
    <row r="151" spans="2:12" x14ac:dyDescent="0.3">
      <c r="B151" s="76">
        <v>43211</v>
      </c>
      <c r="C151" s="33" t="s">
        <v>341</v>
      </c>
      <c r="D151" s="33" t="s">
        <v>123</v>
      </c>
      <c r="E151" s="33">
        <v>180</v>
      </c>
      <c r="F151" s="33">
        <v>180</v>
      </c>
      <c r="G151" s="87"/>
      <c r="H151" s="88"/>
      <c r="I151" s="88"/>
      <c r="J151" s="88"/>
      <c r="K151" s="88"/>
      <c r="L151" s="88"/>
    </row>
    <row r="152" spans="2:12" x14ac:dyDescent="0.3">
      <c r="B152" s="76">
        <v>43211</v>
      </c>
      <c r="C152" s="33" t="s">
        <v>341</v>
      </c>
      <c r="D152" s="33" t="s">
        <v>125</v>
      </c>
      <c r="E152" s="33">
        <v>75</v>
      </c>
      <c r="F152" s="33">
        <v>75</v>
      </c>
      <c r="G152" s="87"/>
      <c r="H152" s="88"/>
      <c r="I152" s="88"/>
      <c r="J152" s="88"/>
      <c r="K152" s="88"/>
      <c r="L152" s="88"/>
    </row>
    <row r="153" spans="2:12" x14ac:dyDescent="0.3">
      <c r="B153" s="76">
        <v>43211</v>
      </c>
      <c r="C153" s="33" t="s">
        <v>341</v>
      </c>
      <c r="D153" s="33" t="s">
        <v>126</v>
      </c>
      <c r="E153" s="33">
        <v>30</v>
      </c>
      <c r="F153" s="33">
        <v>30</v>
      </c>
      <c r="G153" s="87"/>
      <c r="H153" s="88"/>
      <c r="I153" s="88"/>
      <c r="J153" s="88"/>
      <c r="K153" s="88"/>
      <c r="L153" s="88"/>
    </row>
    <row r="154" spans="2:12" x14ac:dyDescent="0.3">
      <c r="B154" s="76">
        <v>43214</v>
      </c>
      <c r="C154" s="33" t="s">
        <v>341</v>
      </c>
      <c r="D154" s="33" t="s">
        <v>123</v>
      </c>
      <c r="E154" s="33">
        <v>180</v>
      </c>
      <c r="F154" s="33">
        <v>168</v>
      </c>
      <c r="G154" s="87"/>
      <c r="H154" s="88"/>
      <c r="I154" s="88"/>
      <c r="J154" s="88"/>
      <c r="K154" s="88"/>
      <c r="L154" s="88"/>
    </row>
    <row r="155" spans="2:12" x14ac:dyDescent="0.3">
      <c r="B155" s="76">
        <v>43214</v>
      </c>
      <c r="C155" s="33" t="s">
        <v>341</v>
      </c>
      <c r="D155" s="33" t="s">
        <v>125</v>
      </c>
      <c r="E155" s="33">
        <v>75</v>
      </c>
      <c r="F155" s="33">
        <v>67</v>
      </c>
      <c r="G155" s="87"/>
      <c r="H155" s="88"/>
      <c r="I155" s="88"/>
      <c r="J155" s="88"/>
      <c r="K155" s="88"/>
      <c r="L155" s="88"/>
    </row>
    <row r="156" spans="2:12" x14ac:dyDescent="0.3">
      <c r="B156" s="76">
        <v>43214</v>
      </c>
      <c r="C156" s="33" t="s">
        <v>341</v>
      </c>
      <c r="D156" s="33" t="s">
        <v>126</v>
      </c>
      <c r="E156" s="33">
        <v>30</v>
      </c>
      <c r="F156" s="33">
        <v>20</v>
      </c>
      <c r="G156" s="87"/>
      <c r="H156" s="88"/>
      <c r="I156" s="88"/>
      <c r="J156" s="88"/>
      <c r="K156" s="88"/>
      <c r="L156" s="88"/>
    </row>
    <row r="157" spans="2:12" x14ac:dyDescent="0.3">
      <c r="B157" s="76">
        <v>43216</v>
      </c>
      <c r="C157" s="33" t="s">
        <v>341</v>
      </c>
      <c r="D157" s="33" t="s">
        <v>123</v>
      </c>
      <c r="E157" s="33">
        <v>180</v>
      </c>
      <c r="F157" s="33">
        <v>180</v>
      </c>
      <c r="G157" s="87"/>
      <c r="H157" s="88"/>
      <c r="I157" s="88"/>
      <c r="J157" s="88"/>
      <c r="K157" s="88"/>
      <c r="L157" s="88"/>
    </row>
    <row r="158" spans="2:12" x14ac:dyDescent="0.3">
      <c r="B158" s="76">
        <v>43216</v>
      </c>
      <c r="C158" s="33" t="s">
        <v>341</v>
      </c>
      <c r="D158" s="33" t="s">
        <v>125</v>
      </c>
      <c r="E158" s="33">
        <v>75</v>
      </c>
      <c r="F158" s="33">
        <v>74</v>
      </c>
      <c r="G158" s="87"/>
      <c r="H158" s="88"/>
      <c r="I158" s="88"/>
      <c r="J158" s="88"/>
      <c r="K158" s="88"/>
      <c r="L158" s="88"/>
    </row>
    <row r="159" spans="2:12" x14ac:dyDescent="0.3">
      <c r="B159" s="76">
        <v>43216</v>
      </c>
      <c r="C159" s="33" t="s">
        <v>341</v>
      </c>
      <c r="D159" s="33" t="s">
        <v>126</v>
      </c>
      <c r="E159" s="33">
        <v>30</v>
      </c>
      <c r="F159" s="33">
        <v>28</v>
      </c>
      <c r="G159" s="87"/>
      <c r="H159" s="88"/>
      <c r="I159" s="88"/>
      <c r="J159" s="88"/>
      <c r="K159" s="88"/>
      <c r="L159" s="88"/>
    </row>
    <row r="160" spans="2:12" x14ac:dyDescent="0.3">
      <c r="B160" s="76">
        <v>43218</v>
      </c>
      <c r="C160" s="33" t="s">
        <v>341</v>
      </c>
      <c r="D160" s="33" t="s">
        <v>123</v>
      </c>
      <c r="E160" s="33">
        <v>180</v>
      </c>
      <c r="F160" s="33">
        <v>180</v>
      </c>
      <c r="G160" s="87"/>
      <c r="H160" s="88"/>
      <c r="I160" s="88"/>
      <c r="J160" s="88"/>
      <c r="K160" s="88"/>
      <c r="L160" s="88"/>
    </row>
    <row r="161" spans="2:12" x14ac:dyDescent="0.3">
      <c r="B161" s="76">
        <v>43218</v>
      </c>
      <c r="C161" s="33" t="s">
        <v>341</v>
      </c>
      <c r="D161" s="33" t="s">
        <v>125</v>
      </c>
      <c r="E161" s="33">
        <v>75</v>
      </c>
      <c r="F161" s="33">
        <v>75</v>
      </c>
      <c r="G161" s="87"/>
      <c r="H161" s="88"/>
      <c r="I161" s="88"/>
      <c r="J161" s="88"/>
      <c r="K161" s="88"/>
      <c r="L161" s="88"/>
    </row>
    <row r="162" spans="2:12" x14ac:dyDescent="0.3">
      <c r="B162" s="76">
        <v>43218</v>
      </c>
      <c r="C162" s="33" t="s">
        <v>341</v>
      </c>
      <c r="D162" s="33" t="s">
        <v>126</v>
      </c>
      <c r="E162" s="33">
        <v>30</v>
      </c>
      <c r="F162" s="33">
        <v>30</v>
      </c>
      <c r="G162" s="87"/>
      <c r="H162" s="88"/>
      <c r="I162" s="88"/>
      <c r="J162" s="88"/>
      <c r="K162" s="88"/>
      <c r="L162" s="88"/>
    </row>
    <row r="163" spans="2:12" x14ac:dyDescent="0.3">
      <c r="B163" s="76">
        <v>43221</v>
      </c>
      <c r="C163" s="33" t="s">
        <v>341</v>
      </c>
      <c r="D163" s="33" t="s">
        <v>123</v>
      </c>
      <c r="E163" s="33">
        <v>180</v>
      </c>
      <c r="F163" s="33">
        <v>178</v>
      </c>
      <c r="G163" s="87"/>
      <c r="H163" s="88"/>
      <c r="I163" s="88"/>
      <c r="J163" s="88"/>
      <c r="K163" s="88"/>
      <c r="L163" s="88"/>
    </row>
    <row r="164" spans="2:12" x14ac:dyDescent="0.3">
      <c r="B164" s="76">
        <v>43221</v>
      </c>
      <c r="C164" s="33" t="s">
        <v>341</v>
      </c>
      <c r="D164" s="33" t="s">
        <v>125</v>
      </c>
      <c r="E164" s="33">
        <v>75</v>
      </c>
      <c r="F164" s="33">
        <v>71</v>
      </c>
      <c r="G164" s="87"/>
      <c r="H164" s="88"/>
      <c r="I164" s="88"/>
      <c r="J164" s="88"/>
      <c r="K164" s="88"/>
      <c r="L164" s="88"/>
    </row>
    <row r="165" spans="2:12" x14ac:dyDescent="0.3">
      <c r="B165" s="76">
        <v>43221</v>
      </c>
      <c r="C165" s="33" t="s">
        <v>341</v>
      </c>
      <c r="D165" s="33" t="s">
        <v>126</v>
      </c>
      <c r="E165" s="33">
        <v>30</v>
      </c>
      <c r="F165" s="33">
        <v>28</v>
      </c>
      <c r="G165" s="87"/>
      <c r="H165" s="88"/>
      <c r="I165" s="88"/>
      <c r="J165" s="88"/>
      <c r="K165" s="88"/>
      <c r="L165" s="88"/>
    </row>
    <row r="166" spans="2:12" x14ac:dyDescent="0.3">
      <c r="B166" s="76">
        <v>43223</v>
      </c>
      <c r="C166" s="33" t="s">
        <v>341</v>
      </c>
      <c r="D166" s="33" t="s">
        <v>123</v>
      </c>
      <c r="E166" s="33">
        <v>180</v>
      </c>
      <c r="F166" s="33">
        <v>180</v>
      </c>
      <c r="G166" s="87"/>
      <c r="H166" s="88"/>
      <c r="I166" s="88"/>
      <c r="J166" s="88"/>
      <c r="K166" s="88"/>
      <c r="L166" s="88"/>
    </row>
    <row r="167" spans="2:12" x14ac:dyDescent="0.3">
      <c r="B167" s="76">
        <v>43223</v>
      </c>
      <c r="C167" s="33" t="s">
        <v>341</v>
      </c>
      <c r="D167" s="33" t="s">
        <v>125</v>
      </c>
      <c r="E167" s="33">
        <v>75</v>
      </c>
      <c r="F167" s="33">
        <v>70</v>
      </c>
      <c r="G167" s="87"/>
      <c r="H167" s="88"/>
      <c r="I167" s="88"/>
      <c r="J167" s="88"/>
      <c r="K167" s="88"/>
      <c r="L167" s="88"/>
    </row>
    <row r="168" spans="2:12" x14ac:dyDescent="0.3">
      <c r="B168" s="76">
        <v>43223</v>
      </c>
      <c r="C168" s="33" t="s">
        <v>341</v>
      </c>
      <c r="D168" s="33" t="s">
        <v>126</v>
      </c>
      <c r="E168" s="33">
        <v>30</v>
      </c>
      <c r="F168" s="33">
        <v>23</v>
      </c>
      <c r="G168" s="87"/>
      <c r="H168" s="88"/>
      <c r="I168" s="88"/>
      <c r="J168" s="88"/>
      <c r="K168" s="88"/>
      <c r="L168" s="88"/>
    </row>
    <row r="169" spans="2:12" x14ac:dyDescent="0.3">
      <c r="B169" s="76">
        <v>43225</v>
      </c>
      <c r="C169" s="33" t="s">
        <v>341</v>
      </c>
      <c r="D169" s="33" t="s">
        <v>123</v>
      </c>
      <c r="E169" s="33">
        <v>180</v>
      </c>
      <c r="F169" s="33">
        <v>180</v>
      </c>
      <c r="G169" s="87"/>
      <c r="H169" s="88"/>
      <c r="I169" s="88"/>
      <c r="J169" s="88"/>
      <c r="K169" s="88"/>
      <c r="L169" s="88"/>
    </row>
    <row r="170" spans="2:12" x14ac:dyDescent="0.3">
      <c r="B170" s="76">
        <v>43225</v>
      </c>
      <c r="C170" s="33" t="s">
        <v>341</v>
      </c>
      <c r="D170" s="33" t="s">
        <v>125</v>
      </c>
      <c r="E170" s="33">
        <v>75</v>
      </c>
      <c r="F170" s="33">
        <v>75</v>
      </c>
      <c r="G170" s="87"/>
      <c r="H170" s="88"/>
      <c r="I170" s="88"/>
      <c r="J170" s="88"/>
      <c r="K170" s="88"/>
      <c r="L170" s="88"/>
    </row>
    <row r="171" spans="2:12" x14ac:dyDescent="0.3">
      <c r="B171" s="76">
        <v>43225</v>
      </c>
      <c r="C171" s="33" t="s">
        <v>341</v>
      </c>
      <c r="D171" s="33" t="s">
        <v>126</v>
      </c>
      <c r="E171" s="33">
        <v>30</v>
      </c>
      <c r="F171" s="33">
        <v>30</v>
      </c>
      <c r="G171" s="87"/>
      <c r="H171" s="88"/>
      <c r="I171" s="88"/>
      <c r="J171" s="88"/>
      <c r="K171" s="88"/>
      <c r="L171" s="88"/>
    </row>
    <row r="172" spans="2:12" x14ac:dyDescent="0.3">
      <c r="B172" s="76">
        <v>43228</v>
      </c>
      <c r="C172" s="33" t="s">
        <v>341</v>
      </c>
      <c r="D172" s="33" t="s">
        <v>123</v>
      </c>
      <c r="E172" s="33">
        <v>180</v>
      </c>
      <c r="F172" s="33">
        <v>177</v>
      </c>
      <c r="G172" s="87"/>
      <c r="H172" s="88"/>
      <c r="I172" s="88"/>
      <c r="J172" s="88"/>
      <c r="K172" s="88"/>
      <c r="L172" s="88"/>
    </row>
    <row r="173" spans="2:12" x14ac:dyDescent="0.3">
      <c r="B173" s="76">
        <v>43228</v>
      </c>
      <c r="C173" s="33" t="s">
        <v>341</v>
      </c>
      <c r="D173" s="33" t="s">
        <v>125</v>
      </c>
      <c r="E173" s="33">
        <v>75</v>
      </c>
      <c r="F173" s="33">
        <v>70</v>
      </c>
      <c r="G173" s="87"/>
      <c r="H173" s="88"/>
      <c r="I173" s="88"/>
      <c r="J173" s="88"/>
      <c r="K173" s="88"/>
      <c r="L173" s="88"/>
    </row>
    <row r="174" spans="2:12" x14ac:dyDescent="0.3">
      <c r="B174" s="76">
        <v>43228</v>
      </c>
      <c r="C174" s="33" t="s">
        <v>341</v>
      </c>
      <c r="D174" s="33" t="s">
        <v>126</v>
      </c>
      <c r="E174" s="33">
        <v>30</v>
      </c>
      <c r="F174" s="33">
        <v>23</v>
      </c>
      <c r="G174" s="87"/>
      <c r="H174" s="88"/>
      <c r="I174" s="88"/>
      <c r="J174" s="88"/>
      <c r="K174" s="88"/>
      <c r="L174" s="88"/>
    </row>
    <row r="175" spans="2:12" x14ac:dyDescent="0.3">
      <c r="B175" s="76">
        <v>43230</v>
      </c>
      <c r="C175" s="33" t="s">
        <v>341</v>
      </c>
      <c r="D175" s="33" t="s">
        <v>123</v>
      </c>
      <c r="E175" s="33">
        <v>180</v>
      </c>
      <c r="F175" s="33">
        <v>180</v>
      </c>
      <c r="G175" s="87"/>
      <c r="H175" s="88"/>
      <c r="I175" s="88"/>
      <c r="J175" s="88"/>
      <c r="K175" s="88"/>
      <c r="L175" s="88"/>
    </row>
    <row r="176" spans="2:12" x14ac:dyDescent="0.3">
      <c r="B176" s="76">
        <v>43230</v>
      </c>
      <c r="C176" s="33" t="s">
        <v>341</v>
      </c>
      <c r="D176" s="33" t="s">
        <v>125</v>
      </c>
      <c r="E176" s="33">
        <v>75</v>
      </c>
      <c r="F176" s="33">
        <v>74</v>
      </c>
      <c r="G176" s="87"/>
      <c r="H176" s="88"/>
      <c r="I176" s="88"/>
      <c r="J176" s="88"/>
      <c r="K176" s="88"/>
      <c r="L176" s="88"/>
    </row>
    <row r="177" spans="2:12" x14ac:dyDescent="0.3">
      <c r="B177" s="76">
        <v>43230</v>
      </c>
      <c r="C177" s="33" t="s">
        <v>341</v>
      </c>
      <c r="D177" s="33" t="s">
        <v>126</v>
      </c>
      <c r="E177" s="33">
        <v>30</v>
      </c>
      <c r="F177" s="33">
        <v>27</v>
      </c>
      <c r="G177" s="87"/>
      <c r="H177" s="88"/>
      <c r="I177" s="88"/>
      <c r="J177" s="88"/>
      <c r="K177" s="88"/>
      <c r="L177" s="88"/>
    </row>
    <row r="178" spans="2:12" x14ac:dyDescent="0.3">
      <c r="B178" s="76">
        <v>43232</v>
      </c>
      <c r="C178" s="33" t="s">
        <v>341</v>
      </c>
      <c r="D178" s="33" t="s">
        <v>123</v>
      </c>
      <c r="E178" s="33">
        <v>180</v>
      </c>
      <c r="F178" s="33">
        <v>180</v>
      </c>
      <c r="G178" s="87"/>
      <c r="H178" s="88"/>
      <c r="I178" s="88"/>
      <c r="J178" s="88"/>
      <c r="K178" s="88"/>
      <c r="L178" s="88"/>
    </row>
    <row r="179" spans="2:12" x14ac:dyDescent="0.3">
      <c r="B179" s="76">
        <v>43232</v>
      </c>
      <c r="C179" s="33" t="s">
        <v>341</v>
      </c>
      <c r="D179" s="33" t="s">
        <v>125</v>
      </c>
      <c r="E179" s="33">
        <v>75</v>
      </c>
      <c r="F179" s="33">
        <v>75</v>
      </c>
      <c r="G179" s="87"/>
      <c r="H179" s="88"/>
      <c r="I179" s="88"/>
      <c r="J179" s="88"/>
      <c r="K179" s="88"/>
      <c r="L179" s="88"/>
    </row>
    <row r="180" spans="2:12" x14ac:dyDescent="0.3">
      <c r="B180" s="76">
        <v>43232</v>
      </c>
      <c r="C180" s="33" t="s">
        <v>341</v>
      </c>
      <c r="D180" s="33" t="s">
        <v>126</v>
      </c>
      <c r="E180" s="33">
        <v>30</v>
      </c>
      <c r="F180" s="33">
        <v>30</v>
      </c>
      <c r="G180" s="87"/>
      <c r="H180" s="88"/>
      <c r="I180" s="88"/>
      <c r="J180" s="88"/>
      <c r="K180" s="88"/>
      <c r="L180" s="88"/>
    </row>
    <row r="181" spans="2:12" x14ac:dyDescent="0.3">
      <c r="B181" s="76">
        <v>43235</v>
      </c>
      <c r="C181" s="33" t="s">
        <v>341</v>
      </c>
      <c r="D181" s="33" t="s">
        <v>123</v>
      </c>
      <c r="E181" s="33">
        <v>180</v>
      </c>
      <c r="F181" s="33">
        <v>180</v>
      </c>
      <c r="G181" s="87"/>
      <c r="H181" s="88"/>
      <c r="I181" s="88"/>
      <c r="J181" s="88"/>
      <c r="K181" s="88"/>
      <c r="L181" s="88"/>
    </row>
    <row r="182" spans="2:12" x14ac:dyDescent="0.3">
      <c r="B182" s="76">
        <v>43235</v>
      </c>
      <c r="C182" s="33" t="s">
        <v>341</v>
      </c>
      <c r="D182" s="33" t="s">
        <v>125</v>
      </c>
      <c r="E182" s="33">
        <v>75</v>
      </c>
      <c r="F182" s="33">
        <v>71</v>
      </c>
      <c r="G182" s="87"/>
      <c r="H182" s="88"/>
      <c r="I182" s="88"/>
      <c r="J182" s="88"/>
      <c r="K182" s="88"/>
      <c r="L182" s="88"/>
    </row>
    <row r="183" spans="2:12" x14ac:dyDescent="0.3">
      <c r="B183" s="76">
        <v>43235</v>
      </c>
      <c r="C183" s="33" t="s">
        <v>341</v>
      </c>
      <c r="D183" s="33" t="s">
        <v>126</v>
      </c>
      <c r="E183" s="33">
        <v>30</v>
      </c>
      <c r="F183" s="33">
        <v>25</v>
      </c>
      <c r="G183" s="87"/>
      <c r="H183" s="88"/>
      <c r="I183" s="88"/>
      <c r="J183" s="88"/>
      <c r="K183" s="88"/>
      <c r="L183" s="88"/>
    </row>
    <row r="184" spans="2:12" x14ac:dyDescent="0.3">
      <c r="B184" s="76">
        <v>43237</v>
      </c>
      <c r="C184" s="33" t="s">
        <v>341</v>
      </c>
      <c r="D184" s="33" t="s">
        <v>123</v>
      </c>
      <c r="E184" s="33">
        <v>180</v>
      </c>
      <c r="F184" s="33">
        <v>174</v>
      </c>
      <c r="G184" s="87"/>
      <c r="H184" s="88"/>
      <c r="I184" s="88"/>
      <c r="J184" s="88"/>
      <c r="K184" s="88"/>
      <c r="L184" s="88"/>
    </row>
    <row r="185" spans="2:12" x14ac:dyDescent="0.3">
      <c r="B185" s="76">
        <v>43237</v>
      </c>
      <c r="C185" s="33" t="s">
        <v>341</v>
      </c>
      <c r="D185" s="33" t="s">
        <v>125</v>
      </c>
      <c r="E185" s="33">
        <v>75</v>
      </c>
      <c r="F185" s="33">
        <v>70</v>
      </c>
      <c r="G185" s="87"/>
      <c r="H185" s="88"/>
      <c r="I185" s="88"/>
      <c r="J185" s="88"/>
      <c r="K185" s="88"/>
      <c r="L185" s="88"/>
    </row>
    <row r="186" spans="2:12" x14ac:dyDescent="0.3">
      <c r="B186" s="76">
        <v>43237</v>
      </c>
      <c r="C186" s="33" t="s">
        <v>341</v>
      </c>
      <c r="D186" s="33" t="s">
        <v>126</v>
      </c>
      <c r="E186" s="33">
        <v>30</v>
      </c>
      <c r="F186" s="33">
        <v>28</v>
      </c>
      <c r="G186" s="87"/>
      <c r="H186" s="88"/>
      <c r="I186" s="88"/>
      <c r="J186" s="88"/>
      <c r="K186" s="88"/>
      <c r="L186" s="88"/>
    </row>
    <row r="187" spans="2:12" x14ac:dyDescent="0.3">
      <c r="B187" s="76">
        <v>43239</v>
      </c>
      <c r="C187" s="33" t="s">
        <v>341</v>
      </c>
      <c r="D187" s="33" t="s">
        <v>123</v>
      </c>
      <c r="E187" s="33">
        <v>180</v>
      </c>
      <c r="F187" s="33">
        <v>180</v>
      </c>
      <c r="G187" s="87"/>
      <c r="H187" s="88"/>
      <c r="I187" s="88"/>
      <c r="J187" s="88"/>
      <c r="K187" s="88"/>
      <c r="L187" s="88"/>
    </row>
    <row r="188" spans="2:12" x14ac:dyDescent="0.3">
      <c r="B188" s="76">
        <v>43239</v>
      </c>
      <c r="C188" s="33" t="s">
        <v>341</v>
      </c>
      <c r="D188" s="33" t="s">
        <v>125</v>
      </c>
      <c r="E188" s="33">
        <v>75</v>
      </c>
      <c r="F188" s="33">
        <v>75</v>
      </c>
      <c r="G188" s="87"/>
      <c r="H188" s="88"/>
      <c r="I188" s="88"/>
      <c r="J188" s="88"/>
      <c r="K188" s="88"/>
      <c r="L188" s="88"/>
    </row>
    <row r="189" spans="2:12" x14ac:dyDescent="0.3">
      <c r="B189" s="76">
        <v>43239</v>
      </c>
      <c r="C189" s="33" t="s">
        <v>341</v>
      </c>
      <c r="D189" s="33" t="s">
        <v>126</v>
      </c>
      <c r="E189" s="33">
        <v>30</v>
      </c>
      <c r="F189" s="33">
        <v>30</v>
      </c>
      <c r="G189" s="87"/>
      <c r="H189" s="88"/>
      <c r="I189" s="88"/>
      <c r="J189" s="88"/>
      <c r="K189" s="88"/>
      <c r="L189" s="88"/>
    </row>
    <row r="190" spans="2:12" x14ac:dyDescent="0.3">
      <c r="B190" s="76">
        <v>43242</v>
      </c>
      <c r="C190" s="33" t="s">
        <v>341</v>
      </c>
      <c r="D190" s="33" t="s">
        <v>123</v>
      </c>
      <c r="E190" s="33">
        <v>180</v>
      </c>
      <c r="F190" s="33">
        <v>180</v>
      </c>
      <c r="G190" s="87"/>
      <c r="H190" s="88"/>
      <c r="I190" s="88"/>
      <c r="J190" s="88"/>
      <c r="K190" s="88"/>
      <c r="L190" s="88"/>
    </row>
    <row r="191" spans="2:12" x14ac:dyDescent="0.3">
      <c r="B191" s="76">
        <v>43242</v>
      </c>
      <c r="C191" s="33" t="s">
        <v>341</v>
      </c>
      <c r="D191" s="33" t="s">
        <v>125</v>
      </c>
      <c r="E191" s="33">
        <v>75</v>
      </c>
      <c r="F191" s="33">
        <v>75</v>
      </c>
      <c r="G191" s="87"/>
      <c r="H191" s="88"/>
      <c r="I191" s="88"/>
      <c r="J191" s="88"/>
      <c r="K191" s="88"/>
      <c r="L191" s="88"/>
    </row>
    <row r="192" spans="2:12" x14ac:dyDescent="0.3">
      <c r="B192" s="76">
        <v>43242</v>
      </c>
      <c r="C192" s="33" t="s">
        <v>341</v>
      </c>
      <c r="D192" s="33" t="s">
        <v>126</v>
      </c>
      <c r="E192" s="33">
        <v>30</v>
      </c>
      <c r="F192" s="33">
        <v>30</v>
      </c>
      <c r="G192" s="87"/>
      <c r="H192" s="88"/>
      <c r="I192" s="88"/>
      <c r="J192" s="88"/>
      <c r="K192" s="88"/>
      <c r="L192" s="88"/>
    </row>
    <row r="193" spans="2:12" x14ac:dyDescent="0.3">
      <c r="B193" s="76">
        <v>43244</v>
      </c>
      <c r="C193" s="33" t="s">
        <v>341</v>
      </c>
      <c r="D193" s="33" t="s">
        <v>123</v>
      </c>
      <c r="E193" s="33">
        <v>180</v>
      </c>
      <c r="F193" s="33">
        <v>180</v>
      </c>
      <c r="G193" s="87"/>
      <c r="H193" s="88"/>
      <c r="I193" s="88"/>
      <c r="J193" s="88"/>
      <c r="K193" s="88"/>
      <c r="L193" s="88"/>
    </row>
    <row r="194" spans="2:12" x14ac:dyDescent="0.3">
      <c r="B194" s="76">
        <v>43244</v>
      </c>
      <c r="C194" s="33" t="s">
        <v>341</v>
      </c>
      <c r="D194" s="33" t="s">
        <v>125</v>
      </c>
      <c r="E194" s="33">
        <v>75</v>
      </c>
      <c r="F194" s="33">
        <v>75</v>
      </c>
      <c r="G194" s="87"/>
      <c r="H194" s="88"/>
      <c r="I194" s="88"/>
      <c r="J194" s="88"/>
      <c r="K194" s="88"/>
      <c r="L194" s="88"/>
    </row>
    <row r="195" spans="2:12" x14ac:dyDescent="0.3">
      <c r="B195" s="76">
        <v>43244</v>
      </c>
      <c r="C195" s="33" t="s">
        <v>341</v>
      </c>
      <c r="D195" s="33" t="s">
        <v>126</v>
      </c>
      <c r="E195" s="33">
        <v>30</v>
      </c>
      <c r="F195" s="33">
        <v>28</v>
      </c>
      <c r="G195" s="87"/>
      <c r="H195" s="88"/>
      <c r="I195" s="88"/>
      <c r="J195" s="88"/>
      <c r="K195" s="88"/>
      <c r="L195" s="88"/>
    </row>
    <row r="196" spans="2:12" x14ac:dyDescent="0.3">
      <c r="B196" s="76">
        <v>43246</v>
      </c>
      <c r="C196" s="33" t="s">
        <v>341</v>
      </c>
      <c r="D196" s="33" t="s">
        <v>123</v>
      </c>
      <c r="E196" s="33">
        <v>180</v>
      </c>
      <c r="F196" s="33">
        <v>180</v>
      </c>
      <c r="G196" s="87"/>
      <c r="H196" s="88"/>
      <c r="I196" s="88"/>
      <c r="J196" s="88"/>
      <c r="K196" s="88"/>
      <c r="L196" s="88"/>
    </row>
    <row r="197" spans="2:12" x14ac:dyDescent="0.3">
      <c r="B197" s="76">
        <v>43246</v>
      </c>
      <c r="C197" s="33" t="s">
        <v>341</v>
      </c>
      <c r="D197" s="33" t="s">
        <v>125</v>
      </c>
      <c r="E197" s="33">
        <v>75</v>
      </c>
      <c r="F197" s="33">
        <v>75</v>
      </c>
      <c r="G197" s="87"/>
      <c r="H197" s="88"/>
      <c r="I197" s="88"/>
      <c r="J197" s="88"/>
      <c r="K197" s="88"/>
      <c r="L197" s="88"/>
    </row>
    <row r="198" spans="2:12" x14ac:dyDescent="0.3">
      <c r="B198" s="76">
        <v>43246</v>
      </c>
      <c r="C198" s="33" t="s">
        <v>341</v>
      </c>
      <c r="D198" s="33" t="s">
        <v>126</v>
      </c>
      <c r="E198" s="33">
        <v>30</v>
      </c>
      <c r="F198" s="33">
        <v>22</v>
      </c>
      <c r="G198" s="87"/>
      <c r="H198" s="88"/>
      <c r="I198" s="88"/>
      <c r="J198" s="88"/>
      <c r="K198" s="88"/>
      <c r="L198" s="88"/>
    </row>
    <row r="199" spans="2:12" x14ac:dyDescent="0.3">
      <c r="B199" s="76">
        <v>43249</v>
      </c>
      <c r="C199" s="33" t="s">
        <v>341</v>
      </c>
      <c r="D199" s="33" t="s">
        <v>123</v>
      </c>
      <c r="E199" s="33">
        <v>180</v>
      </c>
      <c r="F199" s="33">
        <v>177</v>
      </c>
      <c r="G199" s="87"/>
      <c r="H199" s="88"/>
      <c r="I199" s="88"/>
      <c r="J199" s="88"/>
      <c r="K199" s="88"/>
      <c r="L199" s="88"/>
    </row>
    <row r="200" spans="2:12" x14ac:dyDescent="0.3">
      <c r="B200" s="76">
        <v>43249</v>
      </c>
      <c r="C200" s="33" t="s">
        <v>341</v>
      </c>
      <c r="D200" s="33" t="s">
        <v>125</v>
      </c>
      <c r="E200" s="33">
        <v>75</v>
      </c>
      <c r="F200" s="33">
        <v>70</v>
      </c>
      <c r="G200" s="87"/>
      <c r="H200" s="88"/>
      <c r="I200" s="88"/>
      <c r="J200" s="88"/>
      <c r="K200" s="88"/>
      <c r="L200" s="88"/>
    </row>
    <row r="201" spans="2:12" x14ac:dyDescent="0.3">
      <c r="B201" s="76">
        <v>43249</v>
      </c>
      <c r="C201" s="33" t="s">
        <v>341</v>
      </c>
      <c r="D201" s="33" t="s">
        <v>126</v>
      </c>
      <c r="E201" s="33">
        <v>30</v>
      </c>
      <c r="F201" s="33">
        <v>22</v>
      </c>
      <c r="G201" s="87"/>
      <c r="H201" s="88"/>
      <c r="I201" s="88"/>
      <c r="J201" s="88"/>
      <c r="K201" s="88"/>
      <c r="L201" s="88"/>
    </row>
    <row r="202" spans="2:12" x14ac:dyDescent="0.3">
      <c r="B202" s="76">
        <v>43251</v>
      </c>
      <c r="C202" s="33" t="s">
        <v>341</v>
      </c>
      <c r="D202" s="33" t="s">
        <v>123</v>
      </c>
      <c r="E202" s="33">
        <v>180</v>
      </c>
      <c r="F202" s="33">
        <v>180</v>
      </c>
      <c r="G202" s="87"/>
      <c r="H202" s="88"/>
      <c r="I202" s="88"/>
      <c r="J202" s="88"/>
      <c r="K202" s="88"/>
      <c r="L202" s="88"/>
    </row>
    <row r="203" spans="2:12" x14ac:dyDescent="0.3">
      <c r="B203" s="76">
        <v>43251</v>
      </c>
      <c r="C203" s="33" t="s">
        <v>341</v>
      </c>
      <c r="D203" s="33" t="s">
        <v>125</v>
      </c>
      <c r="E203" s="33">
        <v>75</v>
      </c>
      <c r="F203" s="33">
        <v>70</v>
      </c>
      <c r="G203" s="87"/>
      <c r="H203" s="88"/>
      <c r="I203" s="88"/>
      <c r="J203" s="88"/>
      <c r="K203" s="88"/>
      <c r="L203" s="88"/>
    </row>
    <row r="204" spans="2:12" x14ac:dyDescent="0.3">
      <c r="B204" s="76">
        <v>43251</v>
      </c>
      <c r="C204" s="33" t="s">
        <v>341</v>
      </c>
      <c r="D204" s="33" t="s">
        <v>126</v>
      </c>
      <c r="E204" s="33">
        <v>30</v>
      </c>
      <c r="F204" s="33">
        <v>25</v>
      </c>
      <c r="G204" s="87"/>
      <c r="H204" s="88"/>
      <c r="I204" s="88"/>
      <c r="J204" s="88"/>
      <c r="K204" s="88"/>
      <c r="L204" s="88"/>
    </row>
    <row r="205" spans="2:12" x14ac:dyDescent="0.3">
      <c r="B205" s="76">
        <v>43253</v>
      </c>
      <c r="C205" s="33" t="s">
        <v>341</v>
      </c>
      <c r="D205" s="33" t="s">
        <v>123</v>
      </c>
      <c r="E205" s="33">
        <v>180</v>
      </c>
      <c r="F205" s="33">
        <v>180</v>
      </c>
      <c r="G205" s="87"/>
      <c r="H205" s="88"/>
      <c r="I205" s="88"/>
      <c r="J205" s="88"/>
      <c r="K205" s="88"/>
      <c r="L205" s="88"/>
    </row>
    <row r="206" spans="2:12" x14ac:dyDescent="0.3">
      <c r="B206" s="76">
        <v>43253</v>
      </c>
      <c r="C206" s="33" t="s">
        <v>341</v>
      </c>
      <c r="D206" s="33" t="s">
        <v>125</v>
      </c>
      <c r="E206" s="33">
        <v>75</v>
      </c>
      <c r="F206" s="33">
        <v>75</v>
      </c>
      <c r="G206" s="87"/>
      <c r="H206" s="88"/>
      <c r="I206" s="88"/>
      <c r="J206" s="88"/>
      <c r="K206" s="88"/>
      <c r="L206" s="88"/>
    </row>
    <row r="207" spans="2:12" x14ac:dyDescent="0.3">
      <c r="B207" s="76">
        <v>43253</v>
      </c>
      <c r="C207" s="33" t="s">
        <v>341</v>
      </c>
      <c r="D207" s="33" t="s">
        <v>126</v>
      </c>
      <c r="E207" s="33">
        <v>30</v>
      </c>
      <c r="F207" s="33">
        <v>30</v>
      </c>
      <c r="G207" s="87"/>
      <c r="H207" s="88"/>
      <c r="I207" s="88"/>
      <c r="J207" s="88"/>
      <c r="K207" s="88"/>
      <c r="L207" s="88"/>
    </row>
    <row r="208" spans="2:12" x14ac:dyDescent="0.3">
      <c r="B208" s="76">
        <v>43256</v>
      </c>
      <c r="C208" s="33" t="s">
        <v>341</v>
      </c>
      <c r="D208" s="33" t="s">
        <v>123</v>
      </c>
      <c r="E208" s="33">
        <v>180</v>
      </c>
      <c r="F208" s="33">
        <v>180</v>
      </c>
      <c r="G208" s="87"/>
      <c r="H208" s="88"/>
      <c r="I208" s="88"/>
      <c r="J208" s="88"/>
      <c r="K208" s="88"/>
      <c r="L208" s="88"/>
    </row>
    <row r="209" spans="2:12" x14ac:dyDescent="0.3">
      <c r="B209" s="76">
        <v>43256</v>
      </c>
      <c r="C209" s="33" t="s">
        <v>341</v>
      </c>
      <c r="D209" s="33" t="s">
        <v>125</v>
      </c>
      <c r="E209" s="33">
        <v>75</v>
      </c>
      <c r="F209" s="33">
        <v>70</v>
      </c>
      <c r="G209" s="87"/>
      <c r="H209" s="88"/>
      <c r="I209" s="88"/>
      <c r="J209" s="88"/>
      <c r="K209" s="88"/>
      <c r="L209" s="88"/>
    </row>
    <row r="210" spans="2:12" x14ac:dyDescent="0.3">
      <c r="B210" s="76">
        <v>43256</v>
      </c>
      <c r="C210" s="33" t="s">
        <v>341</v>
      </c>
      <c r="D210" s="33" t="s">
        <v>126</v>
      </c>
      <c r="E210" s="33">
        <v>30</v>
      </c>
      <c r="F210" s="33">
        <v>25</v>
      </c>
      <c r="G210" s="87"/>
      <c r="H210" s="88"/>
      <c r="I210" s="88"/>
      <c r="J210" s="88"/>
      <c r="K210" s="88"/>
      <c r="L210" s="88"/>
    </row>
    <row r="211" spans="2:12" x14ac:dyDescent="0.3">
      <c r="B211" s="76">
        <v>43258</v>
      </c>
      <c r="C211" s="33" t="s">
        <v>341</v>
      </c>
      <c r="D211" s="33" t="s">
        <v>123</v>
      </c>
      <c r="E211" s="33">
        <v>180</v>
      </c>
      <c r="F211" s="33">
        <v>180</v>
      </c>
      <c r="G211" s="87"/>
      <c r="H211" s="88"/>
      <c r="I211" s="88"/>
      <c r="J211" s="88"/>
      <c r="K211" s="88"/>
      <c r="L211" s="88"/>
    </row>
    <row r="212" spans="2:12" x14ac:dyDescent="0.3">
      <c r="B212" s="76">
        <v>43258</v>
      </c>
      <c r="C212" s="33" t="s">
        <v>341</v>
      </c>
      <c r="D212" s="33" t="s">
        <v>125</v>
      </c>
      <c r="E212" s="33">
        <v>75</v>
      </c>
      <c r="F212" s="33">
        <v>72</v>
      </c>
      <c r="G212" s="87"/>
      <c r="H212" s="88"/>
      <c r="I212" s="88"/>
      <c r="J212" s="88"/>
      <c r="K212" s="88"/>
      <c r="L212" s="88"/>
    </row>
    <row r="213" spans="2:12" x14ac:dyDescent="0.3">
      <c r="B213" s="76">
        <v>43258</v>
      </c>
      <c r="C213" s="33" t="s">
        <v>341</v>
      </c>
      <c r="D213" s="33" t="s">
        <v>126</v>
      </c>
      <c r="E213" s="33">
        <v>30</v>
      </c>
      <c r="F213" s="33">
        <v>27</v>
      </c>
      <c r="G213" s="87"/>
      <c r="H213" s="88"/>
      <c r="I213" s="88"/>
      <c r="J213" s="88"/>
      <c r="K213" s="88"/>
      <c r="L213" s="88"/>
    </row>
    <row r="214" spans="2:12" x14ac:dyDescent="0.3">
      <c r="B214" s="76">
        <v>43260</v>
      </c>
      <c r="C214" s="33" t="s">
        <v>341</v>
      </c>
      <c r="D214" s="33" t="s">
        <v>123</v>
      </c>
      <c r="E214" s="33">
        <v>180</v>
      </c>
      <c r="F214" s="33">
        <v>180</v>
      </c>
      <c r="G214" s="87"/>
      <c r="H214" s="88"/>
      <c r="I214" s="88"/>
      <c r="J214" s="88"/>
      <c r="K214" s="88"/>
      <c r="L214" s="88"/>
    </row>
    <row r="215" spans="2:12" x14ac:dyDescent="0.3">
      <c r="B215" s="76">
        <v>43260</v>
      </c>
      <c r="C215" s="33" t="s">
        <v>341</v>
      </c>
      <c r="D215" s="33" t="s">
        <v>125</v>
      </c>
      <c r="E215" s="33">
        <v>75</v>
      </c>
      <c r="F215" s="33">
        <v>70</v>
      </c>
      <c r="G215" s="87"/>
      <c r="H215" s="88"/>
      <c r="I215" s="88"/>
      <c r="J215" s="88"/>
      <c r="K215" s="88"/>
      <c r="L215" s="88"/>
    </row>
    <row r="216" spans="2:12" x14ac:dyDescent="0.3">
      <c r="B216" s="76">
        <v>43260</v>
      </c>
      <c r="C216" s="33" t="s">
        <v>341</v>
      </c>
      <c r="D216" s="33" t="s">
        <v>126</v>
      </c>
      <c r="E216" s="33">
        <v>30</v>
      </c>
      <c r="F216" s="33">
        <v>25</v>
      </c>
      <c r="G216" s="87"/>
      <c r="H216" s="88"/>
      <c r="I216" s="88"/>
      <c r="J216" s="88"/>
      <c r="K216" s="88"/>
      <c r="L216" s="88"/>
    </row>
    <row r="217" spans="2:12" x14ac:dyDescent="0.3">
      <c r="B217" s="76">
        <v>43263</v>
      </c>
      <c r="C217" s="33" t="s">
        <v>341</v>
      </c>
      <c r="D217" s="33" t="s">
        <v>123</v>
      </c>
      <c r="E217" s="33">
        <v>180</v>
      </c>
      <c r="F217" s="33">
        <v>180</v>
      </c>
      <c r="G217" s="87"/>
      <c r="H217" s="88"/>
      <c r="I217" s="88"/>
      <c r="J217" s="88"/>
      <c r="K217" s="88"/>
      <c r="L217" s="88"/>
    </row>
    <row r="218" spans="2:12" x14ac:dyDescent="0.3">
      <c r="B218" s="76">
        <v>43263</v>
      </c>
      <c r="C218" s="33" t="s">
        <v>341</v>
      </c>
      <c r="D218" s="33" t="s">
        <v>125</v>
      </c>
      <c r="E218" s="33">
        <v>75</v>
      </c>
      <c r="F218" s="33">
        <v>70</v>
      </c>
      <c r="G218" s="87"/>
      <c r="H218" s="88"/>
      <c r="I218" s="88"/>
      <c r="J218" s="88"/>
      <c r="K218" s="88"/>
      <c r="L218" s="88"/>
    </row>
    <row r="219" spans="2:12" x14ac:dyDescent="0.3">
      <c r="B219" s="76">
        <v>43263</v>
      </c>
      <c r="C219" s="33" t="s">
        <v>341</v>
      </c>
      <c r="D219" s="33" t="s">
        <v>126</v>
      </c>
      <c r="E219" s="33">
        <v>30</v>
      </c>
      <c r="F219" s="33">
        <v>22</v>
      </c>
      <c r="G219" s="87"/>
      <c r="H219" s="88"/>
      <c r="I219" s="88"/>
      <c r="J219" s="88"/>
      <c r="K219" s="88"/>
      <c r="L219" s="88"/>
    </row>
    <row r="220" spans="2:12" x14ac:dyDescent="0.3">
      <c r="B220" s="76">
        <v>43265</v>
      </c>
      <c r="C220" s="33" t="s">
        <v>341</v>
      </c>
      <c r="D220" s="33" t="s">
        <v>123</v>
      </c>
      <c r="E220" s="33">
        <v>180</v>
      </c>
      <c r="F220" s="33">
        <v>180</v>
      </c>
      <c r="G220" s="87"/>
      <c r="H220" s="88"/>
      <c r="I220" s="88"/>
      <c r="J220" s="88"/>
      <c r="K220" s="88"/>
      <c r="L220" s="88"/>
    </row>
    <row r="221" spans="2:12" x14ac:dyDescent="0.3">
      <c r="B221" s="76">
        <v>43265</v>
      </c>
      <c r="C221" s="33" t="s">
        <v>341</v>
      </c>
      <c r="D221" s="33" t="s">
        <v>125</v>
      </c>
      <c r="E221" s="33">
        <v>75</v>
      </c>
      <c r="F221" s="33">
        <v>75</v>
      </c>
      <c r="G221" s="87"/>
      <c r="H221" s="88"/>
      <c r="I221" s="88"/>
      <c r="J221" s="88"/>
      <c r="K221" s="88"/>
      <c r="L221" s="88"/>
    </row>
    <row r="222" spans="2:12" x14ac:dyDescent="0.3">
      <c r="B222" s="76">
        <v>43265</v>
      </c>
      <c r="C222" s="33" t="s">
        <v>341</v>
      </c>
      <c r="D222" s="33" t="s">
        <v>126</v>
      </c>
      <c r="E222" s="33">
        <v>30</v>
      </c>
      <c r="F222" s="33">
        <v>28</v>
      </c>
      <c r="G222" s="87"/>
      <c r="H222" s="88"/>
      <c r="I222" s="88"/>
      <c r="J222" s="88"/>
      <c r="K222" s="88"/>
      <c r="L222" s="88"/>
    </row>
    <row r="223" spans="2:12" x14ac:dyDescent="0.3">
      <c r="B223" s="76">
        <v>43267</v>
      </c>
      <c r="C223" s="33" t="s">
        <v>341</v>
      </c>
      <c r="D223" s="33" t="s">
        <v>123</v>
      </c>
      <c r="E223" s="33">
        <v>180</v>
      </c>
      <c r="F223" s="33">
        <v>180</v>
      </c>
      <c r="G223" s="87"/>
      <c r="H223" s="88"/>
      <c r="I223" s="88"/>
      <c r="J223" s="88"/>
      <c r="K223" s="88"/>
      <c r="L223" s="88"/>
    </row>
    <row r="224" spans="2:12" x14ac:dyDescent="0.3">
      <c r="B224" s="76">
        <v>43267</v>
      </c>
      <c r="C224" s="33" t="s">
        <v>341</v>
      </c>
      <c r="D224" s="33" t="s">
        <v>125</v>
      </c>
      <c r="E224" s="33">
        <v>75</v>
      </c>
      <c r="F224" s="33">
        <v>75</v>
      </c>
      <c r="G224" s="87"/>
      <c r="H224" s="88"/>
      <c r="I224" s="88"/>
      <c r="J224" s="88"/>
      <c r="K224" s="88"/>
      <c r="L224" s="88"/>
    </row>
    <row r="225" spans="2:12" x14ac:dyDescent="0.3">
      <c r="B225" s="76">
        <v>43267</v>
      </c>
      <c r="C225" s="33" t="s">
        <v>341</v>
      </c>
      <c r="D225" s="33" t="s">
        <v>126</v>
      </c>
      <c r="E225" s="33">
        <v>30</v>
      </c>
      <c r="F225" s="33">
        <v>30</v>
      </c>
      <c r="G225" s="87"/>
      <c r="H225" s="88"/>
      <c r="I225" s="88"/>
      <c r="J225" s="88"/>
      <c r="K225" s="88"/>
      <c r="L225" s="88"/>
    </row>
    <row r="226" spans="2:12" x14ac:dyDescent="0.3">
      <c r="B226" s="76">
        <v>43270</v>
      </c>
      <c r="C226" s="33" t="s">
        <v>341</v>
      </c>
      <c r="D226" s="33" t="s">
        <v>123</v>
      </c>
      <c r="E226" s="33">
        <v>180</v>
      </c>
      <c r="F226" s="33">
        <v>180</v>
      </c>
      <c r="G226" s="87"/>
      <c r="H226" s="88"/>
      <c r="I226" s="88"/>
      <c r="J226" s="88"/>
      <c r="K226" s="88"/>
      <c r="L226" s="88"/>
    </row>
    <row r="227" spans="2:12" x14ac:dyDescent="0.3">
      <c r="B227" s="76">
        <v>43270</v>
      </c>
      <c r="C227" s="33" t="s">
        <v>341</v>
      </c>
      <c r="D227" s="33" t="s">
        <v>125</v>
      </c>
      <c r="E227" s="33">
        <v>75</v>
      </c>
      <c r="F227" s="33">
        <v>70</v>
      </c>
      <c r="G227" s="87"/>
      <c r="H227" s="88"/>
      <c r="I227" s="88"/>
      <c r="J227" s="88"/>
      <c r="K227" s="88"/>
      <c r="L227" s="88"/>
    </row>
    <row r="228" spans="2:12" x14ac:dyDescent="0.3">
      <c r="B228" s="76">
        <v>43270</v>
      </c>
      <c r="C228" s="33" t="s">
        <v>341</v>
      </c>
      <c r="D228" s="33" t="s">
        <v>126</v>
      </c>
      <c r="E228" s="33">
        <v>30</v>
      </c>
      <c r="F228" s="33">
        <v>21</v>
      </c>
      <c r="G228" s="87"/>
      <c r="H228" s="88"/>
      <c r="I228" s="88"/>
      <c r="J228" s="88"/>
      <c r="K228" s="88"/>
      <c r="L228" s="88"/>
    </row>
    <row r="229" spans="2:12" x14ac:dyDescent="0.3">
      <c r="B229" s="76">
        <v>43272</v>
      </c>
      <c r="C229" s="33" t="s">
        <v>341</v>
      </c>
      <c r="D229" s="33" t="s">
        <v>123</v>
      </c>
      <c r="E229" s="33">
        <v>180</v>
      </c>
      <c r="F229" s="33">
        <v>180</v>
      </c>
      <c r="G229" s="87"/>
      <c r="H229" s="88"/>
      <c r="I229" s="88"/>
      <c r="J229" s="88"/>
      <c r="K229" s="88"/>
      <c r="L229" s="88"/>
    </row>
    <row r="230" spans="2:12" x14ac:dyDescent="0.3">
      <c r="B230" s="76">
        <v>43272</v>
      </c>
      <c r="C230" s="33" t="s">
        <v>341</v>
      </c>
      <c r="D230" s="33" t="s">
        <v>125</v>
      </c>
      <c r="E230" s="33">
        <v>75</v>
      </c>
      <c r="F230" s="33">
        <v>70</v>
      </c>
      <c r="G230" s="87"/>
      <c r="H230" s="88"/>
      <c r="I230" s="88"/>
      <c r="J230" s="88"/>
      <c r="K230" s="88"/>
      <c r="L230" s="88"/>
    </row>
    <row r="231" spans="2:12" x14ac:dyDescent="0.3">
      <c r="B231" s="76">
        <v>43272</v>
      </c>
      <c r="C231" s="33" t="s">
        <v>341</v>
      </c>
      <c r="D231" s="33" t="s">
        <v>126</v>
      </c>
      <c r="E231" s="33">
        <v>30</v>
      </c>
      <c r="F231" s="33">
        <v>25</v>
      </c>
      <c r="G231" s="87"/>
      <c r="H231" s="88"/>
      <c r="I231" s="88"/>
      <c r="J231" s="88"/>
      <c r="K231" s="88"/>
      <c r="L231" s="88"/>
    </row>
    <row r="232" spans="2:12" x14ac:dyDescent="0.3">
      <c r="B232" s="76">
        <v>43274</v>
      </c>
      <c r="C232" s="33" t="s">
        <v>341</v>
      </c>
      <c r="D232" s="33" t="s">
        <v>123</v>
      </c>
      <c r="E232" s="33">
        <v>180</v>
      </c>
      <c r="F232" s="33">
        <v>180</v>
      </c>
      <c r="G232" s="87"/>
      <c r="H232" s="88"/>
      <c r="I232" s="88"/>
      <c r="J232" s="88"/>
      <c r="K232" s="88"/>
      <c r="L232" s="88"/>
    </row>
    <row r="233" spans="2:12" x14ac:dyDescent="0.3">
      <c r="B233" s="76">
        <v>43274</v>
      </c>
      <c r="C233" s="33" t="s">
        <v>341</v>
      </c>
      <c r="D233" s="33" t="s">
        <v>125</v>
      </c>
      <c r="E233" s="33">
        <v>75</v>
      </c>
      <c r="F233" s="33">
        <v>75</v>
      </c>
      <c r="G233" s="87"/>
      <c r="H233" s="88"/>
      <c r="I233" s="88"/>
      <c r="J233" s="88"/>
      <c r="K233" s="88"/>
      <c r="L233" s="88"/>
    </row>
    <row r="234" spans="2:12" x14ac:dyDescent="0.3">
      <c r="B234" s="76">
        <v>43274</v>
      </c>
      <c r="C234" s="33" t="s">
        <v>341</v>
      </c>
      <c r="D234" s="33" t="s">
        <v>126</v>
      </c>
      <c r="E234" s="33">
        <v>30</v>
      </c>
      <c r="F234" s="33">
        <v>30</v>
      </c>
      <c r="G234" s="87"/>
      <c r="H234" s="88"/>
      <c r="I234" s="88"/>
      <c r="J234" s="88"/>
      <c r="K234" s="88"/>
      <c r="L234" s="88"/>
    </row>
    <row r="235" spans="2:12" x14ac:dyDescent="0.3">
      <c r="B235" s="76">
        <v>43277</v>
      </c>
      <c r="C235" s="33" t="s">
        <v>341</v>
      </c>
      <c r="D235" s="33" t="s">
        <v>123</v>
      </c>
      <c r="E235" s="33">
        <v>180</v>
      </c>
      <c r="F235" s="33">
        <v>180</v>
      </c>
      <c r="G235" s="87"/>
      <c r="H235" s="88"/>
      <c r="I235" s="88"/>
      <c r="J235" s="88"/>
      <c r="K235" s="88"/>
      <c r="L235" s="88"/>
    </row>
    <row r="236" spans="2:12" x14ac:dyDescent="0.3">
      <c r="B236" s="76">
        <v>43277</v>
      </c>
      <c r="C236" s="33" t="s">
        <v>341</v>
      </c>
      <c r="D236" s="33" t="s">
        <v>125</v>
      </c>
      <c r="E236" s="33">
        <v>75</v>
      </c>
      <c r="F236" s="33">
        <v>73</v>
      </c>
      <c r="G236" s="87"/>
      <c r="H236" s="88"/>
      <c r="I236" s="88"/>
      <c r="J236" s="88"/>
      <c r="K236" s="88"/>
      <c r="L236" s="88"/>
    </row>
    <row r="237" spans="2:12" x14ac:dyDescent="0.3">
      <c r="B237" s="76">
        <v>43277</v>
      </c>
      <c r="C237" s="33" t="s">
        <v>341</v>
      </c>
      <c r="D237" s="33" t="s">
        <v>126</v>
      </c>
      <c r="E237" s="33">
        <v>30</v>
      </c>
      <c r="F237" s="33">
        <v>27</v>
      </c>
      <c r="G237" s="87"/>
      <c r="H237" s="88"/>
      <c r="I237" s="88"/>
      <c r="J237" s="88"/>
      <c r="K237" s="88"/>
      <c r="L237" s="88"/>
    </row>
    <row r="238" spans="2:12" x14ac:dyDescent="0.3">
      <c r="B238" s="76">
        <v>43279</v>
      </c>
      <c r="C238" s="33" t="s">
        <v>341</v>
      </c>
      <c r="D238" s="33" t="s">
        <v>123</v>
      </c>
      <c r="E238" s="33">
        <v>180</v>
      </c>
      <c r="F238" s="33">
        <v>180</v>
      </c>
      <c r="G238" s="87"/>
      <c r="H238" s="88"/>
      <c r="I238" s="88"/>
      <c r="J238" s="88"/>
      <c r="K238" s="88"/>
      <c r="L238" s="88"/>
    </row>
    <row r="239" spans="2:12" x14ac:dyDescent="0.3">
      <c r="B239" s="76">
        <v>43279</v>
      </c>
      <c r="C239" s="33" t="s">
        <v>341</v>
      </c>
      <c r="D239" s="33" t="s">
        <v>125</v>
      </c>
      <c r="E239" s="33">
        <v>75</v>
      </c>
      <c r="F239" s="33">
        <v>75</v>
      </c>
      <c r="G239" s="87"/>
      <c r="H239" s="88"/>
      <c r="I239" s="88"/>
      <c r="J239" s="88"/>
      <c r="K239" s="88"/>
      <c r="L239" s="88"/>
    </row>
    <row r="240" spans="2:12" x14ac:dyDescent="0.3">
      <c r="B240" s="76">
        <v>43279</v>
      </c>
      <c r="C240" s="33" t="s">
        <v>341</v>
      </c>
      <c r="D240" s="33" t="s">
        <v>126</v>
      </c>
      <c r="E240" s="33">
        <v>30</v>
      </c>
      <c r="F240" s="33">
        <v>29</v>
      </c>
      <c r="G240" s="87"/>
      <c r="H240" s="88"/>
      <c r="I240" s="88"/>
      <c r="J240" s="88"/>
      <c r="K240" s="88"/>
      <c r="L240" s="88"/>
    </row>
    <row r="241" spans="2:12" x14ac:dyDescent="0.3">
      <c r="B241" s="76">
        <v>43281</v>
      </c>
      <c r="C241" s="33" t="s">
        <v>341</v>
      </c>
      <c r="D241" s="33" t="s">
        <v>123</v>
      </c>
      <c r="E241" s="33">
        <v>180</v>
      </c>
      <c r="F241" s="33">
        <v>180</v>
      </c>
      <c r="G241" s="87"/>
      <c r="H241" s="88"/>
      <c r="I241" s="88"/>
      <c r="J241" s="88"/>
      <c r="K241" s="88"/>
      <c r="L241" s="88"/>
    </row>
    <row r="242" spans="2:12" x14ac:dyDescent="0.3">
      <c r="B242" s="76">
        <v>43281</v>
      </c>
      <c r="C242" s="33" t="s">
        <v>341</v>
      </c>
      <c r="D242" s="33" t="s">
        <v>125</v>
      </c>
      <c r="E242" s="33">
        <v>75</v>
      </c>
      <c r="F242" s="33">
        <v>75</v>
      </c>
      <c r="G242" s="87"/>
      <c r="H242" s="88"/>
      <c r="I242" s="88"/>
      <c r="J242" s="88"/>
      <c r="K242" s="88"/>
      <c r="L242" s="88"/>
    </row>
    <row r="243" spans="2:12" x14ac:dyDescent="0.3">
      <c r="B243" s="76">
        <v>43281</v>
      </c>
      <c r="C243" s="33" t="s">
        <v>341</v>
      </c>
      <c r="D243" s="33" t="s">
        <v>126</v>
      </c>
      <c r="E243" s="33">
        <v>30</v>
      </c>
      <c r="F243" s="33">
        <v>30</v>
      </c>
      <c r="G243" s="87"/>
      <c r="H243" s="88"/>
      <c r="I243" s="88"/>
      <c r="J243" s="88"/>
      <c r="K243" s="88"/>
      <c r="L243" s="88"/>
    </row>
    <row r="244" spans="2:12" x14ac:dyDescent="0.3">
      <c r="E244" s="89"/>
    </row>
  </sheetData>
  <pageMargins left="0.7" right="0.7" top="0.75" bottom="0.75"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4D1DE-3598-46A7-8831-B16EF1BDD6AC}">
  <sheetPr>
    <tabColor rgb="FFFFFF66"/>
  </sheetPr>
  <dimension ref="A1:J8"/>
  <sheetViews>
    <sheetView showGridLines="0" zoomScaleNormal="100" workbookViewId="0"/>
  </sheetViews>
  <sheetFormatPr defaultColWidth="0" defaultRowHeight="16.8" x14ac:dyDescent="0.3"/>
  <cols>
    <col min="1" max="2" width="1.6640625" style="21" customWidth="1"/>
    <col min="3" max="3" width="20.109375" style="21" customWidth="1"/>
    <col min="4" max="4" width="13.33203125" style="21" customWidth="1"/>
    <col min="5" max="6" width="12.109375" style="21" customWidth="1"/>
    <col min="7" max="10" width="8.77734375" style="21" customWidth="1"/>
    <col min="11" max="16384" width="8.77734375" style="21" hidden="1"/>
  </cols>
  <sheetData>
    <row r="1" spans="1:10" s="52" customFormat="1" ht="49.95" customHeight="1" x14ac:dyDescent="0.3">
      <c r="A1" s="49"/>
      <c r="B1" s="50" t="s">
        <v>342</v>
      </c>
      <c r="C1" s="49"/>
      <c r="D1" s="49"/>
      <c r="E1" s="49"/>
      <c r="F1" s="51"/>
      <c r="G1" s="51"/>
      <c r="H1" s="51"/>
      <c r="I1" s="51"/>
      <c r="J1" s="51"/>
    </row>
    <row r="3" spans="1:10" x14ac:dyDescent="0.3">
      <c r="C3" s="37" t="s">
        <v>343</v>
      </c>
    </row>
    <row r="5" spans="1:10" x14ac:dyDescent="0.3">
      <c r="C5" s="58" t="s">
        <v>344</v>
      </c>
      <c r="D5" s="58" t="s">
        <v>122</v>
      </c>
      <c r="E5" s="58" t="s">
        <v>120</v>
      </c>
      <c r="F5" s="58" t="s">
        <v>121</v>
      </c>
    </row>
    <row r="6" spans="1:10" x14ac:dyDescent="0.3">
      <c r="C6" s="90" t="s">
        <v>123</v>
      </c>
      <c r="D6" s="90" t="s">
        <v>124</v>
      </c>
      <c r="E6" s="91">
        <v>8</v>
      </c>
      <c r="F6" s="91">
        <v>1.2</v>
      </c>
    </row>
    <row r="7" spans="1:10" x14ac:dyDescent="0.3">
      <c r="C7" s="92" t="s">
        <v>125</v>
      </c>
      <c r="D7" s="90" t="s">
        <v>124</v>
      </c>
      <c r="E7" s="93">
        <v>8.5</v>
      </c>
      <c r="F7" s="93">
        <v>1.95</v>
      </c>
    </row>
    <row r="8" spans="1:10" x14ac:dyDescent="0.3">
      <c r="C8" s="90" t="s">
        <v>126</v>
      </c>
      <c r="D8" s="90" t="s">
        <v>127</v>
      </c>
      <c r="E8" s="91">
        <v>7.5</v>
      </c>
      <c r="F8" s="91">
        <v>1</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9AD56-465D-494C-9263-31BB8828DE72}">
  <sheetPr>
    <tabColor rgb="FF00B0F0"/>
  </sheetPr>
  <dimension ref="A1:N244"/>
  <sheetViews>
    <sheetView showGridLines="0" zoomScaleNormal="100" workbookViewId="0">
      <pane ySplit="9" topLeftCell="A10" activePane="bottomLeft" state="frozen"/>
      <selection pane="bottomLeft"/>
    </sheetView>
  </sheetViews>
  <sheetFormatPr defaultColWidth="0" defaultRowHeight="16.8" x14ac:dyDescent="0.3"/>
  <cols>
    <col min="1" max="1" width="3" style="21" customWidth="1"/>
    <col min="2" max="2" width="12.109375" style="21" customWidth="1"/>
    <col min="3" max="3" width="15" style="21" customWidth="1"/>
    <col min="4" max="4" width="22.44140625" style="21" customWidth="1"/>
    <col min="5" max="6" width="19.33203125" style="21" customWidth="1"/>
    <col min="7" max="9" width="18.44140625" style="21" customWidth="1"/>
    <col min="10" max="12" width="16.109375" style="21" customWidth="1"/>
    <col min="13" max="13" width="8.77734375" style="21" customWidth="1"/>
    <col min="14" max="14" width="0" style="21" hidden="1" customWidth="1"/>
    <col min="15" max="16384" width="8.77734375" style="21" hidden="1"/>
  </cols>
  <sheetData>
    <row r="1" spans="1:13" s="52" customFormat="1" ht="49.95" customHeight="1" x14ac:dyDescent="0.3">
      <c r="A1" s="49"/>
      <c r="B1" s="50" t="s">
        <v>559</v>
      </c>
      <c r="C1" s="49"/>
      <c r="D1" s="49"/>
      <c r="E1" s="49"/>
      <c r="F1" s="51"/>
      <c r="G1" s="51"/>
      <c r="H1" s="51"/>
      <c r="I1" s="51"/>
      <c r="J1" s="51"/>
      <c r="K1" s="51"/>
      <c r="L1" s="51"/>
      <c r="M1" s="51"/>
    </row>
    <row r="3" spans="1:13" ht="19.95" customHeight="1" x14ac:dyDescent="0.3">
      <c r="B3" s="21" t="s">
        <v>335</v>
      </c>
    </row>
    <row r="4" spans="1:13" ht="19.95" customHeight="1" x14ac:dyDescent="0.3">
      <c r="B4" s="21" t="s">
        <v>336</v>
      </c>
    </row>
    <row r="5" spans="1:13" ht="19.95" customHeight="1" x14ac:dyDescent="0.3">
      <c r="B5" s="21" t="s">
        <v>337</v>
      </c>
    </row>
    <row r="6" spans="1:13" ht="19.95" customHeight="1" x14ac:dyDescent="0.3">
      <c r="B6" s="21" t="s">
        <v>338</v>
      </c>
    </row>
    <row r="7" spans="1:13" ht="19.95" customHeight="1" x14ac:dyDescent="0.3"/>
    <row r="9" spans="1:13" x14ac:dyDescent="0.3">
      <c r="B9" s="58" t="s">
        <v>119</v>
      </c>
      <c r="C9" s="58" t="s">
        <v>84</v>
      </c>
      <c r="D9" s="58" t="s">
        <v>28</v>
      </c>
      <c r="E9" s="58" t="s">
        <v>112</v>
      </c>
      <c r="F9" s="58" t="s">
        <v>113</v>
      </c>
      <c r="G9" s="58" t="s">
        <v>122</v>
      </c>
      <c r="H9" s="58" t="s">
        <v>120</v>
      </c>
      <c r="I9" s="58" t="s">
        <v>121</v>
      </c>
      <c r="J9" s="58" t="s">
        <v>146</v>
      </c>
      <c r="K9" s="58" t="s">
        <v>339</v>
      </c>
      <c r="L9" s="58" t="s">
        <v>340</v>
      </c>
    </row>
    <row r="10" spans="1:13" x14ac:dyDescent="0.3">
      <c r="B10" s="76">
        <v>43102</v>
      </c>
      <c r="C10" s="33" t="s">
        <v>341</v>
      </c>
      <c r="D10" s="33" t="s">
        <v>123</v>
      </c>
      <c r="E10" s="33">
        <v>180</v>
      </c>
      <c r="F10" s="40">
        <v>171</v>
      </c>
      <c r="G10" s="87" t="str" cm="1">
        <f t="array" ref="G10:I10">_xlfn.XLOOKUP(D10, Inputs!$C$6:$C$8, Inputs!$D$6:$F$8, "Not found")</f>
        <v>Meat Pie</v>
      </c>
      <c r="H10" s="88">
        <v>8</v>
      </c>
      <c r="I10" s="88">
        <v>1.2</v>
      </c>
      <c r="J10" s="88">
        <f t="shared" ref="J10:J73" si="0">F10 * H10</f>
        <v>1368</v>
      </c>
      <c r="K10" s="88">
        <f t="shared" ref="K10:K73" si="1">F10 * I10</f>
        <v>205.2</v>
      </c>
      <c r="L10" s="88">
        <f t="shared" ref="L10:L73" si="2">J10 - K10</f>
        <v>1162.8</v>
      </c>
    </row>
    <row r="11" spans="1:13" x14ac:dyDescent="0.3">
      <c r="B11" s="76">
        <v>43102</v>
      </c>
      <c r="C11" s="33" t="s">
        <v>341</v>
      </c>
      <c r="D11" s="33" t="s">
        <v>125</v>
      </c>
      <c r="E11" s="33">
        <v>75</v>
      </c>
      <c r="F11" s="40">
        <v>72</v>
      </c>
      <c r="G11" s="87" t="str" cm="1">
        <f t="array" ref="G11:I11">_xlfn.XLOOKUP(D11,Inputs!$C$6:$C$8,Inputs!$D$6:$F$8,"Not found")</f>
        <v>Meat Pie</v>
      </c>
      <c r="H11" s="88">
        <v>8.5</v>
      </c>
      <c r="I11" s="88">
        <v>1.95</v>
      </c>
      <c r="J11" s="88">
        <f t="shared" si="0"/>
        <v>612</v>
      </c>
      <c r="K11" s="88">
        <f t="shared" si="1"/>
        <v>140.4</v>
      </c>
      <c r="L11" s="88">
        <f t="shared" si="2"/>
        <v>471.6</v>
      </c>
    </row>
    <row r="12" spans="1:13" x14ac:dyDescent="0.3">
      <c r="B12" s="76">
        <v>43102</v>
      </c>
      <c r="C12" s="33" t="s">
        <v>341</v>
      </c>
      <c r="D12" s="33" t="s">
        <v>126</v>
      </c>
      <c r="E12" s="33">
        <v>30</v>
      </c>
      <c r="F12" s="40">
        <v>29</v>
      </c>
      <c r="G12" s="87" t="str" cm="1">
        <f t="array" ref="G12:I12">_xlfn.XLOOKUP(D12,Inputs!$C$6:$C$8,Inputs!$D$6:$F$8,"Not found")</f>
        <v>Veggie Pie</v>
      </c>
      <c r="H12" s="88">
        <v>7.5</v>
      </c>
      <c r="I12" s="88">
        <v>1</v>
      </c>
      <c r="J12" s="88">
        <f t="shared" si="0"/>
        <v>217.5</v>
      </c>
      <c r="K12" s="88">
        <f t="shared" si="1"/>
        <v>29</v>
      </c>
      <c r="L12" s="88">
        <f t="shared" si="2"/>
        <v>188.5</v>
      </c>
    </row>
    <row r="13" spans="1:13" x14ac:dyDescent="0.3">
      <c r="B13" s="76">
        <v>43104</v>
      </c>
      <c r="C13" s="33" t="s">
        <v>341</v>
      </c>
      <c r="D13" s="33" t="s">
        <v>123</v>
      </c>
      <c r="E13" s="33">
        <v>180</v>
      </c>
      <c r="F13" s="40">
        <v>178</v>
      </c>
      <c r="G13" s="87" t="str" cm="1">
        <f t="array" ref="G13:I13">_xlfn.XLOOKUP(D13,Inputs!$C$6:$C$8,Inputs!$D$6:$F$8,"Not found")</f>
        <v>Meat Pie</v>
      </c>
      <c r="H13" s="88">
        <v>8</v>
      </c>
      <c r="I13" s="88">
        <v>1.2</v>
      </c>
      <c r="J13" s="88">
        <f t="shared" si="0"/>
        <v>1424</v>
      </c>
      <c r="K13" s="88">
        <f t="shared" si="1"/>
        <v>213.6</v>
      </c>
      <c r="L13" s="88">
        <f t="shared" si="2"/>
        <v>1210.4000000000001</v>
      </c>
    </row>
    <row r="14" spans="1:13" x14ac:dyDescent="0.3">
      <c r="B14" s="76">
        <v>43104</v>
      </c>
      <c r="C14" s="33" t="s">
        <v>341</v>
      </c>
      <c r="D14" s="33" t="s">
        <v>125</v>
      </c>
      <c r="E14" s="33">
        <v>75</v>
      </c>
      <c r="F14" s="40">
        <v>72</v>
      </c>
      <c r="G14" s="87" t="str" cm="1">
        <f t="array" ref="G14:I14">_xlfn.XLOOKUP(D14,Inputs!$C$6:$C$8,Inputs!$D$6:$F$8,"Not found")</f>
        <v>Meat Pie</v>
      </c>
      <c r="H14" s="88">
        <v>8.5</v>
      </c>
      <c r="I14" s="88">
        <v>1.95</v>
      </c>
      <c r="J14" s="88">
        <f t="shared" si="0"/>
        <v>612</v>
      </c>
      <c r="K14" s="88">
        <f t="shared" si="1"/>
        <v>140.4</v>
      </c>
      <c r="L14" s="88">
        <f t="shared" si="2"/>
        <v>471.6</v>
      </c>
    </row>
    <row r="15" spans="1:13" x14ac:dyDescent="0.3">
      <c r="B15" s="76">
        <v>43104</v>
      </c>
      <c r="C15" s="33" t="s">
        <v>341</v>
      </c>
      <c r="D15" s="33" t="s">
        <v>126</v>
      </c>
      <c r="E15" s="33">
        <v>30</v>
      </c>
      <c r="F15" s="40">
        <v>24</v>
      </c>
      <c r="G15" s="87" t="str" cm="1">
        <f t="array" ref="G15:I15">_xlfn.XLOOKUP(D15,Inputs!$C$6:$C$8,Inputs!$D$6:$F$8,"Not found")</f>
        <v>Veggie Pie</v>
      </c>
      <c r="H15" s="88">
        <v>7.5</v>
      </c>
      <c r="I15" s="88">
        <v>1</v>
      </c>
      <c r="J15" s="88">
        <f t="shared" si="0"/>
        <v>180</v>
      </c>
      <c r="K15" s="88">
        <f t="shared" si="1"/>
        <v>24</v>
      </c>
      <c r="L15" s="88">
        <f t="shared" si="2"/>
        <v>156</v>
      </c>
    </row>
    <row r="16" spans="1:13" x14ac:dyDescent="0.3">
      <c r="B16" s="76">
        <v>43106</v>
      </c>
      <c r="C16" s="33" t="s">
        <v>341</v>
      </c>
      <c r="D16" s="33" t="s">
        <v>123</v>
      </c>
      <c r="E16" s="33">
        <v>180</v>
      </c>
      <c r="F16" s="40">
        <v>175</v>
      </c>
      <c r="G16" s="87" t="str" cm="1">
        <f t="array" ref="G16:I16">_xlfn.XLOOKUP(D16,Inputs!$C$6:$C$8,Inputs!$D$6:$F$8,"Not found")</f>
        <v>Meat Pie</v>
      </c>
      <c r="H16" s="88">
        <v>8</v>
      </c>
      <c r="I16" s="88">
        <v>1.2</v>
      </c>
      <c r="J16" s="88">
        <f t="shared" si="0"/>
        <v>1400</v>
      </c>
      <c r="K16" s="88">
        <f t="shared" si="1"/>
        <v>210</v>
      </c>
      <c r="L16" s="88">
        <f t="shared" si="2"/>
        <v>1190</v>
      </c>
    </row>
    <row r="17" spans="2:12" x14ac:dyDescent="0.3">
      <c r="B17" s="76">
        <v>43106</v>
      </c>
      <c r="C17" s="33" t="s">
        <v>341</v>
      </c>
      <c r="D17" s="33" t="s">
        <v>125</v>
      </c>
      <c r="E17" s="33">
        <v>75</v>
      </c>
      <c r="F17" s="40">
        <v>67</v>
      </c>
      <c r="G17" s="87" t="str" cm="1">
        <f t="array" ref="G17:I17">_xlfn.XLOOKUP(D17,Inputs!$C$6:$C$8,Inputs!$D$6:$F$8,"Not found")</f>
        <v>Meat Pie</v>
      </c>
      <c r="H17" s="88">
        <v>8.5</v>
      </c>
      <c r="I17" s="88">
        <v>1.95</v>
      </c>
      <c r="J17" s="88">
        <f t="shared" si="0"/>
        <v>569.5</v>
      </c>
      <c r="K17" s="88">
        <f t="shared" si="1"/>
        <v>130.65</v>
      </c>
      <c r="L17" s="88">
        <f t="shared" si="2"/>
        <v>438.85</v>
      </c>
    </row>
    <row r="18" spans="2:12" x14ac:dyDescent="0.3">
      <c r="B18" s="76">
        <v>43106</v>
      </c>
      <c r="C18" s="33" t="s">
        <v>341</v>
      </c>
      <c r="D18" s="33" t="s">
        <v>126</v>
      </c>
      <c r="E18" s="33">
        <v>30</v>
      </c>
      <c r="F18" s="40">
        <v>28</v>
      </c>
      <c r="G18" s="87" t="str" cm="1">
        <f t="array" ref="G18:I18">_xlfn.XLOOKUP(D18,Inputs!$C$6:$C$8,Inputs!$D$6:$F$8,"Not found")</f>
        <v>Veggie Pie</v>
      </c>
      <c r="H18" s="88">
        <v>7.5</v>
      </c>
      <c r="I18" s="88">
        <v>1</v>
      </c>
      <c r="J18" s="88">
        <f t="shared" si="0"/>
        <v>210</v>
      </c>
      <c r="K18" s="88">
        <f t="shared" si="1"/>
        <v>28</v>
      </c>
      <c r="L18" s="88">
        <f t="shared" si="2"/>
        <v>182</v>
      </c>
    </row>
    <row r="19" spans="2:12" x14ac:dyDescent="0.3">
      <c r="B19" s="76">
        <v>43109</v>
      </c>
      <c r="C19" s="33" t="s">
        <v>341</v>
      </c>
      <c r="D19" s="33" t="s">
        <v>123</v>
      </c>
      <c r="E19" s="33">
        <v>180</v>
      </c>
      <c r="F19" s="40">
        <v>179</v>
      </c>
      <c r="G19" s="87" t="str" cm="1">
        <f t="array" ref="G19:I19">_xlfn.XLOOKUP(D19,Inputs!$C$6:$C$8,Inputs!$D$6:$F$8,"Not found")</f>
        <v>Meat Pie</v>
      </c>
      <c r="H19" s="88">
        <v>8</v>
      </c>
      <c r="I19" s="88">
        <v>1.2</v>
      </c>
      <c r="J19" s="88">
        <f t="shared" si="0"/>
        <v>1432</v>
      </c>
      <c r="K19" s="88">
        <f t="shared" si="1"/>
        <v>214.79999999999998</v>
      </c>
      <c r="L19" s="88">
        <f t="shared" si="2"/>
        <v>1217.2</v>
      </c>
    </row>
    <row r="20" spans="2:12" x14ac:dyDescent="0.3">
      <c r="B20" s="76">
        <v>43109</v>
      </c>
      <c r="C20" s="33" t="s">
        <v>341</v>
      </c>
      <c r="D20" s="33" t="s">
        <v>125</v>
      </c>
      <c r="E20" s="33">
        <v>75</v>
      </c>
      <c r="F20" s="40">
        <v>72</v>
      </c>
      <c r="G20" s="87" t="str" cm="1">
        <f t="array" ref="G20:I20">_xlfn.XLOOKUP(D20,Inputs!$C$6:$C$8,Inputs!$D$6:$F$8,"Not found")</f>
        <v>Meat Pie</v>
      </c>
      <c r="H20" s="88">
        <v>8.5</v>
      </c>
      <c r="I20" s="88">
        <v>1.95</v>
      </c>
      <c r="J20" s="88">
        <f t="shared" si="0"/>
        <v>612</v>
      </c>
      <c r="K20" s="88">
        <f t="shared" si="1"/>
        <v>140.4</v>
      </c>
      <c r="L20" s="88">
        <f t="shared" si="2"/>
        <v>471.6</v>
      </c>
    </row>
    <row r="21" spans="2:12" x14ac:dyDescent="0.3">
      <c r="B21" s="76">
        <v>43109</v>
      </c>
      <c r="C21" s="33" t="s">
        <v>341</v>
      </c>
      <c r="D21" s="33" t="s">
        <v>126</v>
      </c>
      <c r="E21" s="33">
        <v>30</v>
      </c>
      <c r="F21" s="40">
        <v>28</v>
      </c>
      <c r="G21" s="87" t="str" cm="1">
        <f t="array" ref="G21:I21">_xlfn.XLOOKUP(D21,Inputs!$C$6:$C$8,Inputs!$D$6:$F$8,"Not found")</f>
        <v>Veggie Pie</v>
      </c>
      <c r="H21" s="88">
        <v>7.5</v>
      </c>
      <c r="I21" s="88">
        <v>1</v>
      </c>
      <c r="J21" s="88">
        <f t="shared" si="0"/>
        <v>210</v>
      </c>
      <c r="K21" s="88">
        <f t="shared" si="1"/>
        <v>28</v>
      </c>
      <c r="L21" s="88">
        <f t="shared" si="2"/>
        <v>182</v>
      </c>
    </row>
    <row r="22" spans="2:12" x14ac:dyDescent="0.3">
      <c r="B22" s="76">
        <v>43111</v>
      </c>
      <c r="C22" s="33" t="s">
        <v>341</v>
      </c>
      <c r="D22" s="33" t="s">
        <v>123</v>
      </c>
      <c r="E22" s="33">
        <v>180</v>
      </c>
      <c r="F22" s="40">
        <v>172</v>
      </c>
      <c r="G22" s="87" t="str" cm="1">
        <f t="array" ref="G22:I22">_xlfn.XLOOKUP(D22,Inputs!$C$6:$C$8,Inputs!$D$6:$F$8,"Not found")</f>
        <v>Meat Pie</v>
      </c>
      <c r="H22" s="88">
        <v>8</v>
      </c>
      <c r="I22" s="88">
        <v>1.2</v>
      </c>
      <c r="J22" s="88">
        <f t="shared" si="0"/>
        <v>1376</v>
      </c>
      <c r="K22" s="88">
        <f t="shared" si="1"/>
        <v>206.4</v>
      </c>
      <c r="L22" s="88">
        <f t="shared" si="2"/>
        <v>1169.5999999999999</v>
      </c>
    </row>
    <row r="23" spans="2:12" x14ac:dyDescent="0.3">
      <c r="B23" s="76">
        <v>43111</v>
      </c>
      <c r="C23" s="33" t="s">
        <v>341</v>
      </c>
      <c r="D23" s="33" t="s">
        <v>125</v>
      </c>
      <c r="E23" s="33">
        <v>75</v>
      </c>
      <c r="F23" s="40">
        <v>62</v>
      </c>
      <c r="G23" s="87" t="str" cm="1">
        <f t="array" ref="G23:I23">_xlfn.XLOOKUP(D23,Inputs!$C$6:$C$8,Inputs!$D$6:$F$8,"Not found")</f>
        <v>Meat Pie</v>
      </c>
      <c r="H23" s="88">
        <v>8.5</v>
      </c>
      <c r="I23" s="88">
        <v>1.95</v>
      </c>
      <c r="J23" s="88">
        <f t="shared" si="0"/>
        <v>527</v>
      </c>
      <c r="K23" s="88">
        <f t="shared" si="1"/>
        <v>120.89999999999999</v>
      </c>
      <c r="L23" s="88">
        <f t="shared" si="2"/>
        <v>406.1</v>
      </c>
    </row>
    <row r="24" spans="2:12" x14ac:dyDescent="0.3">
      <c r="B24" s="76">
        <v>43111</v>
      </c>
      <c r="C24" s="33" t="s">
        <v>341</v>
      </c>
      <c r="D24" s="33" t="s">
        <v>126</v>
      </c>
      <c r="E24" s="33">
        <v>30</v>
      </c>
      <c r="F24" s="40">
        <v>29</v>
      </c>
      <c r="G24" s="87" t="str" cm="1">
        <f t="array" ref="G24:I24">_xlfn.XLOOKUP(D24,Inputs!$C$6:$C$8,Inputs!$D$6:$F$8,"Not found")</f>
        <v>Veggie Pie</v>
      </c>
      <c r="H24" s="88">
        <v>7.5</v>
      </c>
      <c r="I24" s="88">
        <v>1</v>
      </c>
      <c r="J24" s="88">
        <f t="shared" si="0"/>
        <v>217.5</v>
      </c>
      <c r="K24" s="88">
        <f t="shared" si="1"/>
        <v>29</v>
      </c>
      <c r="L24" s="88">
        <f t="shared" si="2"/>
        <v>188.5</v>
      </c>
    </row>
    <row r="25" spans="2:12" x14ac:dyDescent="0.3">
      <c r="B25" s="76">
        <v>43113</v>
      </c>
      <c r="C25" s="33" t="s">
        <v>341</v>
      </c>
      <c r="D25" s="33" t="s">
        <v>123</v>
      </c>
      <c r="E25" s="33">
        <v>180</v>
      </c>
      <c r="F25" s="40">
        <v>179</v>
      </c>
      <c r="G25" s="87" t="str" cm="1">
        <f t="array" ref="G25:I25">_xlfn.XLOOKUP(D25,Inputs!$C$6:$C$8,Inputs!$D$6:$F$8,"Not found")</f>
        <v>Meat Pie</v>
      </c>
      <c r="H25" s="88">
        <v>8</v>
      </c>
      <c r="I25" s="88">
        <v>1.2</v>
      </c>
      <c r="J25" s="88">
        <f t="shared" si="0"/>
        <v>1432</v>
      </c>
      <c r="K25" s="88">
        <f t="shared" si="1"/>
        <v>214.79999999999998</v>
      </c>
      <c r="L25" s="88">
        <f t="shared" si="2"/>
        <v>1217.2</v>
      </c>
    </row>
    <row r="26" spans="2:12" x14ac:dyDescent="0.3">
      <c r="B26" s="76">
        <v>43113</v>
      </c>
      <c r="C26" s="33" t="s">
        <v>341</v>
      </c>
      <c r="D26" s="33" t="s">
        <v>125</v>
      </c>
      <c r="E26" s="33">
        <v>75</v>
      </c>
      <c r="F26" s="40">
        <v>74</v>
      </c>
      <c r="G26" s="87" t="str" cm="1">
        <f t="array" ref="G26:I26">_xlfn.XLOOKUP(D26,Inputs!$C$6:$C$8,Inputs!$D$6:$F$8,"Not found")</f>
        <v>Meat Pie</v>
      </c>
      <c r="H26" s="88">
        <v>8.5</v>
      </c>
      <c r="I26" s="88">
        <v>1.95</v>
      </c>
      <c r="J26" s="88">
        <f t="shared" si="0"/>
        <v>629</v>
      </c>
      <c r="K26" s="88">
        <f t="shared" si="1"/>
        <v>144.29999999999998</v>
      </c>
      <c r="L26" s="88">
        <f t="shared" si="2"/>
        <v>484.70000000000005</v>
      </c>
    </row>
    <row r="27" spans="2:12" x14ac:dyDescent="0.3">
      <c r="B27" s="76">
        <v>43113</v>
      </c>
      <c r="C27" s="33" t="s">
        <v>341</v>
      </c>
      <c r="D27" s="33" t="s">
        <v>126</v>
      </c>
      <c r="E27" s="33">
        <v>30</v>
      </c>
      <c r="F27" s="40">
        <v>27</v>
      </c>
      <c r="G27" s="87" t="str" cm="1">
        <f t="array" ref="G27:I27">_xlfn.XLOOKUP(D27,Inputs!$C$6:$C$8,Inputs!$D$6:$F$8,"Not found")</f>
        <v>Veggie Pie</v>
      </c>
      <c r="H27" s="88">
        <v>7.5</v>
      </c>
      <c r="I27" s="88">
        <v>1</v>
      </c>
      <c r="J27" s="88">
        <f t="shared" si="0"/>
        <v>202.5</v>
      </c>
      <c r="K27" s="88">
        <f t="shared" si="1"/>
        <v>27</v>
      </c>
      <c r="L27" s="88">
        <f t="shared" si="2"/>
        <v>175.5</v>
      </c>
    </row>
    <row r="28" spans="2:12" x14ac:dyDescent="0.3">
      <c r="B28" s="76">
        <v>43116</v>
      </c>
      <c r="C28" s="33" t="s">
        <v>341</v>
      </c>
      <c r="D28" s="33" t="s">
        <v>123</v>
      </c>
      <c r="E28" s="33">
        <v>180</v>
      </c>
      <c r="F28" s="40">
        <v>180</v>
      </c>
      <c r="G28" s="87" t="str" cm="1">
        <f t="array" ref="G28:I28">_xlfn.XLOOKUP(D28,Inputs!$C$6:$C$8,Inputs!$D$6:$F$8,"Not found")</f>
        <v>Meat Pie</v>
      </c>
      <c r="H28" s="88">
        <v>8</v>
      </c>
      <c r="I28" s="88">
        <v>1.2</v>
      </c>
      <c r="J28" s="88">
        <f t="shared" si="0"/>
        <v>1440</v>
      </c>
      <c r="K28" s="88">
        <f t="shared" si="1"/>
        <v>216</v>
      </c>
      <c r="L28" s="88">
        <f t="shared" si="2"/>
        <v>1224</v>
      </c>
    </row>
    <row r="29" spans="2:12" x14ac:dyDescent="0.3">
      <c r="B29" s="76">
        <v>43116</v>
      </c>
      <c r="C29" s="33" t="s">
        <v>341</v>
      </c>
      <c r="D29" s="33" t="s">
        <v>125</v>
      </c>
      <c r="E29" s="33">
        <v>75</v>
      </c>
      <c r="F29" s="40">
        <v>73</v>
      </c>
      <c r="G29" s="87" t="str" cm="1">
        <f t="array" ref="G29:I29">_xlfn.XLOOKUP(D29,Inputs!$C$6:$C$8,Inputs!$D$6:$F$8,"Not found")</f>
        <v>Meat Pie</v>
      </c>
      <c r="H29" s="88">
        <v>8.5</v>
      </c>
      <c r="I29" s="88">
        <v>1.95</v>
      </c>
      <c r="J29" s="88">
        <f t="shared" si="0"/>
        <v>620.5</v>
      </c>
      <c r="K29" s="88">
        <f t="shared" si="1"/>
        <v>142.35</v>
      </c>
      <c r="L29" s="88">
        <f t="shared" si="2"/>
        <v>478.15</v>
      </c>
    </row>
    <row r="30" spans="2:12" x14ac:dyDescent="0.3">
      <c r="B30" s="76">
        <v>43116</v>
      </c>
      <c r="C30" s="33" t="s">
        <v>341</v>
      </c>
      <c r="D30" s="33" t="s">
        <v>126</v>
      </c>
      <c r="E30" s="33">
        <v>30</v>
      </c>
      <c r="F30" s="40">
        <v>29</v>
      </c>
      <c r="G30" s="87" t="str" cm="1">
        <f t="array" ref="G30:I30">_xlfn.XLOOKUP(D30,Inputs!$C$6:$C$8,Inputs!$D$6:$F$8,"Not found")</f>
        <v>Veggie Pie</v>
      </c>
      <c r="H30" s="88">
        <v>7.5</v>
      </c>
      <c r="I30" s="88">
        <v>1</v>
      </c>
      <c r="J30" s="88">
        <f t="shared" si="0"/>
        <v>217.5</v>
      </c>
      <c r="K30" s="88">
        <f t="shared" si="1"/>
        <v>29</v>
      </c>
      <c r="L30" s="88">
        <f t="shared" si="2"/>
        <v>188.5</v>
      </c>
    </row>
    <row r="31" spans="2:12" x14ac:dyDescent="0.3">
      <c r="B31" s="76">
        <v>43118</v>
      </c>
      <c r="C31" s="33" t="s">
        <v>341</v>
      </c>
      <c r="D31" s="33" t="s">
        <v>123</v>
      </c>
      <c r="E31" s="33">
        <v>180</v>
      </c>
      <c r="F31" s="40">
        <v>178</v>
      </c>
      <c r="G31" s="87" t="str" cm="1">
        <f t="array" ref="G31:I31">_xlfn.XLOOKUP(D31,Inputs!$C$6:$C$8,Inputs!$D$6:$F$8,"Not found")</f>
        <v>Meat Pie</v>
      </c>
      <c r="H31" s="88">
        <v>8</v>
      </c>
      <c r="I31" s="88">
        <v>1.2</v>
      </c>
      <c r="J31" s="88">
        <f t="shared" si="0"/>
        <v>1424</v>
      </c>
      <c r="K31" s="88">
        <f t="shared" si="1"/>
        <v>213.6</v>
      </c>
      <c r="L31" s="88">
        <f t="shared" si="2"/>
        <v>1210.4000000000001</v>
      </c>
    </row>
    <row r="32" spans="2:12" x14ac:dyDescent="0.3">
      <c r="B32" s="76">
        <v>43118</v>
      </c>
      <c r="C32" s="33" t="s">
        <v>341</v>
      </c>
      <c r="D32" s="33" t="s">
        <v>125</v>
      </c>
      <c r="E32" s="33">
        <v>75</v>
      </c>
      <c r="F32" s="40">
        <v>72</v>
      </c>
      <c r="G32" s="87" t="str" cm="1">
        <f t="array" ref="G32:I32">_xlfn.XLOOKUP(D32,Inputs!$C$6:$C$8,Inputs!$D$6:$F$8,"Not found")</f>
        <v>Meat Pie</v>
      </c>
      <c r="H32" s="88">
        <v>8.5</v>
      </c>
      <c r="I32" s="88">
        <v>1.95</v>
      </c>
      <c r="J32" s="88">
        <f t="shared" si="0"/>
        <v>612</v>
      </c>
      <c r="K32" s="88">
        <f t="shared" si="1"/>
        <v>140.4</v>
      </c>
      <c r="L32" s="88">
        <f t="shared" si="2"/>
        <v>471.6</v>
      </c>
    </row>
    <row r="33" spans="2:12" x14ac:dyDescent="0.3">
      <c r="B33" s="76">
        <v>43118</v>
      </c>
      <c r="C33" s="33" t="s">
        <v>341</v>
      </c>
      <c r="D33" s="33" t="s">
        <v>126</v>
      </c>
      <c r="E33" s="33">
        <v>30</v>
      </c>
      <c r="F33" s="40">
        <v>28</v>
      </c>
      <c r="G33" s="87" t="str" cm="1">
        <f t="array" ref="G33:I33">_xlfn.XLOOKUP(D33,Inputs!$C$6:$C$8,Inputs!$D$6:$F$8,"Not found")</f>
        <v>Veggie Pie</v>
      </c>
      <c r="H33" s="88">
        <v>7.5</v>
      </c>
      <c r="I33" s="88">
        <v>1</v>
      </c>
      <c r="J33" s="88">
        <f t="shared" si="0"/>
        <v>210</v>
      </c>
      <c r="K33" s="88">
        <f t="shared" si="1"/>
        <v>28</v>
      </c>
      <c r="L33" s="88">
        <f t="shared" si="2"/>
        <v>182</v>
      </c>
    </row>
    <row r="34" spans="2:12" x14ac:dyDescent="0.3">
      <c r="B34" s="76">
        <v>43120</v>
      </c>
      <c r="C34" s="33" t="s">
        <v>341</v>
      </c>
      <c r="D34" s="33" t="s">
        <v>123</v>
      </c>
      <c r="E34" s="33">
        <v>180</v>
      </c>
      <c r="F34" s="40">
        <v>180</v>
      </c>
      <c r="G34" s="87" t="str" cm="1">
        <f t="array" ref="G34:I34">_xlfn.XLOOKUP(D34,Inputs!$C$6:$C$8,Inputs!$D$6:$F$8,"Not found")</f>
        <v>Meat Pie</v>
      </c>
      <c r="H34" s="88">
        <v>8</v>
      </c>
      <c r="I34" s="88">
        <v>1.2</v>
      </c>
      <c r="J34" s="88">
        <f t="shared" si="0"/>
        <v>1440</v>
      </c>
      <c r="K34" s="88">
        <f t="shared" si="1"/>
        <v>216</v>
      </c>
      <c r="L34" s="88">
        <f t="shared" si="2"/>
        <v>1224</v>
      </c>
    </row>
    <row r="35" spans="2:12" x14ac:dyDescent="0.3">
      <c r="B35" s="76">
        <v>43120</v>
      </c>
      <c r="C35" s="33" t="s">
        <v>341</v>
      </c>
      <c r="D35" s="33" t="s">
        <v>125</v>
      </c>
      <c r="E35" s="33">
        <v>75</v>
      </c>
      <c r="F35" s="40">
        <v>75</v>
      </c>
      <c r="G35" s="87" t="str" cm="1">
        <f t="array" ref="G35:I35">_xlfn.XLOOKUP(D35,Inputs!$C$6:$C$8,Inputs!$D$6:$F$8,"Not found")</f>
        <v>Meat Pie</v>
      </c>
      <c r="H35" s="88">
        <v>8.5</v>
      </c>
      <c r="I35" s="88">
        <v>1.95</v>
      </c>
      <c r="J35" s="88">
        <f t="shared" si="0"/>
        <v>637.5</v>
      </c>
      <c r="K35" s="88">
        <f t="shared" si="1"/>
        <v>146.25</v>
      </c>
      <c r="L35" s="88">
        <f t="shared" si="2"/>
        <v>491.25</v>
      </c>
    </row>
    <row r="36" spans="2:12" x14ac:dyDescent="0.3">
      <c r="B36" s="76">
        <v>43120</v>
      </c>
      <c r="C36" s="33" t="s">
        <v>341</v>
      </c>
      <c r="D36" s="33" t="s">
        <v>126</v>
      </c>
      <c r="E36" s="33">
        <v>30</v>
      </c>
      <c r="F36" s="40">
        <v>30</v>
      </c>
      <c r="G36" s="87" t="str" cm="1">
        <f t="array" ref="G36:I36">_xlfn.XLOOKUP(D36,Inputs!$C$6:$C$8,Inputs!$D$6:$F$8,"Not found")</f>
        <v>Veggie Pie</v>
      </c>
      <c r="H36" s="88">
        <v>7.5</v>
      </c>
      <c r="I36" s="88">
        <v>1</v>
      </c>
      <c r="J36" s="88">
        <f t="shared" si="0"/>
        <v>225</v>
      </c>
      <c r="K36" s="88">
        <f t="shared" si="1"/>
        <v>30</v>
      </c>
      <c r="L36" s="88">
        <f t="shared" si="2"/>
        <v>195</v>
      </c>
    </row>
    <row r="37" spans="2:12" x14ac:dyDescent="0.3">
      <c r="B37" s="76">
        <v>43123</v>
      </c>
      <c r="C37" s="33" t="s">
        <v>341</v>
      </c>
      <c r="D37" s="33" t="s">
        <v>123</v>
      </c>
      <c r="E37" s="33">
        <v>180</v>
      </c>
      <c r="F37" s="40">
        <v>173</v>
      </c>
      <c r="G37" s="87" t="str" cm="1">
        <f t="array" ref="G37:I37">_xlfn.XLOOKUP(D37,Inputs!$C$6:$C$8,Inputs!$D$6:$F$8,"Not found")</f>
        <v>Meat Pie</v>
      </c>
      <c r="H37" s="88">
        <v>8</v>
      </c>
      <c r="I37" s="88">
        <v>1.2</v>
      </c>
      <c r="J37" s="88">
        <f t="shared" si="0"/>
        <v>1384</v>
      </c>
      <c r="K37" s="88">
        <f t="shared" si="1"/>
        <v>207.6</v>
      </c>
      <c r="L37" s="88">
        <f t="shared" si="2"/>
        <v>1176.4000000000001</v>
      </c>
    </row>
    <row r="38" spans="2:12" x14ac:dyDescent="0.3">
      <c r="B38" s="76">
        <v>43123</v>
      </c>
      <c r="C38" s="33" t="s">
        <v>341</v>
      </c>
      <c r="D38" s="33" t="s">
        <v>125</v>
      </c>
      <c r="E38" s="33">
        <v>75</v>
      </c>
      <c r="F38" s="40">
        <v>67</v>
      </c>
      <c r="G38" s="87" t="str" cm="1">
        <f t="array" ref="G38:I38">_xlfn.XLOOKUP(D38,Inputs!$C$6:$C$8,Inputs!$D$6:$F$8,"Not found")</f>
        <v>Meat Pie</v>
      </c>
      <c r="H38" s="88">
        <v>8.5</v>
      </c>
      <c r="I38" s="88">
        <v>1.95</v>
      </c>
      <c r="J38" s="88">
        <f t="shared" si="0"/>
        <v>569.5</v>
      </c>
      <c r="K38" s="88">
        <f t="shared" si="1"/>
        <v>130.65</v>
      </c>
      <c r="L38" s="88">
        <f t="shared" si="2"/>
        <v>438.85</v>
      </c>
    </row>
    <row r="39" spans="2:12" x14ac:dyDescent="0.3">
      <c r="B39" s="76">
        <v>43123</v>
      </c>
      <c r="C39" s="33" t="s">
        <v>341</v>
      </c>
      <c r="D39" s="33" t="s">
        <v>126</v>
      </c>
      <c r="E39" s="33">
        <v>30</v>
      </c>
      <c r="F39" s="40">
        <v>26</v>
      </c>
      <c r="G39" s="87" t="str" cm="1">
        <f t="array" ref="G39:I39">_xlfn.XLOOKUP(D39,Inputs!$C$6:$C$8,Inputs!$D$6:$F$8,"Not found")</f>
        <v>Veggie Pie</v>
      </c>
      <c r="H39" s="88">
        <v>7.5</v>
      </c>
      <c r="I39" s="88">
        <v>1</v>
      </c>
      <c r="J39" s="88">
        <f t="shared" si="0"/>
        <v>195</v>
      </c>
      <c r="K39" s="88">
        <f t="shared" si="1"/>
        <v>26</v>
      </c>
      <c r="L39" s="88">
        <f t="shared" si="2"/>
        <v>169</v>
      </c>
    </row>
    <row r="40" spans="2:12" x14ac:dyDescent="0.3">
      <c r="B40" s="76">
        <v>43125</v>
      </c>
      <c r="C40" s="33" t="s">
        <v>341</v>
      </c>
      <c r="D40" s="33" t="s">
        <v>123</v>
      </c>
      <c r="E40" s="33">
        <v>180</v>
      </c>
      <c r="F40" s="40">
        <v>180</v>
      </c>
      <c r="G40" s="87" t="str" cm="1">
        <f t="array" ref="G40:I40">_xlfn.XLOOKUP(D40,Inputs!$C$6:$C$8,Inputs!$D$6:$F$8,"Not found")</f>
        <v>Meat Pie</v>
      </c>
      <c r="H40" s="88">
        <v>8</v>
      </c>
      <c r="I40" s="88">
        <v>1.2</v>
      </c>
      <c r="J40" s="88">
        <f t="shared" si="0"/>
        <v>1440</v>
      </c>
      <c r="K40" s="88">
        <f t="shared" si="1"/>
        <v>216</v>
      </c>
      <c r="L40" s="88">
        <f t="shared" si="2"/>
        <v>1224</v>
      </c>
    </row>
    <row r="41" spans="2:12" x14ac:dyDescent="0.3">
      <c r="B41" s="76">
        <v>43125</v>
      </c>
      <c r="C41" s="33" t="s">
        <v>341</v>
      </c>
      <c r="D41" s="33" t="s">
        <v>125</v>
      </c>
      <c r="E41" s="33">
        <v>75</v>
      </c>
      <c r="F41" s="40">
        <v>74</v>
      </c>
      <c r="G41" s="87" t="str" cm="1">
        <f t="array" ref="G41:I41">_xlfn.XLOOKUP(D41,Inputs!$C$6:$C$8,Inputs!$D$6:$F$8,"Not found")</f>
        <v>Meat Pie</v>
      </c>
      <c r="H41" s="88">
        <v>8.5</v>
      </c>
      <c r="I41" s="88">
        <v>1.95</v>
      </c>
      <c r="J41" s="88">
        <f t="shared" si="0"/>
        <v>629</v>
      </c>
      <c r="K41" s="88">
        <f t="shared" si="1"/>
        <v>144.29999999999998</v>
      </c>
      <c r="L41" s="88">
        <f t="shared" si="2"/>
        <v>484.70000000000005</v>
      </c>
    </row>
    <row r="42" spans="2:12" x14ac:dyDescent="0.3">
      <c r="B42" s="76">
        <v>43125</v>
      </c>
      <c r="C42" s="33" t="s">
        <v>341</v>
      </c>
      <c r="D42" s="33" t="s">
        <v>126</v>
      </c>
      <c r="E42" s="33">
        <v>30</v>
      </c>
      <c r="F42" s="40">
        <v>29</v>
      </c>
      <c r="G42" s="87" t="str" cm="1">
        <f t="array" ref="G42:I42">_xlfn.XLOOKUP(D42,Inputs!$C$6:$C$8,Inputs!$D$6:$F$8,"Not found")</f>
        <v>Veggie Pie</v>
      </c>
      <c r="H42" s="88">
        <v>7.5</v>
      </c>
      <c r="I42" s="88">
        <v>1</v>
      </c>
      <c r="J42" s="88">
        <f t="shared" si="0"/>
        <v>217.5</v>
      </c>
      <c r="K42" s="88">
        <f t="shared" si="1"/>
        <v>29</v>
      </c>
      <c r="L42" s="88">
        <f t="shared" si="2"/>
        <v>188.5</v>
      </c>
    </row>
    <row r="43" spans="2:12" x14ac:dyDescent="0.3">
      <c r="B43" s="76">
        <v>43127</v>
      </c>
      <c r="C43" s="33" t="s">
        <v>341</v>
      </c>
      <c r="D43" s="33" t="s">
        <v>123</v>
      </c>
      <c r="E43" s="33">
        <v>180</v>
      </c>
      <c r="F43" s="40">
        <v>180</v>
      </c>
      <c r="G43" s="87" t="str" cm="1">
        <f t="array" ref="G43:I43">_xlfn.XLOOKUP(D43,Inputs!$C$6:$C$8,Inputs!$D$6:$F$8,"Not found")</f>
        <v>Meat Pie</v>
      </c>
      <c r="H43" s="88">
        <v>8</v>
      </c>
      <c r="I43" s="88">
        <v>1.2</v>
      </c>
      <c r="J43" s="88">
        <f t="shared" si="0"/>
        <v>1440</v>
      </c>
      <c r="K43" s="88">
        <f t="shared" si="1"/>
        <v>216</v>
      </c>
      <c r="L43" s="88">
        <f t="shared" si="2"/>
        <v>1224</v>
      </c>
    </row>
    <row r="44" spans="2:12" x14ac:dyDescent="0.3">
      <c r="B44" s="76">
        <v>43127</v>
      </c>
      <c r="C44" s="33" t="s">
        <v>341</v>
      </c>
      <c r="D44" s="33" t="s">
        <v>125</v>
      </c>
      <c r="E44" s="33">
        <v>75</v>
      </c>
      <c r="F44" s="40">
        <v>75</v>
      </c>
      <c r="G44" s="87" t="str" cm="1">
        <f t="array" ref="G44:I44">_xlfn.XLOOKUP(D44,Inputs!$C$6:$C$8,Inputs!$D$6:$F$8,"Not found")</f>
        <v>Meat Pie</v>
      </c>
      <c r="H44" s="88">
        <v>8.5</v>
      </c>
      <c r="I44" s="88">
        <v>1.95</v>
      </c>
      <c r="J44" s="88">
        <f t="shared" si="0"/>
        <v>637.5</v>
      </c>
      <c r="K44" s="88">
        <f t="shared" si="1"/>
        <v>146.25</v>
      </c>
      <c r="L44" s="88">
        <f t="shared" si="2"/>
        <v>491.25</v>
      </c>
    </row>
    <row r="45" spans="2:12" x14ac:dyDescent="0.3">
      <c r="B45" s="76">
        <v>43127</v>
      </c>
      <c r="C45" s="33" t="s">
        <v>341</v>
      </c>
      <c r="D45" s="33" t="s">
        <v>126</v>
      </c>
      <c r="E45" s="33">
        <v>30</v>
      </c>
      <c r="F45" s="40">
        <v>26</v>
      </c>
      <c r="G45" s="87" t="str" cm="1">
        <f t="array" ref="G45:I45">_xlfn.XLOOKUP(D45,Inputs!$C$6:$C$8,Inputs!$D$6:$F$8,"Not found")</f>
        <v>Veggie Pie</v>
      </c>
      <c r="H45" s="88">
        <v>7.5</v>
      </c>
      <c r="I45" s="88">
        <v>1</v>
      </c>
      <c r="J45" s="88">
        <f t="shared" si="0"/>
        <v>195</v>
      </c>
      <c r="K45" s="88">
        <f t="shared" si="1"/>
        <v>26</v>
      </c>
      <c r="L45" s="88">
        <f t="shared" si="2"/>
        <v>169</v>
      </c>
    </row>
    <row r="46" spans="2:12" x14ac:dyDescent="0.3">
      <c r="B46" s="76">
        <v>43130</v>
      </c>
      <c r="C46" s="33" t="s">
        <v>341</v>
      </c>
      <c r="D46" s="33" t="s">
        <v>123</v>
      </c>
      <c r="E46" s="33">
        <v>180</v>
      </c>
      <c r="F46" s="40">
        <v>168</v>
      </c>
      <c r="G46" s="87" t="str" cm="1">
        <f t="array" ref="G46:I46">_xlfn.XLOOKUP(D46,Inputs!$C$6:$C$8,Inputs!$D$6:$F$8,"Not found")</f>
        <v>Meat Pie</v>
      </c>
      <c r="H46" s="88">
        <v>8</v>
      </c>
      <c r="I46" s="88">
        <v>1.2</v>
      </c>
      <c r="J46" s="88">
        <f t="shared" si="0"/>
        <v>1344</v>
      </c>
      <c r="K46" s="88">
        <f t="shared" si="1"/>
        <v>201.6</v>
      </c>
      <c r="L46" s="88">
        <f t="shared" si="2"/>
        <v>1142.4000000000001</v>
      </c>
    </row>
    <row r="47" spans="2:12" x14ac:dyDescent="0.3">
      <c r="B47" s="76">
        <v>43130</v>
      </c>
      <c r="C47" s="33" t="s">
        <v>341</v>
      </c>
      <c r="D47" s="33" t="s">
        <v>125</v>
      </c>
      <c r="E47" s="33">
        <v>75</v>
      </c>
      <c r="F47" s="40">
        <v>73</v>
      </c>
      <c r="G47" s="87" t="str" cm="1">
        <f t="array" ref="G47:I47">_xlfn.XLOOKUP(D47,Inputs!$C$6:$C$8,Inputs!$D$6:$F$8,"Not found")</f>
        <v>Meat Pie</v>
      </c>
      <c r="H47" s="88">
        <v>8.5</v>
      </c>
      <c r="I47" s="88">
        <v>1.95</v>
      </c>
      <c r="J47" s="88">
        <f t="shared" si="0"/>
        <v>620.5</v>
      </c>
      <c r="K47" s="88">
        <f t="shared" si="1"/>
        <v>142.35</v>
      </c>
      <c r="L47" s="88">
        <f t="shared" si="2"/>
        <v>478.15</v>
      </c>
    </row>
    <row r="48" spans="2:12" x14ac:dyDescent="0.3">
      <c r="B48" s="76">
        <v>43130</v>
      </c>
      <c r="C48" s="33" t="s">
        <v>341</v>
      </c>
      <c r="D48" s="33" t="s">
        <v>126</v>
      </c>
      <c r="E48" s="33">
        <v>30</v>
      </c>
      <c r="F48" s="40">
        <v>24</v>
      </c>
      <c r="G48" s="87" t="str" cm="1">
        <f t="array" ref="G48:I48">_xlfn.XLOOKUP(D48,Inputs!$C$6:$C$8,Inputs!$D$6:$F$8,"Not found")</f>
        <v>Veggie Pie</v>
      </c>
      <c r="H48" s="88">
        <v>7.5</v>
      </c>
      <c r="I48" s="88">
        <v>1</v>
      </c>
      <c r="J48" s="88">
        <f t="shared" si="0"/>
        <v>180</v>
      </c>
      <c r="K48" s="88">
        <f t="shared" si="1"/>
        <v>24</v>
      </c>
      <c r="L48" s="88">
        <f t="shared" si="2"/>
        <v>156</v>
      </c>
    </row>
    <row r="49" spans="2:12" x14ac:dyDescent="0.3">
      <c r="B49" s="76">
        <v>43132</v>
      </c>
      <c r="C49" s="33" t="s">
        <v>341</v>
      </c>
      <c r="D49" s="33" t="s">
        <v>123</v>
      </c>
      <c r="E49" s="33">
        <v>180</v>
      </c>
      <c r="F49" s="40">
        <v>179</v>
      </c>
      <c r="G49" s="87" t="str" cm="1">
        <f t="array" ref="G49:I49">_xlfn.XLOOKUP(D49,Inputs!$C$6:$C$8,Inputs!$D$6:$F$8,"Not found")</f>
        <v>Meat Pie</v>
      </c>
      <c r="H49" s="88">
        <v>8</v>
      </c>
      <c r="I49" s="88">
        <v>1.2</v>
      </c>
      <c r="J49" s="88">
        <f t="shared" si="0"/>
        <v>1432</v>
      </c>
      <c r="K49" s="88">
        <f t="shared" si="1"/>
        <v>214.79999999999998</v>
      </c>
      <c r="L49" s="88">
        <f t="shared" si="2"/>
        <v>1217.2</v>
      </c>
    </row>
    <row r="50" spans="2:12" x14ac:dyDescent="0.3">
      <c r="B50" s="76">
        <v>43132</v>
      </c>
      <c r="C50" s="33" t="s">
        <v>341</v>
      </c>
      <c r="D50" s="33" t="s">
        <v>125</v>
      </c>
      <c r="E50" s="33">
        <v>75</v>
      </c>
      <c r="F50" s="40">
        <v>71</v>
      </c>
      <c r="G50" s="87" t="str" cm="1">
        <f t="array" ref="G50:I50">_xlfn.XLOOKUP(D50,Inputs!$C$6:$C$8,Inputs!$D$6:$F$8,"Not found")</f>
        <v>Meat Pie</v>
      </c>
      <c r="H50" s="88">
        <v>8.5</v>
      </c>
      <c r="I50" s="88">
        <v>1.95</v>
      </c>
      <c r="J50" s="88">
        <f t="shared" si="0"/>
        <v>603.5</v>
      </c>
      <c r="K50" s="88">
        <f t="shared" si="1"/>
        <v>138.44999999999999</v>
      </c>
      <c r="L50" s="88">
        <f t="shared" si="2"/>
        <v>465.05</v>
      </c>
    </row>
    <row r="51" spans="2:12" x14ac:dyDescent="0.3">
      <c r="B51" s="76">
        <v>43132</v>
      </c>
      <c r="C51" s="33" t="s">
        <v>341</v>
      </c>
      <c r="D51" s="33" t="s">
        <v>126</v>
      </c>
      <c r="E51" s="33">
        <v>30</v>
      </c>
      <c r="F51" s="40">
        <v>23</v>
      </c>
      <c r="G51" s="87" t="str" cm="1">
        <f t="array" ref="G51:I51">_xlfn.XLOOKUP(D51,Inputs!$C$6:$C$8,Inputs!$D$6:$F$8,"Not found")</f>
        <v>Veggie Pie</v>
      </c>
      <c r="H51" s="88">
        <v>7.5</v>
      </c>
      <c r="I51" s="88">
        <v>1</v>
      </c>
      <c r="J51" s="88">
        <f t="shared" si="0"/>
        <v>172.5</v>
      </c>
      <c r="K51" s="88">
        <f t="shared" si="1"/>
        <v>23</v>
      </c>
      <c r="L51" s="88">
        <f t="shared" si="2"/>
        <v>149.5</v>
      </c>
    </row>
    <row r="52" spans="2:12" x14ac:dyDescent="0.3">
      <c r="B52" s="76">
        <v>43134</v>
      </c>
      <c r="C52" s="33" t="s">
        <v>341</v>
      </c>
      <c r="D52" s="33" t="s">
        <v>123</v>
      </c>
      <c r="E52" s="33">
        <v>180</v>
      </c>
      <c r="F52" s="40">
        <v>180</v>
      </c>
      <c r="G52" s="87" t="str" cm="1">
        <f t="array" ref="G52:I52">_xlfn.XLOOKUP(D52,Inputs!$C$6:$C$8,Inputs!$D$6:$F$8,"Not found")</f>
        <v>Meat Pie</v>
      </c>
      <c r="H52" s="88">
        <v>8</v>
      </c>
      <c r="I52" s="88">
        <v>1.2</v>
      </c>
      <c r="J52" s="88">
        <f t="shared" si="0"/>
        <v>1440</v>
      </c>
      <c r="K52" s="88">
        <f t="shared" si="1"/>
        <v>216</v>
      </c>
      <c r="L52" s="88">
        <f t="shared" si="2"/>
        <v>1224</v>
      </c>
    </row>
    <row r="53" spans="2:12" x14ac:dyDescent="0.3">
      <c r="B53" s="76">
        <v>43134</v>
      </c>
      <c r="C53" s="33" t="s">
        <v>341</v>
      </c>
      <c r="D53" s="33" t="s">
        <v>125</v>
      </c>
      <c r="E53" s="33">
        <v>75</v>
      </c>
      <c r="F53" s="40">
        <v>75</v>
      </c>
      <c r="G53" s="87" t="str" cm="1">
        <f t="array" ref="G53:I53">_xlfn.XLOOKUP(D53,Inputs!$C$6:$C$8,Inputs!$D$6:$F$8,"Not found")</f>
        <v>Meat Pie</v>
      </c>
      <c r="H53" s="88">
        <v>8.5</v>
      </c>
      <c r="I53" s="88">
        <v>1.95</v>
      </c>
      <c r="J53" s="88">
        <f t="shared" si="0"/>
        <v>637.5</v>
      </c>
      <c r="K53" s="88">
        <f t="shared" si="1"/>
        <v>146.25</v>
      </c>
      <c r="L53" s="88">
        <f t="shared" si="2"/>
        <v>491.25</v>
      </c>
    </row>
    <row r="54" spans="2:12" x14ac:dyDescent="0.3">
      <c r="B54" s="76">
        <v>43134</v>
      </c>
      <c r="C54" s="33" t="s">
        <v>341</v>
      </c>
      <c r="D54" s="33" t="s">
        <v>126</v>
      </c>
      <c r="E54" s="33">
        <v>30</v>
      </c>
      <c r="F54" s="40">
        <v>30</v>
      </c>
      <c r="G54" s="87" t="str" cm="1">
        <f t="array" ref="G54:I54">_xlfn.XLOOKUP(D54,Inputs!$C$6:$C$8,Inputs!$D$6:$F$8,"Not found")</f>
        <v>Veggie Pie</v>
      </c>
      <c r="H54" s="88">
        <v>7.5</v>
      </c>
      <c r="I54" s="88">
        <v>1</v>
      </c>
      <c r="J54" s="88">
        <f t="shared" si="0"/>
        <v>225</v>
      </c>
      <c r="K54" s="88">
        <f t="shared" si="1"/>
        <v>30</v>
      </c>
      <c r="L54" s="88">
        <f t="shared" si="2"/>
        <v>195</v>
      </c>
    </row>
    <row r="55" spans="2:12" x14ac:dyDescent="0.3">
      <c r="B55" s="76">
        <v>43137</v>
      </c>
      <c r="C55" s="33" t="s">
        <v>341</v>
      </c>
      <c r="D55" s="33" t="s">
        <v>123</v>
      </c>
      <c r="E55" s="33">
        <v>180</v>
      </c>
      <c r="F55" s="40">
        <v>173</v>
      </c>
      <c r="G55" s="87" t="str" cm="1">
        <f t="array" ref="G55:I55">_xlfn.XLOOKUP(D55,Inputs!$C$6:$C$8,Inputs!$D$6:$F$8,"Not found")</f>
        <v>Meat Pie</v>
      </c>
      <c r="H55" s="88">
        <v>8</v>
      </c>
      <c r="I55" s="88">
        <v>1.2</v>
      </c>
      <c r="J55" s="88">
        <f t="shared" si="0"/>
        <v>1384</v>
      </c>
      <c r="K55" s="88">
        <f t="shared" si="1"/>
        <v>207.6</v>
      </c>
      <c r="L55" s="88">
        <f t="shared" si="2"/>
        <v>1176.4000000000001</v>
      </c>
    </row>
    <row r="56" spans="2:12" x14ac:dyDescent="0.3">
      <c r="B56" s="76">
        <v>43137</v>
      </c>
      <c r="C56" s="33" t="s">
        <v>341</v>
      </c>
      <c r="D56" s="33" t="s">
        <v>125</v>
      </c>
      <c r="E56" s="33">
        <v>75</v>
      </c>
      <c r="F56" s="40">
        <v>72</v>
      </c>
      <c r="G56" s="87" t="str" cm="1">
        <f t="array" ref="G56:I56">_xlfn.XLOOKUP(D56,Inputs!$C$6:$C$8,Inputs!$D$6:$F$8,"Not found")</f>
        <v>Meat Pie</v>
      </c>
      <c r="H56" s="88">
        <v>8.5</v>
      </c>
      <c r="I56" s="88">
        <v>1.95</v>
      </c>
      <c r="J56" s="88">
        <f t="shared" si="0"/>
        <v>612</v>
      </c>
      <c r="K56" s="88">
        <f t="shared" si="1"/>
        <v>140.4</v>
      </c>
      <c r="L56" s="88">
        <f t="shared" si="2"/>
        <v>471.6</v>
      </c>
    </row>
    <row r="57" spans="2:12" x14ac:dyDescent="0.3">
      <c r="B57" s="76">
        <v>43137</v>
      </c>
      <c r="C57" s="33" t="s">
        <v>341</v>
      </c>
      <c r="D57" s="33" t="s">
        <v>126</v>
      </c>
      <c r="E57" s="33">
        <v>30</v>
      </c>
      <c r="F57" s="40">
        <v>26</v>
      </c>
      <c r="G57" s="87" t="str" cm="1">
        <f t="array" ref="G57:I57">_xlfn.XLOOKUP(D57,Inputs!$C$6:$C$8,Inputs!$D$6:$F$8,"Not found")</f>
        <v>Veggie Pie</v>
      </c>
      <c r="H57" s="88">
        <v>7.5</v>
      </c>
      <c r="I57" s="88">
        <v>1</v>
      </c>
      <c r="J57" s="88">
        <f t="shared" si="0"/>
        <v>195</v>
      </c>
      <c r="K57" s="88">
        <f t="shared" si="1"/>
        <v>26</v>
      </c>
      <c r="L57" s="88">
        <f t="shared" si="2"/>
        <v>169</v>
      </c>
    </row>
    <row r="58" spans="2:12" x14ac:dyDescent="0.3">
      <c r="B58" s="76">
        <v>43139</v>
      </c>
      <c r="C58" s="33" t="s">
        <v>341</v>
      </c>
      <c r="D58" s="33" t="s">
        <v>123</v>
      </c>
      <c r="E58" s="33">
        <v>180</v>
      </c>
      <c r="F58" s="40">
        <v>178</v>
      </c>
      <c r="G58" s="87" t="str" cm="1">
        <f t="array" ref="G58:I58">_xlfn.XLOOKUP(D58,Inputs!$C$6:$C$8,Inputs!$D$6:$F$8,"Not found")</f>
        <v>Meat Pie</v>
      </c>
      <c r="H58" s="88">
        <v>8</v>
      </c>
      <c r="I58" s="88">
        <v>1.2</v>
      </c>
      <c r="J58" s="88">
        <f t="shared" si="0"/>
        <v>1424</v>
      </c>
      <c r="K58" s="88">
        <f t="shared" si="1"/>
        <v>213.6</v>
      </c>
      <c r="L58" s="88">
        <f t="shared" si="2"/>
        <v>1210.4000000000001</v>
      </c>
    </row>
    <row r="59" spans="2:12" x14ac:dyDescent="0.3">
      <c r="B59" s="76">
        <v>43139</v>
      </c>
      <c r="C59" s="33" t="s">
        <v>341</v>
      </c>
      <c r="D59" s="33" t="s">
        <v>125</v>
      </c>
      <c r="E59" s="33">
        <v>75</v>
      </c>
      <c r="F59" s="40">
        <v>74</v>
      </c>
      <c r="G59" s="87" t="str" cm="1">
        <f t="array" ref="G59:I59">_xlfn.XLOOKUP(D59,Inputs!$C$6:$C$8,Inputs!$D$6:$F$8,"Not found")</f>
        <v>Meat Pie</v>
      </c>
      <c r="H59" s="88">
        <v>8.5</v>
      </c>
      <c r="I59" s="88">
        <v>1.95</v>
      </c>
      <c r="J59" s="88">
        <f t="shared" si="0"/>
        <v>629</v>
      </c>
      <c r="K59" s="88">
        <f t="shared" si="1"/>
        <v>144.29999999999998</v>
      </c>
      <c r="L59" s="88">
        <f t="shared" si="2"/>
        <v>484.70000000000005</v>
      </c>
    </row>
    <row r="60" spans="2:12" x14ac:dyDescent="0.3">
      <c r="B60" s="76">
        <v>43139</v>
      </c>
      <c r="C60" s="33" t="s">
        <v>341</v>
      </c>
      <c r="D60" s="33" t="s">
        <v>126</v>
      </c>
      <c r="E60" s="33">
        <v>30</v>
      </c>
      <c r="F60" s="40">
        <v>29</v>
      </c>
      <c r="G60" s="87" t="str" cm="1">
        <f t="array" ref="G60:I60">_xlfn.XLOOKUP(D60,Inputs!$C$6:$C$8,Inputs!$D$6:$F$8,"Not found")</f>
        <v>Veggie Pie</v>
      </c>
      <c r="H60" s="88">
        <v>7.5</v>
      </c>
      <c r="I60" s="88">
        <v>1</v>
      </c>
      <c r="J60" s="88">
        <f t="shared" si="0"/>
        <v>217.5</v>
      </c>
      <c r="K60" s="88">
        <f t="shared" si="1"/>
        <v>29</v>
      </c>
      <c r="L60" s="88">
        <f t="shared" si="2"/>
        <v>188.5</v>
      </c>
    </row>
    <row r="61" spans="2:12" x14ac:dyDescent="0.3">
      <c r="B61" s="76">
        <v>43141</v>
      </c>
      <c r="C61" s="33" t="s">
        <v>341</v>
      </c>
      <c r="D61" s="33" t="s">
        <v>123</v>
      </c>
      <c r="E61" s="33">
        <v>180</v>
      </c>
      <c r="F61" s="40">
        <v>180</v>
      </c>
      <c r="G61" s="87" t="str" cm="1">
        <f t="array" ref="G61:I61">_xlfn.XLOOKUP(D61,Inputs!$C$6:$C$8,Inputs!$D$6:$F$8,"Not found")</f>
        <v>Meat Pie</v>
      </c>
      <c r="H61" s="88">
        <v>8</v>
      </c>
      <c r="I61" s="88">
        <v>1.2</v>
      </c>
      <c r="J61" s="88">
        <f t="shared" si="0"/>
        <v>1440</v>
      </c>
      <c r="K61" s="88">
        <f t="shared" si="1"/>
        <v>216</v>
      </c>
      <c r="L61" s="88">
        <f t="shared" si="2"/>
        <v>1224</v>
      </c>
    </row>
    <row r="62" spans="2:12" x14ac:dyDescent="0.3">
      <c r="B62" s="76">
        <v>43141</v>
      </c>
      <c r="C62" s="33" t="s">
        <v>341</v>
      </c>
      <c r="D62" s="33" t="s">
        <v>125</v>
      </c>
      <c r="E62" s="33">
        <v>75</v>
      </c>
      <c r="F62" s="40">
        <v>75</v>
      </c>
      <c r="G62" s="87" t="str" cm="1">
        <f t="array" ref="G62:I62">_xlfn.XLOOKUP(D62,Inputs!$C$6:$C$8,Inputs!$D$6:$F$8,"Not found")</f>
        <v>Meat Pie</v>
      </c>
      <c r="H62" s="88">
        <v>8.5</v>
      </c>
      <c r="I62" s="88">
        <v>1.95</v>
      </c>
      <c r="J62" s="88">
        <f t="shared" si="0"/>
        <v>637.5</v>
      </c>
      <c r="K62" s="88">
        <f t="shared" si="1"/>
        <v>146.25</v>
      </c>
      <c r="L62" s="88">
        <f t="shared" si="2"/>
        <v>491.25</v>
      </c>
    </row>
    <row r="63" spans="2:12" x14ac:dyDescent="0.3">
      <c r="B63" s="76">
        <v>43141</v>
      </c>
      <c r="C63" s="33" t="s">
        <v>341</v>
      </c>
      <c r="D63" s="33" t="s">
        <v>126</v>
      </c>
      <c r="E63" s="33">
        <v>30</v>
      </c>
      <c r="F63" s="40">
        <v>29</v>
      </c>
      <c r="G63" s="87" t="str" cm="1">
        <f t="array" ref="G63:I63">_xlfn.XLOOKUP(D63,Inputs!$C$6:$C$8,Inputs!$D$6:$F$8,"Not found")</f>
        <v>Veggie Pie</v>
      </c>
      <c r="H63" s="88">
        <v>7.5</v>
      </c>
      <c r="I63" s="88">
        <v>1</v>
      </c>
      <c r="J63" s="88">
        <f t="shared" si="0"/>
        <v>217.5</v>
      </c>
      <c r="K63" s="88">
        <f t="shared" si="1"/>
        <v>29</v>
      </c>
      <c r="L63" s="88">
        <f t="shared" si="2"/>
        <v>188.5</v>
      </c>
    </row>
    <row r="64" spans="2:12" x14ac:dyDescent="0.3">
      <c r="B64" s="76">
        <v>43144</v>
      </c>
      <c r="C64" s="33" t="s">
        <v>341</v>
      </c>
      <c r="D64" s="33" t="s">
        <v>123</v>
      </c>
      <c r="E64" s="33">
        <v>180</v>
      </c>
      <c r="F64" s="40">
        <v>163</v>
      </c>
      <c r="G64" s="87" t="str" cm="1">
        <f t="array" ref="G64:I64">_xlfn.XLOOKUP(D64,Inputs!$C$6:$C$8,Inputs!$D$6:$F$8,"Not found")</f>
        <v>Meat Pie</v>
      </c>
      <c r="H64" s="88">
        <v>8</v>
      </c>
      <c r="I64" s="88">
        <v>1.2</v>
      </c>
      <c r="J64" s="88">
        <f t="shared" si="0"/>
        <v>1304</v>
      </c>
      <c r="K64" s="88">
        <f t="shared" si="1"/>
        <v>195.6</v>
      </c>
      <c r="L64" s="88">
        <f t="shared" si="2"/>
        <v>1108.4000000000001</v>
      </c>
    </row>
    <row r="65" spans="2:12" x14ac:dyDescent="0.3">
      <c r="B65" s="76">
        <v>43144</v>
      </c>
      <c r="C65" s="33" t="s">
        <v>341</v>
      </c>
      <c r="D65" s="33" t="s">
        <v>125</v>
      </c>
      <c r="E65" s="33">
        <v>75</v>
      </c>
      <c r="F65" s="40">
        <v>71</v>
      </c>
      <c r="G65" s="87" t="str" cm="1">
        <f t="array" ref="G65:I65">_xlfn.XLOOKUP(D65,Inputs!$C$6:$C$8,Inputs!$D$6:$F$8,"Not found")</f>
        <v>Meat Pie</v>
      </c>
      <c r="H65" s="88">
        <v>8.5</v>
      </c>
      <c r="I65" s="88">
        <v>1.95</v>
      </c>
      <c r="J65" s="88">
        <f t="shared" si="0"/>
        <v>603.5</v>
      </c>
      <c r="K65" s="88">
        <f t="shared" si="1"/>
        <v>138.44999999999999</v>
      </c>
      <c r="L65" s="88">
        <f t="shared" si="2"/>
        <v>465.05</v>
      </c>
    </row>
    <row r="66" spans="2:12" x14ac:dyDescent="0.3">
      <c r="B66" s="76">
        <v>43144</v>
      </c>
      <c r="C66" s="33" t="s">
        <v>341</v>
      </c>
      <c r="D66" s="33" t="s">
        <v>126</v>
      </c>
      <c r="E66" s="33">
        <v>30</v>
      </c>
      <c r="F66" s="40">
        <v>27</v>
      </c>
      <c r="G66" s="87" t="str" cm="1">
        <f t="array" ref="G66:I66">_xlfn.XLOOKUP(D66,Inputs!$C$6:$C$8,Inputs!$D$6:$F$8,"Not found")</f>
        <v>Veggie Pie</v>
      </c>
      <c r="H66" s="88">
        <v>7.5</v>
      </c>
      <c r="I66" s="88">
        <v>1</v>
      </c>
      <c r="J66" s="88">
        <f t="shared" si="0"/>
        <v>202.5</v>
      </c>
      <c r="K66" s="88">
        <f t="shared" si="1"/>
        <v>27</v>
      </c>
      <c r="L66" s="88">
        <f t="shared" si="2"/>
        <v>175.5</v>
      </c>
    </row>
    <row r="67" spans="2:12" x14ac:dyDescent="0.3">
      <c r="B67" s="76">
        <v>43146</v>
      </c>
      <c r="C67" s="33" t="s">
        <v>341</v>
      </c>
      <c r="D67" s="33" t="s">
        <v>123</v>
      </c>
      <c r="E67" s="33">
        <v>180</v>
      </c>
      <c r="F67" s="40">
        <v>178</v>
      </c>
      <c r="G67" s="87" t="str" cm="1">
        <f t="array" ref="G67:I67">_xlfn.XLOOKUP(D67,Inputs!$C$6:$C$8,Inputs!$D$6:$F$8,"Not found")</f>
        <v>Meat Pie</v>
      </c>
      <c r="H67" s="88">
        <v>8</v>
      </c>
      <c r="I67" s="88">
        <v>1.2</v>
      </c>
      <c r="J67" s="88">
        <f t="shared" si="0"/>
        <v>1424</v>
      </c>
      <c r="K67" s="88">
        <f t="shared" si="1"/>
        <v>213.6</v>
      </c>
      <c r="L67" s="88">
        <f t="shared" si="2"/>
        <v>1210.4000000000001</v>
      </c>
    </row>
    <row r="68" spans="2:12" x14ac:dyDescent="0.3">
      <c r="B68" s="76">
        <v>43146</v>
      </c>
      <c r="C68" s="33" t="s">
        <v>341</v>
      </c>
      <c r="D68" s="33" t="s">
        <v>125</v>
      </c>
      <c r="E68" s="33">
        <v>75</v>
      </c>
      <c r="F68" s="40">
        <v>72</v>
      </c>
      <c r="G68" s="87" t="str" cm="1">
        <f t="array" ref="G68:I68">_xlfn.XLOOKUP(D68,Inputs!$C$6:$C$8,Inputs!$D$6:$F$8,"Not found")</f>
        <v>Meat Pie</v>
      </c>
      <c r="H68" s="88">
        <v>8.5</v>
      </c>
      <c r="I68" s="88">
        <v>1.95</v>
      </c>
      <c r="J68" s="88">
        <f t="shared" si="0"/>
        <v>612</v>
      </c>
      <c r="K68" s="88">
        <f t="shared" si="1"/>
        <v>140.4</v>
      </c>
      <c r="L68" s="88">
        <f t="shared" si="2"/>
        <v>471.6</v>
      </c>
    </row>
    <row r="69" spans="2:12" x14ac:dyDescent="0.3">
      <c r="B69" s="76">
        <v>43146</v>
      </c>
      <c r="C69" s="33" t="s">
        <v>341</v>
      </c>
      <c r="D69" s="33" t="s">
        <v>126</v>
      </c>
      <c r="E69" s="33">
        <v>30</v>
      </c>
      <c r="F69" s="40">
        <v>25</v>
      </c>
      <c r="G69" s="87" t="str" cm="1">
        <f t="array" ref="G69:I69">_xlfn.XLOOKUP(D69,Inputs!$C$6:$C$8,Inputs!$D$6:$F$8,"Not found")</f>
        <v>Veggie Pie</v>
      </c>
      <c r="H69" s="88">
        <v>7.5</v>
      </c>
      <c r="I69" s="88">
        <v>1</v>
      </c>
      <c r="J69" s="88">
        <f t="shared" si="0"/>
        <v>187.5</v>
      </c>
      <c r="K69" s="88">
        <f t="shared" si="1"/>
        <v>25</v>
      </c>
      <c r="L69" s="88">
        <f t="shared" si="2"/>
        <v>162.5</v>
      </c>
    </row>
    <row r="70" spans="2:12" x14ac:dyDescent="0.3">
      <c r="B70" s="76">
        <v>43148</v>
      </c>
      <c r="C70" s="33" t="s">
        <v>341</v>
      </c>
      <c r="D70" s="33" t="s">
        <v>123</v>
      </c>
      <c r="E70" s="33">
        <v>180</v>
      </c>
      <c r="F70" s="40">
        <v>180</v>
      </c>
      <c r="G70" s="87" t="str" cm="1">
        <f t="array" ref="G70:I70">_xlfn.XLOOKUP(D70,Inputs!$C$6:$C$8,Inputs!$D$6:$F$8,"Not found")</f>
        <v>Meat Pie</v>
      </c>
      <c r="H70" s="88">
        <v>8</v>
      </c>
      <c r="I70" s="88">
        <v>1.2</v>
      </c>
      <c r="J70" s="88">
        <f t="shared" si="0"/>
        <v>1440</v>
      </c>
      <c r="K70" s="88">
        <f t="shared" si="1"/>
        <v>216</v>
      </c>
      <c r="L70" s="88">
        <f t="shared" si="2"/>
        <v>1224</v>
      </c>
    </row>
    <row r="71" spans="2:12" x14ac:dyDescent="0.3">
      <c r="B71" s="76">
        <v>43148</v>
      </c>
      <c r="C71" s="33" t="s">
        <v>341</v>
      </c>
      <c r="D71" s="33" t="s">
        <v>125</v>
      </c>
      <c r="E71" s="33">
        <v>75</v>
      </c>
      <c r="F71" s="40">
        <v>75</v>
      </c>
      <c r="G71" s="87" t="str" cm="1">
        <f t="array" ref="G71:I71">_xlfn.XLOOKUP(D71,Inputs!$C$6:$C$8,Inputs!$D$6:$F$8,"Not found")</f>
        <v>Meat Pie</v>
      </c>
      <c r="H71" s="88">
        <v>8.5</v>
      </c>
      <c r="I71" s="88">
        <v>1.95</v>
      </c>
      <c r="J71" s="88">
        <f t="shared" si="0"/>
        <v>637.5</v>
      </c>
      <c r="K71" s="88">
        <f t="shared" si="1"/>
        <v>146.25</v>
      </c>
      <c r="L71" s="88">
        <f t="shared" si="2"/>
        <v>491.25</v>
      </c>
    </row>
    <row r="72" spans="2:12" x14ac:dyDescent="0.3">
      <c r="B72" s="76">
        <v>43148</v>
      </c>
      <c r="C72" s="33" t="s">
        <v>341</v>
      </c>
      <c r="D72" s="33" t="s">
        <v>126</v>
      </c>
      <c r="E72" s="33">
        <v>30</v>
      </c>
      <c r="F72" s="40">
        <v>29</v>
      </c>
      <c r="G72" s="87" t="str" cm="1">
        <f t="array" ref="G72:I72">_xlfn.XLOOKUP(D72,Inputs!$C$6:$C$8,Inputs!$D$6:$F$8,"Not found")</f>
        <v>Veggie Pie</v>
      </c>
      <c r="H72" s="88">
        <v>7.5</v>
      </c>
      <c r="I72" s="88">
        <v>1</v>
      </c>
      <c r="J72" s="88">
        <f t="shared" si="0"/>
        <v>217.5</v>
      </c>
      <c r="K72" s="88">
        <f t="shared" si="1"/>
        <v>29</v>
      </c>
      <c r="L72" s="88">
        <f t="shared" si="2"/>
        <v>188.5</v>
      </c>
    </row>
    <row r="73" spans="2:12" x14ac:dyDescent="0.3">
      <c r="B73" s="76">
        <v>43151</v>
      </c>
      <c r="C73" s="33" t="s">
        <v>341</v>
      </c>
      <c r="D73" s="33" t="s">
        <v>123</v>
      </c>
      <c r="E73" s="33">
        <v>180</v>
      </c>
      <c r="F73" s="40">
        <v>171</v>
      </c>
      <c r="G73" s="87" t="str" cm="1">
        <f t="array" ref="G73:I73">_xlfn.XLOOKUP(D73,Inputs!$C$6:$C$8,Inputs!$D$6:$F$8,"Not found")</f>
        <v>Meat Pie</v>
      </c>
      <c r="H73" s="88">
        <v>8</v>
      </c>
      <c r="I73" s="88">
        <v>1.2</v>
      </c>
      <c r="J73" s="88">
        <f t="shared" si="0"/>
        <v>1368</v>
      </c>
      <c r="K73" s="88">
        <f t="shared" si="1"/>
        <v>205.2</v>
      </c>
      <c r="L73" s="88">
        <f t="shared" si="2"/>
        <v>1162.8</v>
      </c>
    </row>
    <row r="74" spans="2:12" x14ac:dyDescent="0.3">
      <c r="B74" s="76">
        <v>43151</v>
      </c>
      <c r="C74" s="33" t="s">
        <v>341</v>
      </c>
      <c r="D74" s="33" t="s">
        <v>125</v>
      </c>
      <c r="E74" s="33">
        <v>75</v>
      </c>
      <c r="F74" s="40">
        <v>64</v>
      </c>
      <c r="G74" s="87" t="str" cm="1">
        <f t="array" ref="G74:I74">_xlfn.XLOOKUP(D74,Inputs!$C$6:$C$8,Inputs!$D$6:$F$8,"Not found")</f>
        <v>Meat Pie</v>
      </c>
      <c r="H74" s="88">
        <v>8.5</v>
      </c>
      <c r="I74" s="88">
        <v>1.95</v>
      </c>
      <c r="J74" s="88">
        <f t="shared" ref="J74:J137" si="3">F74 * H74</f>
        <v>544</v>
      </c>
      <c r="K74" s="88">
        <f t="shared" ref="K74:K137" si="4">F74 * I74</f>
        <v>124.8</v>
      </c>
      <c r="L74" s="88">
        <f t="shared" ref="L74:L137" si="5">J74 - K74</f>
        <v>419.2</v>
      </c>
    </row>
    <row r="75" spans="2:12" x14ac:dyDescent="0.3">
      <c r="B75" s="76">
        <v>43151</v>
      </c>
      <c r="C75" s="33" t="s">
        <v>341</v>
      </c>
      <c r="D75" s="33" t="s">
        <v>126</v>
      </c>
      <c r="E75" s="33">
        <v>30</v>
      </c>
      <c r="F75" s="40">
        <v>25</v>
      </c>
      <c r="G75" s="87" t="str" cm="1">
        <f t="array" ref="G75:I75">_xlfn.XLOOKUP(D75,Inputs!$C$6:$C$8,Inputs!$D$6:$F$8,"Not found")</f>
        <v>Veggie Pie</v>
      </c>
      <c r="H75" s="88">
        <v>7.5</v>
      </c>
      <c r="I75" s="88">
        <v>1</v>
      </c>
      <c r="J75" s="88">
        <f t="shared" si="3"/>
        <v>187.5</v>
      </c>
      <c r="K75" s="88">
        <f t="shared" si="4"/>
        <v>25</v>
      </c>
      <c r="L75" s="88">
        <f t="shared" si="5"/>
        <v>162.5</v>
      </c>
    </row>
    <row r="76" spans="2:12" x14ac:dyDescent="0.3">
      <c r="B76" s="76">
        <v>43153</v>
      </c>
      <c r="C76" s="33" t="s">
        <v>341</v>
      </c>
      <c r="D76" s="33" t="s">
        <v>123</v>
      </c>
      <c r="E76" s="33">
        <v>180</v>
      </c>
      <c r="F76" s="40">
        <v>179</v>
      </c>
      <c r="G76" s="87" t="str" cm="1">
        <f t="array" ref="G76:I76">_xlfn.XLOOKUP(D76,Inputs!$C$6:$C$8,Inputs!$D$6:$F$8,"Not found")</f>
        <v>Meat Pie</v>
      </c>
      <c r="H76" s="88">
        <v>8</v>
      </c>
      <c r="I76" s="88">
        <v>1.2</v>
      </c>
      <c r="J76" s="88">
        <f t="shared" si="3"/>
        <v>1432</v>
      </c>
      <c r="K76" s="88">
        <f t="shared" si="4"/>
        <v>214.79999999999998</v>
      </c>
      <c r="L76" s="88">
        <f t="shared" si="5"/>
        <v>1217.2</v>
      </c>
    </row>
    <row r="77" spans="2:12" x14ac:dyDescent="0.3">
      <c r="B77" s="76">
        <v>43153</v>
      </c>
      <c r="C77" s="33" t="s">
        <v>341</v>
      </c>
      <c r="D77" s="33" t="s">
        <v>125</v>
      </c>
      <c r="E77" s="33">
        <v>75</v>
      </c>
      <c r="F77" s="40">
        <v>74</v>
      </c>
      <c r="G77" s="87" t="str" cm="1">
        <f t="array" ref="G77:I77">_xlfn.XLOOKUP(D77,Inputs!$C$6:$C$8,Inputs!$D$6:$F$8,"Not found")</f>
        <v>Meat Pie</v>
      </c>
      <c r="H77" s="88">
        <v>8.5</v>
      </c>
      <c r="I77" s="88">
        <v>1.95</v>
      </c>
      <c r="J77" s="88">
        <f t="shared" si="3"/>
        <v>629</v>
      </c>
      <c r="K77" s="88">
        <f t="shared" si="4"/>
        <v>144.29999999999998</v>
      </c>
      <c r="L77" s="88">
        <f t="shared" si="5"/>
        <v>484.70000000000005</v>
      </c>
    </row>
    <row r="78" spans="2:12" x14ac:dyDescent="0.3">
      <c r="B78" s="76">
        <v>43153</v>
      </c>
      <c r="C78" s="33" t="s">
        <v>341</v>
      </c>
      <c r="D78" s="33" t="s">
        <v>126</v>
      </c>
      <c r="E78" s="33">
        <v>30</v>
      </c>
      <c r="F78" s="40">
        <v>23</v>
      </c>
      <c r="G78" s="87" t="str" cm="1">
        <f t="array" ref="G78:I78">_xlfn.XLOOKUP(D78,Inputs!$C$6:$C$8,Inputs!$D$6:$F$8,"Not found")</f>
        <v>Veggie Pie</v>
      </c>
      <c r="H78" s="88">
        <v>7.5</v>
      </c>
      <c r="I78" s="88">
        <v>1</v>
      </c>
      <c r="J78" s="88">
        <f t="shared" si="3"/>
        <v>172.5</v>
      </c>
      <c r="K78" s="88">
        <f t="shared" si="4"/>
        <v>23</v>
      </c>
      <c r="L78" s="88">
        <f t="shared" si="5"/>
        <v>149.5</v>
      </c>
    </row>
    <row r="79" spans="2:12" x14ac:dyDescent="0.3">
      <c r="B79" s="76">
        <v>43155</v>
      </c>
      <c r="C79" s="33" t="s">
        <v>341</v>
      </c>
      <c r="D79" s="33" t="s">
        <v>123</v>
      </c>
      <c r="E79" s="33">
        <v>180</v>
      </c>
      <c r="F79" s="40">
        <v>180</v>
      </c>
      <c r="G79" s="87" t="str" cm="1">
        <f t="array" ref="G79:I79">_xlfn.XLOOKUP(D79,Inputs!$C$6:$C$8,Inputs!$D$6:$F$8,"Not found")</f>
        <v>Meat Pie</v>
      </c>
      <c r="H79" s="88">
        <v>8</v>
      </c>
      <c r="I79" s="88">
        <v>1.2</v>
      </c>
      <c r="J79" s="88">
        <f t="shared" si="3"/>
        <v>1440</v>
      </c>
      <c r="K79" s="88">
        <f t="shared" si="4"/>
        <v>216</v>
      </c>
      <c r="L79" s="88">
        <f t="shared" si="5"/>
        <v>1224</v>
      </c>
    </row>
    <row r="80" spans="2:12" x14ac:dyDescent="0.3">
      <c r="B80" s="76">
        <v>43155</v>
      </c>
      <c r="C80" s="33" t="s">
        <v>341</v>
      </c>
      <c r="D80" s="33" t="s">
        <v>125</v>
      </c>
      <c r="E80" s="33">
        <v>75</v>
      </c>
      <c r="F80" s="40">
        <v>75</v>
      </c>
      <c r="G80" s="87" t="str" cm="1">
        <f t="array" ref="G80:I80">_xlfn.XLOOKUP(D80,Inputs!$C$6:$C$8,Inputs!$D$6:$F$8,"Not found")</f>
        <v>Meat Pie</v>
      </c>
      <c r="H80" s="88">
        <v>8.5</v>
      </c>
      <c r="I80" s="88">
        <v>1.95</v>
      </c>
      <c r="J80" s="88">
        <f t="shared" si="3"/>
        <v>637.5</v>
      </c>
      <c r="K80" s="88">
        <f t="shared" si="4"/>
        <v>146.25</v>
      </c>
      <c r="L80" s="88">
        <f t="shared" si="5"/>
        <v>491.25</v>
      </c>
    </row>
    <row r="81" spans="2:12" x14ac:dyDescent="0.3">
      <c r="B81" s="76">
        <v>43155</v>
      </c>
      <c r="C81" s="33" t="s">
        <v>341</v>
      </c>
      <c r="D81" s="33" t="s">
        <v>126</v>
      </c>
      <c r="E81" s="33">
        <v>30</v>
      </c>
      <c r="F81" s="40">
        <v>30</v>
      </c>
      <c r="G81" s="87" t="str" cm="1">
        <f t="array" ref="G81:I81">_xlfn.XLOOKUP(D81,Inputs!$C$6:$C$8,Inputs!$D$6:$F$8,"Not found")</f>
        <v>Veggie Pie</v>
      </c>
      <c r="H81" s="88">
        <v>7.5</v>
      </c>
      <c r="I81" s="88">
        <v>1</v>
      </c>
      <c r="J81" s="88">
        <f t="shared" si="3"/>
        <v>225</v>
      </c>
      <c r="K81" s="88">
        <f t="shared" si="4"/>
        <v>30</v>
      </c>
      <c r="L81" s="88">
        <f t="shared" si="5"/>
        <v>195</v>
      </c>
    </row>
    <row r="82" spans="2:12" x14ac:dyDescent="0.3">
      <c r="B82" s="76">
        <v>43158</v>
      </c>
      <c r="C82" s="33" t="s">
        <v>341</v>
      </c>
      <c r="D82" s="33" t="s">
        <v>123</v>
      </c>
      <c r="E82" s="33">
        <v>180</v>
      </c>
      <c r="F82" s="40">
        <v>178</v>
      </c>
      <c r="G82" s="87" t="str" cm="1">
        <f t="array" ref="G82:I82">_xlfn.XLOOKUP(D82,Inputs!$C$6:$C$8,Inputs!$D$6:$F$8,"Not found")</f>
        <v>Meat Pie</v>
      </c>
      <c r="H82" s="88">
        <v>8</v>
      </c>
      <c r="I82" s="88">
        <v>1.2</v>
      </c>
      <c r="J82" s="88">
        <f t="shared" si="3"/>
        <v>1424</v>
      </c>
      <c r="K82" s="88">
        <f t="shared" si="4"/>
        <v>213.6</v>
      </c>
      <c r="L82" s="88">
        <f t="shared" si="5"/>
        <v>1210.4000000000001</v>
      </c>
    </row>
    <row r="83" spans="2:12" x14ac:dyDescent="0.3">
      <c r="B83" s="76">
        <v>43158</v>
      </c>
      <c r="C83" s="33" t="s">
        <v>341</v>
      </c>
      <c r="D83" s="33" t="s">
        <v>125</v>
      </c>
      <c r="E83" s="33">
        <v>75</v>
      </c>
      <c r="F83" s="40">
        <v>64</v>
      </c>
      <c r="G83" s="87" t="str" cm="1">
        <f t="array" ref="G83:I83">_xlfn.XLOOKUP(D83,Inputs!$C$6:$C$8,Inputs!$D$6:$F$8,"Not found")</f>
        <v>Meat Pie</v>
      </c>
      <c r="H83" s="88">
        <v>8.5</v>
      </c>
      <c r="I83" s="88">
        <v>1.95</v>
      </c>
      <c r="J83" s="88">
        <f t="shared" si="3"/>
        <v>544</v>
      </c>
      <c r="K83" s="88">
        <f t="shared" si="4"/>
        <v>124.8</v>
      </c>
      <c r="L83" s="88">
        <f t="shared" si="5"/>
        <v>419.2</v>
      </c>
    </row>
    <row r="84" spans="2:12" x14ac:dyDescent="0.3">
      <c r="B84" s="76">
        <v>43158</v>
      </c>
      <c r="C84" s="33" t="s">
        <v>341</v>
      </c>
      <c r="D84" s="33" t="s">
        <v>126</v>
      </c>
      <c r="E84" s="33">
        <v>30</v>
      </c>
      <c r="F84" s="40">
        <v>22</v>
      </c>
      <c r="G84" s="87" t="str" cm="1">
        <f t="array" ref="G84:I84">_xlfn.XLOOKUP(D84,Inputs!$C$6:$C$8,Inputs!$D$6:$F$8,"Not found")</f>
        <v>Veggie Pie</v>
      </c>
      <c r="H84" s="88">
        <v>7.5</v>
      </c>
      <c r="I84" s="88">
        <v>1</v>
      </c>
      <c r="J84" s="88">
        <f t="shared" si="3"/>
        <v>165</v>
      </c>
      <c r="K84" s="88">
        <f t="shared" si="4"/>
        <v>22</v>
      </c>
      <c r="L84" s="88">
        <f t="shared" si="5"/>
        <v>143</v>
      </c>
    </row>
    <row r="85" spans="2:12" x14ac:dyDescent="0.3">
      <c r="B85" s="76">
        <v>43160</v>
      </c>
      <c r="C85" s="33" t="s">
        <v>341</v>
      </c>
      <c r="D85" s="33" t="s">
        <v>123</v>
      </c>
      <c r="E85" s="33">
        <v>180</v>
      </c>
      <c r="F85" s="40">
        <v>178</v>
      </c>
      <c r="G85" s="87" t="str" cm="1">
        <f t="array" ref="G85:I85">_xlfn.XLOOKUP(D85,Inputs!$C$6:$C$8,Inputs!$D$6:$F$8,"Not found")</f>
        <v>Meat Pie</v>
      </c>
      <c r="H85" s="88">
        <v>8</v>
      </c>
      <c r="I85" s="88">
        <v>1.2</v>
      </c>
      <c r="J85" s="88">
        <f t="shared" si="3"/>
        <v>1424</v>
      </c>
      <c r="K85" s="88">
        <f t="shared" si="4"/>
        <v>213.6</v>
      </c>
      <c r="L85" s="88">
        <f t="shared" si="5"/>
        <v>1210.4000000000001</v>
      </c>
    </row>
    <row r="86" spans="2:12" x14ac:dyDescent="0.3">
      <c r="B86" s="76">
        <v>43160</v>
      </c>
      <c r="C86" s="33" t="s">
        <v>341</v>
      </c>
      <c r="D86" s="33" t="s">
        <v>125</v>
      </c>
      <c r="E86" s="33">
        <v>75</v>
      </c>
      <c r="F86" s="40">
        <v>70</v>
      </c>
      <c r="G86" s="87" t="str" cm="1">
        <f t="array" ref="G86:I86">_xlfn.XLOOKUP(D86,Inputs!$C$6:$C$8,Inputs!$D$6:$F$8,"Not found")</f>
        <v>Meat Pie</v>
      </c>
      <c r="H86" s="88">
        <v>8.5</v>
      </c>
      <c r="I86" s="88">
        <v>1.95</v>
      </c>
      <c r="J86" s="88">
        <f t="shared" si="3"/>
        <v>595</v>
      </c>
      <c r="K86" s="88">
        <f t="shared" si="4"/>
        <v>136.5</v>
      </c>
      <c r="L86" s="88">
        <f t="shared" si="5"/>
        <v>458.5</v>
      </c>
    </row>
    <row r="87" spans="2:12" x14ac:dyDescent="0.3">
      <c r="B87" s="76">
        <v>43160</v>
      </c>
      <c r="C87" s="33" t="s">
        <v>341</v>
      </c>
      <c r="D87" s="33" t="s">
        <v>126</v>
      </c>
      <c r="E87" s="33">
        <v>30</v>
      </c>
      <c r="F87" s="40">
        <v>23</v>
      </c>
      <c r="G87" s="87" t="str" cm="1">
        <f t="array" ref="G87:I87">_xlfn.XLOOKUP(D87,Inputs!$C$6:$C$8,Inputs!$D$6:$F$8,"Not found")</f>
        <v>Veggie Pie</v>
      </c>
      <c r="H87" s="88">
        <v>7.5</v>
      </c>
      <c r="I87" s="88">
        <v>1</v>
      </c>
      <c r="J87" s="88">
        <f t="shared" si="3"/>
        <v>172.5</v>
      </c>
      <c r="K87" s="88">
        <f t="shared" si="4"/>
        <v>23</v>
      </c>
      <c r="L87" s="88">
        <f t="shared" si="5"/>
        <v>149.5</v>
      </c>
    </row>
    <row r="88" spans="2:12" x14ac:dyDescent="0.3">
      <c r="B88" s="76">
        <v>43162</v>
      </c>
      <c r="C88" s="33" t="s">
        <v>341</v>
      </c>
      <c r="D88" s="33" t="s">
        <v>123</v>
      </c>
      <c r="E88" s="33">
        <v>180</v>
      </c>
      <c r="F88" s="40">
        <v>180</v>
      </c>
      <c r="G88" s="87" t="str" cm="1">
        <f t="array" ref="G88:I88">_xlfn.XLOOKUP(D88,Inputs!$C$6:$C$8,Inputs!$D$6:$F$8,"Not found")</f>
        <v>Meat Pie</v>
      </c>
      <c r="H88" s="88">
        <v>8</v>
      </c>
      <c r="I88" s="88">
        <v>1.2</v>
      </c>
      <c r="J88" s="88">
        <f t="shared" si="3"/>
        <v>1440</v>
      </c>
      <c r="K88" s="88">
        <f t="shared" si="4"/>
        <v>216</v>
      </c>
      <c r="L88" s="88">
        <f t="shared" si="5"/>
        <v>1224</v>
      </c>
    </row>
    <row r="89" spans="2:12" x14ac:dyDescent="0.3">
      <c r="B89" s="76">
        <v>43162</v>
      </c>
      <c r="C89" s="33" t="s">
        <v>341</v>
      </c>
      <c r="D89" s="33" t="s">
        <v>125</v>
      </c>
      <c r="E89" s="33">
        <v>75</v>
      </c>
      <c r="F89" s="40">
        <v>75</v>
      </c>
      <c r="G89" s="87" t="str" cm="1">
        <f t="array" ref="G89:I89">_xlfn.XLOOKUP(D89,Inputs!$C$6:$C$8,Inputs!$D$6:$F$8,"Not found")</f>
        <v>Meat Pie</v>
      </c>
      <c r="H89" s="88">
        <v>8.5</v>
      </c>
      <c r="I89" s="88">
        <v>1.95</v>
      </c>
      <c r="J89" s="88">
        <f t="shared" si="3"/>
        <v>637.5</v>
      </c>
      <c r="K89" s="88">
        <f t="shared" si="4"/>
        <v>146.25</v>
      </c>
      <c r="L89" s="88">
        <f t="shared" si="5"/>
        <v>491.25</v>
      </c>
    </row>
    <row r="90" spans="2:12" x14ac:dyDescent="0.3">
      <c r="B90" s="76">
        <v>43162</v>
      </c>
      <c r="C90" s="33" t="s">
        <v>341</v>
      </c>
      <c r="D90" s="33" t="s">
        <v>126</v>
      </c>
      <c r="E90" s="33">
        <v>30</v>
      </c>
      <c r="F90" s="40">
        <v>30</v>
      </c>
      <c r="G90" s="87" t="str" cm="1">
        <f t="array" ref="G90:I90">_xlfn.XLOOKUP(D90,Inputs!$C$6:$C$8,Inputs!$D$6:$F$8,"Not found")</f>
        <v>Veggie Pie</v>
      </c>
      <c r="H90" s="88">
        <v>7.5</v>
      </c>
      <c r="I90" s="88">
        <v>1</v>
      </c>
      <c r="J90" s="88">
        <f t="shared" si="3"/>
        <v>225</v>
      </c>
      <c r="K90" s="88">
        <f t="shared" si="4"/>
        <v>30</v>
      </c>
      <c r="L90" s="88">
        <f t="shared" si="5"/>
        <v>195</v>
      </c>
    </row>
    <row r="91" spans="2:12" x14ac:dyDescent="0.3">
      <c r="B91" s="76">
        <v>43165</v>
      </c>
      <c r="C91" s="33" t="s">
        <v>341</v>
      </c>
      <c r="D91" s="33" t="s">
        <v>123</v>
      </c>
      <c r="E91" s="33">
        <v>180</v>
      </c>
      <c r="F91" s="40">
        <v>174</v>
      </c>
      <c r="G91" s="87" t="str" cm="1">
        <f t="array" ref="G91:I91">_xlfn.XLOOKUP(D91,Inputs!$C$6:$C$8,Inputs!$D$6:$F$8,"Not found")</f>
        <v>Meat Pie</v>
      </c>
      <c r="H91" s="88">
        <v>8</v>
      </c>
      <c r="I91" s="88">
        <v>1.2</v>
      </c>
      <c r="J91" s="88">
        <f t="shared" si="3"/>
        <v>1392</v>
      </c>
      <c r="K91" s="88">
        <f t="shared" si="4"/>
        <v>208.79999999999998</v>
      </c>
      <c r="L91" s="88">
        <f t="shared" si="5"/>
        <v>1183.2</v>
      </c>
    </row>
    <row r="92" spans="2:12" x14ac:dyDescent="0.3">
      <c r="B92" s="76">
        <v>43165</v>
      </c>
      <c r="C92" s="33" t="s">
        <v>341</v>
      </c>
      <c r="D92" s="33" t="s">
        <v>125</v>
      </c>
      <c r="E92" s="33">
        <v>75</v>
      </c>
      <c r="F92" s="40">
        <v>72</v>
      </c>
      <c r="G92" s="87" t="str" cm="1">
        <f t="array" ref="G92:I92">_xlfn.XLOOKUP(D92,Inputs!$C$6:$C$8,Inputs!$D$6:$F$8,"Not found")</f>
        <v>Meat Pie</v>
      </c>
      <c r="H92" s="88">
        <v>8.5</v>
      </c>
      <c r="I92" s="88">
        <v>1.95</v>
      </c>
      <c r="J92" s="88">
        <f t="shared" si="3"/>
        <v>612</v>
      </c>
      <c r="K92" s="88">
        <f t="shared" si="4"/>
        <v>140.4</v>
      </c>
      <c r="L92" s="88">
        <f t="shared" si="5"/>
        <v>471.6</v>
      </c>
    </row>
    <row r="93" spans="2:12" x14ac:dyDescent="0.3">
      <c r="B93" s="76">
        <v>43165</v>
      </c>
      <c r="C93" s="33" t="s">
        <v>341</v>
      </c>
      <c r="D93" s="33" t="s">
        <v>126</v>
      </c>
      <c r="E93" s="33">
        <v>30</v>
      </c>
      <c r="F93" s="40">
        <v>22</v>
      </c>
      <c r="G93" s="87" t="str" cm="1">
        <f t="array" ref="G93:I93">_xlfn.XLOOKUP(D93,Inputs!$C$6:$C$8,Inputs!$D$6:$F$8,"Not found")</f>
        <v>Veggie Pie</v>
      </c>
      <c r="H93" s="88">
        <v>7.5</v>
      </c>
      <c r="I93" s="88">
        <v>1</v>
      </c>
      <c r="J93" s="88">
        <f t="shared" si="3"/>
        <v>165</v>
      </c>
      <c r="K93" s="88">
        <f t="shared" si="4"/>
        <v>22</v>
      </c>
      <c r="L93" s="88">
        <f t="shared" si="5"/>
        <v>143</v>
      </c>
    </row>
    <row r="94" spans="2:12" x14ac:dyDescent="0.3">
      <c r="B94" s="76">
        <v>43167</v>
      </c>
      <c r="C94" s="33" t="s">
        <v>341</v>
      </c>
      <c r="D94" s="33" t="s">
        <v>123</v>
      </c>
      <c r="E94" s="33">
        <v>180</v>
      </c>
      <c r="F94" s="40">
        <v>180</v>
      </c>
      <c r="G94" s="87" t="str" cm="1">
        <f t="array" ref="G94:I94">_xlfn.XLOOKUP(D94,Inputs!$C$6:$C$8,Inputs!$D$6:$F$8,"Not found")</f>
        <v>Meat Pie</v>
      </c>
      <c r="H94" s="88">
        <v>8</v>
      </c>
      <c r="I94" s="88">
        <v>1.2</v>
      </c>
      <c r="J94" s="88">
        <f t="shared" si="3"/>
        <v>1440</v>
      </c>
      <c r="K94" s="88">
        <f t="shared" si="4"/>
        <v>216</v>
      </c>
      <c r="L94" s="88">
        <f t="shared" si="5"/>
        <v>1224</v>
      </c>
    </row>
    <row r="95" spans="2:12" x14ac:dyDescent="0.3">
      <c r="B95" s="76">
        <v>43167</v>
      </c>
      <c r="C95" s="33" t="s">
        <v>341</v>
      </c>
      <c r="D95" s="33" t="s">
        <v>125</v>
      </c>
      <c r="E95" s="33">
        <v>75</v>
      </c>
      <c r="F95" s="40">
        <v>72</v>
      </c>
      <c r="G95" s="87" t="str" cm="1">
        <f t="array" ref="G95:I95">_xlfn.XLOOKUP(D95,Inputs!$C$6:$C$8,Inputs!$D$6:$F$8,"Not found")</f>
        <v>Meat Pie</v>
      </c>
      <c r="H95" s="88">
        <v>8.5</v>
      </c>
      <c r="I95" s="88">
        <v>1.95</v>
      </c>
      <c r="J95" s="88">
        <f t="shared" si="3"/>
        <v>612</v>
      </c>
      <c r="K95" s="88">
        <f t="shared" si="4"/>
        <v>140.4</v>
      </c>
      <c r="L95" s="88">
        <f t="shared" si="5"/>
        <v>471.6</v>
      </c>
    </row>
    <row r="96" spans="2:12" x14ac:dyDescent="0.3">
      <c r="B96" s="76">
        <v>43167</v>
      </c>
      <c r="C96" s="33" t="s">
        <v>341</v>
      </c>
      <c r="D96" s="33" t="s">
        <v>126</v>
      </c>
      <c r="E96" s="33">
        <v>30</v>
      </c>
      <c r="F96" s="40">
        <v>28</v>
      </c>
      <c r="G96" s="87" t="str" cm="1">
        <f t="array" ref="G96:I96">_xlfn.XLOOKUP(D96,Inputs!$C$6:$C$8,Inputs!$D$6:$F$8,"Not found")</f>
        <v>Veggie Pie</v>
      </c>
      <c r="H96" s="88">
        <v>7.5</v>
      </c>
      <c r="I96" s="88">
        <v>1</v>
      </c>
      <c r="J96" s="88">
        <f t="shared" si="3"/>
        <v>210</v>
      </c>
      <c r="K96" s="88">
        <f t="shared" si="4"/>
        <v>28</v>
      </c>
      <c r="L96" s="88">
        <f t="shared" si="5"/>
        <v>182</v>
      </c>
    </row>
    <row r="97" spans="2:12" x14ac:dyDescent="0.3">
      <c r="B97" s="76">
        <v>43169</v>
      </c>
      <c r="C97" s="33" t="s">
        <v>341</v>
      </c>
      <c r="D97" s="33" t="s">
        <v>123</v>
      </c>
      <c r="E97" s="33">
        <v>180</v>
      </c>
      <c r="F97" s="40">
        <v>180</v>
      </c>
      <c r="G97" s="87" t="str" cm="1">
        <f t="array" ref="G97:I97">_xlfn.XLOOKUP(D97,Inputs!$C$6:$C$8,Inputs!$D$6:$F$8,"Not found")</f>
        <v>Meat Pie</v>
      </c>
      <c r="H97" s="88">
        <v>8</v>
      </c>
      <c r="I97" s="88">
        <v>1.2</v>
      </c>
      <c r="J97" s="88">
        <f t="shared" si="3"/>
        <v>1440</v>
      </c>
      <c r="K97" s="88">
        <f t="shared" si="4"/>
        <v>216</v>
      </c>
      <c r="L97" s="88">
        <f t="shared" si="5"/>
        <v>1224</v>
      </c>
    </row>
    <row r="98" spans="2:12" x14ac:dyDescent="0.3">
      <c r="B98" s="76">
        <v>43169</v>
      </c>
      <c r="C98" s="33" t="s">
        <v>341</v>
      </c>
      <c r="D98" s="33" t="s">
        <v>125</v>
      </c>
      <c r="E98" s="33">
        <v>75</v>
      </c>
      <c r="F98" s="40">
        <v>75</v>
      </c>
      <c r="G98" s="87" t="str" cm="1">
        <f t="array" ref="G98:I98">_xlfn.XLOOKUP(D98,Inputs!$C$6:$C$8,Inputs!$D$6:$F$8,"Not found")</f>
        <v>Meat Pie</v>
      </c>
      <c r="H98" s="88">
        <v>8.5</v>
      </c>
      <c r="I98" s="88">
        <v>1.95</v>
      </c>
      <c r="J98" s="88">
        <f t="shared" si="3"/>
        <v>637.5</v>
      </c>
      <c r="K98" s="88">
        <f t="shared" si="4"/>
        <v>146.25</v>
      </c>
      <c r="L98" s="88">
        <f t="shared" si="5"/>
        <v>491.25</v>
      </c>
    </row>
    <row r="99" spans="2:12" x14ac:dyDescent="0.3">
      <c r="B99" s="76">
        <v>43169</v>
      </c>
      <c r="C99" s="33" t="s">
        <v>341</v>
      </c>
      <c r="D99" s="33" t="s">
        <v>126</v>
      </c>
      <c r="E99" s="33">
        <v>30</v>
      </c>
      <c r="F99" s="40">
        <v>25</v>
      </c>
      <c r="G99" s="87" t="str" cm="1">
        <f t="array" ref="G99:I99">_xlfn.XLOOKUP(D99,Inputs!$C$6:$C$8,Inputs!$D$6:$F$8,"Not found")</f>
        <v>Veggie Pie</v>
      </c>
      <c r="H99" s="88">
        <v>7.5</v>
      </c>
      <c r="I99" s="88">
        <v>1</v>
      </c>
      <c r="J99" s="88">
        <f t="shared" si="3"/>
        <v>187.5</v>
      </c>
      <c r="K99" s="88">
        <f t="shared" si="4"/>
        <v>25</v>
      </c>
      <c r="L99" s="88">
        <f t="shared" si="5"/>
        <v>162.5</v>
      </c>
    </row>
    <row r="100" spans="2:12" x14ac:dyDescent="0.3">
      <c r="B100" s="76">
        <v>43172</v>
      </c>
      <c r="C100" s="33" t="s">
        <v>341</v>
      </c>
      <c r="D100" s="33" t="s">
        <v>123</v>
      </c>
      <c r="E100" s="33">
        <v>180</v>
      </c>
      <c r="F100" s="40">
        <v>178</v>
      </c>
      <c r="G100" s="87" t="str" cm="1">
        <f t="array" ref="G100:I100">_xlfn.XLOOKUP(D100,Inputs!$C$6:$C$8,Inputs!$D$6:$F$8,"Not found")</f>
        <v>Meat Pie</v>
      </c>
      <c r="H100" s="88">
        <v>8</v>
      </c>
      <c r="I100" s="88">
        <v>1.2</v>
      </c>
      <c r="J100" s="88">
        <f t="shared" si="3"/>
        <v>1424</v>
      </c>
      <c r="K100" s="88">
        <f t="shared" si="4"/>
        <v>213.6</v>
      </c>
      <c r="L100" s="88">
        <f t="shared" si="5"/>
        <v>1210.4000000000001</v>
      </c>
    </row>
    <row r="101" spans="2:12" x14ac:dyDescent="0.3">
      <c r="B101" s="76">
        <v>43172</v>
      </c>
      <c r="C101" s="33" t="s">
        <v>341</v>
      </c>
      <c r="D101" s="33" t="s">
        <v>125</v>
      </c>
      <c r="E101" s="33">
        <v>75</v>
      </c>
      <c r="F101" s="40">
        <v>72</v>
      </c>
      <c r="G101" s="87" t="str" cm="1">
        <f t="array" ref="G101:I101">_xlfn.XLOOKUP(D101,Inputs!$C$6:$C$8,Inputs!$D$6:$F$8,"Not found")</f>
        <v>Meat Pie</v>
      </c>
      <c r="H101" s="88">
        <v>8.5</v>
      </c>
      <c r="I101" s="88">
        <v>1.95</v>
      </c>
      <c r="J101" s="88">
        <f t="shared" si="3"/>
        <v>612</v>
      </c>
      <c r="K101" s="88">
        <f t="shared" si="4"/>
        <v>140.4</v>
      </c>
      <c r="L101" s="88">
        <f t="shared" si="5"/>
        <v>471.6</v>
      </c>
    </row>
    <row r="102" spans="2:12" x14ac:dyDescent="0.3">
      <c r="B102" s="76">
        <v>43172</v>
      </c>
      <c r="C102" s="33" t="s">
        <v>341</v>
      </c>
      <c r="D102" s="33" t="s">
        <v>126</v>
      </c>
      <c r="E102" s="33">
        <v>30</v>
      </c>
      <c r="F102" s="40">
        <v>21</v>
      </c>
      <c r="G102" s="87" t="str" cm="1">
        <f t="array" ref="G102:I102">_xlfn.XLOOKUP(D102,Inputs!$C$6:$C$8,Inputs!$D$6:$F$8,"Not found")</f>
        <v>Veggie Pie</v>
      </c>
      <c r="H102" s="88">
        <v>7.5</v>
      </c>
      <c r="I102" s="88">
        <v>1</v>
      </c>
      <c r="J102" s="88">
        <f t="shared" si="3"/>
        <v>157.5</v>
      </c>
      <c r="K102" s="88">
        <f t="shared" si="4"/>
        <v>21</v>
      </c>
      <c r="L102" s="88">
        <f t="shared" si="5"/>
        <v>136.5</v>
      </c>
    </row>
    <row r="103" spans="2:12" x14ac:dyDescent="0.3">
      <c r="B103" s="76">
        <v>43174</v>
      </c>
      <c r="C103" s="33" t="s">
        <v>341</v>
      </c>
      <c r="D103" s="33" t="s">
        <v>123</v>
      </c>
      <c r="E103" s="33">
        <v>180</v>
      </c>
      <c r="F103" s="40">
        <v>180</v>
      </c>
      <c r="G103" s="87" t="str" cm="1">
        <f t="array" ref="G103:I103">_xlfn.XLOOKUP(D103,Inputs!$C$6:$C$8,Inputs!$D$6:$F$8,"Not found")</f>
        <v>Meat Pie</v>
      </c>
      <c r="H103" s="88">
        <v>8</v>
      </c>
      <c r="I103" s="88">
        <v>1.2</v>
      </c>
      <c r="J103" s="88">
        <f t="shared" si="3"/>
        <v>1440</v>
      </c>
      <c r="K103" s="88">
        <f t="shared" si="4"/>
        <v>216</v>
      </c>
      <c r="L103" s="88">
        <f t="shared" si="5"/>
        <v>1224</v>
      </c>
    </row>
    <row r="104" spans="2:12" x14ac:dyDescent="0.3">
      <c r="B104" s="76">
        <v>43174</v>
      </c>
      <c r="C104" s="33" t="s">
        <v>341</v>
      </c>
      <c r="D104" s="33" t="s">
        <v>125</v>
      </c>
      <c r="E104" s="33">
        <v>75</v>
      </c>
      <c r="F104" s="40">
        <v>72</v>
      </c>
      <c r="G104" s="87" t="str" cm="1">
        <f t="array" ref="G104:I104">_xlfn.XLOOKUP(D104,Inputs!$C$6:$C$8,Inputs!$D$6:$F$8,"Not found")</f>
        <v>Meat Pie</v>
      </c>
      <c r="H104" s="88">
        <v>8.5</v>
      </c>
      <c r="I104" s="88">
        <v>1.95</v>
      </c>
      <c r="J104" s="88">
        <f t="shared" si="3"/>
        <v>612</v>
      </c>
      <c r="K104" s="88">
        <f t="shared" si="4"/>
        <v>140.4</v>
      </c>
      <c r="L104" s="88">
        <f t="shared" si="5"/>
        <v>471.6</v>
      </c>
    </row>
    <row r="105" spans="2:12" x14ac:dyDescent="0.3">
      <c r="B105" s="76">
        <v>43174</v>
      </c>
      <c r="C105" s="33" t="s">
        <v>341</v>
      </c>
      <c r="D105" s="33" t="s">
        <v>126</v>
      </c>
      <c r="E105" s="33">
        <v>30</v>
      </c>
      <c r="F105" s="40">
        <v>27</v>
      </c>
      <c r="G105" s="87" t="str" cm="1">
        <f t="array" ref="G105:I105">_xlfn.XLOOKUP(D105,Inputs!$C$6:$C$8,Inputs!$D$6:$F$8,"Not found")</f>
        <v>Veggie Pie</v>
      </c>
      <c r="H105" s="88">
        <v>7.5</v>
      </c>
      <c r="I105" s="88">
        <v>1</v>
      </c>
      <c r="J105" s="88">
        <f t="shared" si="3"/>
        <v>202.5</v>
      </c>
      <c r="K105" s="88">
        <f t="shared" si="4"/>
        <v>27</v>
      </c>
      <c r="L105" s="88">
        <f t="shared" si="5"/>
        <v>175.5</v>
      </c>
    </row>
    <row r="106" spans="2:12" x14ac:dyDescent="0.3">
      <c r="B106" s="76">
        <v>43176</v>
      </c>
      <c r="C106" s="33" t="s">
        <v>341</v>
      </c>
      <c r="D106" s="33" t="s">
        <v>123</v>
      </c>
      <c r="E106" s="33">
        <v>180</v>
      </c>
      <c r="F106" s="40">
        <v>180</v>
      </c>
      <c r="G106" s="87" t="str" cm="1">
        <f t="array" ref="G106:I106">_xlfn.XLOOKUP(D106,Inputs!$C$6:$C$8,Inputs!$D$6:$F$8,"Not found")</f>
        <v>Meat Pie</v>
      </c>
      <c r="H106" s="88">
        <v>8</v>
      </c>
      <c r="I106" s="88">
        <v>1.2</v>
      </c>
      <c r="J106" s="88">
        <f t="shared" si="3"/>
        <v>1440</v>
      </c>
      <c r="K106" s="88">
        <f t="shared" si="4"/>
        <v>216</v>
      </c>
      <c r="L106" s="88">
        <f t="shared" si="5"/>
        <v>1224</v>
      </c>
    </row>
    <row r="107" spans="2:12" x14ac:dyDescent="0.3">
      <c r="B107" s="76">
        <v>43176</v>
      </c>
      <c r="C107" s="33" t="s">
        <v>341</v>
      </c>
      <c r="D107" s="33" t="s">
        <v>125</v>
      </c>
      <c r="E107" s="33">
        <v>75</v>
      </c>
      <c r="F107" s="40">
        <v>75</v>
      </c>
      <c r="G107" s="87" t="str" cm="1">
        <f t="array" ref="G107:I107">_xlfn.XLOOKUP(D107,Inputs!$C$6:$C$8,Inputs!$D$6:$F$8,"Not found")</f>
        <v>Meat Pie</v>
      </c>
      <c r="H107" s="88">
        <v>8.5</v>
      </c>
      <c r="I107" s="88">
        <v>1.95</v>
      </c>
      <c r="J107" s="88">
        <f t="shared" si="3"/>
        <v>637.5</v>
      </c>
      <c r="K107" s="88">
        <f t="shared" si="4"/>
        <v>146.25</v>
      </c>
      <c r="L107" s="88">
        <f t="shared" si="5"/>
        <v>491.25</v>
      </c>
    </row>
    <row r="108" spans="2:12" x14ac:dyDescent="0.3">
      <c r="B108" s="76">
        <v>43176</v>
      </c>
      <c r="C108" s="33" t="s">
        <v>341</v>
      </c>
      <c r="D108" s="33" t="s">
        <v>126</v>
      </c>
      <c r="E108" s="33">
        <v>30</v>
      </c>
      <c r="F108" s="40">
        <v>28</v>
      </c>
      <c r="G108" s="87" t="str" cm="1">
        <f t="array" ref="G108:I108">_xlfn.XLOOKUP(D108,Inputs!$C$6:$C$8,Inputs!$D$6:$F$8,"Not found")</f>
        <v>Veggie Pie</v>
      </c>
      <c r="H108" s="88">
        <v>7.5</v>
      </c>
      <c r="I108" s="88">
        <v>1</v>
      </c>
      <c r="J108" s="88">
        <f t="shared" si="3"/>
        <v>210</v>
      </c>
      <c r="K108" s="88">
        <f t="shared" si="4"/>
        <v>28</v>
      </c>
      <c r="L108" s="88">
        <f t="shared" si="5"/>
        <v>182</v>
      </c>
    </row>
    <row r="109" spans="2:12" x14ac:dyDescent="0.3">
      <c r="B109" s="76">
        <v>43179</v>
      </c>
      <c r="C109" s="33" t="s">
        <v>341</v>
      </c>
      <c r="D109" s="33" t="s">
        <v>123</v>
      </c>
      <c r="E109" s="33">
        <v>180</v>
      </c>
      <c r="F109" s="40">
        <v>178</v>
      </c>
      <c r="G109" s="87" t="str" cm="1">
        <f t="array" ref="G109:I109">_xlfn.XLOOKUP(D109,Inputs!$C$6:$C$8,Inputs!$D$6:$F$8,"Not found")</f>
        <v>Meat Pie</v>
      </c>
      <c r="H109" s="88">
        <v>8</v>
      </c>
      <c r="I109" s="88">
        <v>1.2</v>
      </c>
      <c r="J109" s="88">
        <f t="shared" si="3"/>
        <v>1424</v>
      </c>
      <c r="K109" s="88">
        <f t="shared" si="4"/>
        <v>213.6</v>
      </c>
      <c r="L109" s="88">
        <f t="shared" si="5"/>
        <v>1210.4000000000001</v>
      </c>
    </row>
    <row r="110" spans="2:12" x14ac:dyDescent="0.3">
      <c r="B110" s="76">
        <v>43179</v>
      </c>
      <c r="C110" s="33" t="s">
        <v>341</v>
      </c>
      <c r="D110" s="33" t="s">
        <v>125</v>
      </c>
      <c r="E110" s="33">
        <v>75</v>
      </c>
      <c r="F110" s="40">
        <v>74</v>
      </c>
      <c r="G110" s="87" t="str" cm="1">
        <f t="array" ref="G110:I110">_xlfn.XLOOKUP(D110,Inputs!$C$6:$C$8,Inputs!$D$6:$F$8,"Not found")</f>
        <v>Meat Pie</v>
      </c>
      <c r="H110" s="88">
        <v>8.5</v>
      </c>
      <c r="I110" s="88">
        <v>1.95</v>
      </c>
      <c r="J110" s="88">
        <f t="shared" si="3"/>
        <v>629</v>
      </c>
      <c r="K110" s="88">
        <f t="shared" si="4"/>
        <v>144.29999999999998</v>
      </c>
      <c r="L110" s="88">
        <f t="shared" si="5"/>
        <v>484.70000000000005</v>
      </c>
    </row>
    <row r="111" spans="2:12" x14ac:dyDescent="0.3">
      <c r="B111" s="76">
        <v>43179</v>
      </c>
      <c r="C111" s="33" t="s">
        <v>341</v>
      </c>
      <c r="D111" s="33" t="s">
        <v>126</v>
      </c>
      <c r="E111" s="33">
        <v>30</v>
      </c>
      <c r="F111" s="40">
        <v>20</v>
      </c>
      <c r="G111" s="87" t="str" cm="1">
        <f t="array" ref="G111:I111">_xlfn.XLOOKUP(D111,Inputs!$C$6:$C$8,Inputs!$D$6:$F$8,"Not found")</f>
        <v>Veggie Pie</v>
      </c>
      <c r="H111" s="88">
        <v>7.5</v>
      </c>
      <c r="I111" s="88">
        <v>1</v>
      </c>
      <c r="J111" s="88">
        <f t="shared" si="3"/>
        <v>150</v>
      </c>
      <c r="K111" s="88">
        <f t="shared" si="4"/>
        <v>20</v>
      </c>
      <c r="L111" s="88">
        <f t="shared" si="5"/>
        <v>130</v>
      </c>
    </row>
    <row r="112" spans="2:12" x14ac:dyDescent="0.3">
      <c r="B112" s="76">
        <v>43181</v>
      </c>
      <c r="C112" s="33" t="s">
        <v>341</v>
      </c>
      <c r="D112" s="33" t="s">
        <v>123</v>
      </c>
      <c r="E112" s="33">
        <v>180</v>
      </c>
      <c r="F112" s="40">
        <v>178</v>
      </c>
      <c r="G112" s="87" t="str" cm="1">
        <f t="array" ref="G112:I112">_xlfn.XLOOKUP(D112,Inputs!$C$6:$C$8,Inputs!$D$6:$F$8,"Not found")</f>
        <v>Meat Pie</v>
      </c>
      <c r="H112" s="88">
        <v>8</v>
      </c>
      <c r="I112" s="88">
        <v>1.2</v>
      </c>
      <c r="J112" s="88">
        <f t="shared" si="3"/>
        <v>1424</v>
      </c>
      <c r="K112" s="88">
        <f t="shared" si="4"/>
        <v>213.6</v>
      </c>
      <c r="L112" s="88">
        <f t="shared" si="5"/>
        <v>1210.4000000000001</v>
      </c>
    </row>
    <row r="113" spans="2:12" x14ac:dyDescent="0.3">
      <c r="B113" s="76">
        <v>43181</v>
      </c>
      <c r="C113" s="33" t="s">
        <v>341</v>
      </c>
      <c r="D113" s="33" t="s">
        <v>125</v>
      </c>
      <c r="E113" s="33">
        <v>75</v>
      </c>
      <c r="F113" s="40">
        <v>69</v>
      </c>
      <c r="G113" s="87" t="str" cm="1">
        <f t="array" ref="G113:I113">_xlfn.XLOOKUP(D113,Inputs!$C$6:$C$8,Inputs!$D$6:$F$8,"Not found")</f>
        <v>Meat Pie</v>
      </c>
      <c r="H113" s="88">
        <v>8.5</v>
      </c>
      <c r="I113" s="88">
        <v>1.95</v>
      </c>
      <c r="J113" s="88">
        <f t="shared" si="3"/>
        <v>586.5</v>
      </c>
      <c r="K113" s="88">
        <f t="shared" si="4"/>
        <v>134.54999999999998</v>
      </c>
      <c r="L113" s="88">
        <f t="shared" si="5"/>
        <v>451.95000000000005</v>
      </c>
    </row>
    <row r="114" spans="2:12" x14ac:dyDescent="0.3">
      <c r="B114" s="76">
        <v>43181</v>
      </c>
      <c r="C114" s="33" t="s">
        <v>341</v>
      </c>
      <c r="D114" s="33" t="s">
        <v>126</v>
      </c>
      <c r="E114" s="33">
        <v>30</v>
      </c>
      <c r="F114" s="40">
        <v>27</v>
      </c>
      <c r="G114" s="87" t="str" cm="1">
        <f t="array" ref="G114:I114">_xlfn.XLOOKUP(D114,Inputs!$C$6:$C$8,Inputs!$D$6:$F$8,"Not found")</f>
        <v>Veggie Pie</v>
      </c>
      <c r="H114" s="88">
        <v>7.5</v>
      </c>
      <c r="I114" s="88">
        <v>1</v>
      </c>
      <c r="J114" s="88">
        <f t="shared" si="3"/>
        <v>202.5</v>
      </c>
      <c r="K114" s="88">
        <f t="shared" si="4"/>
        <v>27</v>
      </c>
      <c r="L114" s="88">
        <f t="shared" si="5"/>
        <v>175.5</v>
      </c>
    </row>
    <row r="115" spans="2:12" x14ac:dyDescent="0.3">
      <c r="B115" s="76">
        <v>43183</v>
      </c>
      <c r="C115" s="33" t="s">
        <v>341</v>
      </c>
      <c r="D115" s="33" t="s">
        <v>123</v>
      </c>
      <c r="E115" s="33">
        <v>180</v>
      </c>
      <c r="F115" s="40">
        <v>180</v>
      </c>
      <c r="G115" s="87" t="str" cm="1">
        <f t="array" ref="G115:I115">_xlfn.XLOOKUP(D115,Inputs!$C$6:$C$8,Inputs!$D$6:$F$8,"Not found")</f>
        <v>Meat Pie</v>
      </c>
      <c r="H115" s="88">
        <v>8</v>
      </c>
      <c r="I115" s="88">
        <v>1.2</v>
      </c>
      <c r="J115" s="88">
        <f t="shared" si="3"/>
        <v>1440</v>
      </c>
      <c r="K115" s="88">
        <f t="shared" si="4"/>
        <v>216</v>
      </c>
      <c r="L115" s="88">
        <f t="shared" si="5"/>
        <v>1224</v>
      </c>
    </row>
    <row r="116" spans="2:12" x14ac:dyDescent="0.3">
      <c r="B116" s="76">
        <v>43183</v>
      </c>
      <c r="C116" s="33" t="s">
        <v>341</v>
      </c>
      <c r="D116" s="33" t="s">
        <v>125</v>
      </c>
      <c r="E116" s="33">
        <v>75</v>
      </c>
      <c r="F116" s="40">
        <v>75</v>
      </c>
      <c r="G116" s="87" t="str" cm="1">
        <f t="array" ref="G116:I116">_xlfn.XLOOKUP(D116,Inputs!$C$6:$C$8,Inputs!$D$6:$F$8,"Not found")</f>
        <v>Meat Pie</v>
      </c>
      <c r="H116" s="88">
        <v>8.5</v>
      </c>
      <c r="I116" s="88">
        <v>1.95</v>
      </c>
      <c r="J116" s="88">
        <f t="shared" si="3"/>
        <v>637.5</v>
      </c>
      <c r="K116" s="88">
        <f t="shared" si="4"/>
        <v>146.25</v>
      </c>
      <c r="L116" s="88">
        <f t="shared" si="5"/>
        <v>491.25</v>
      </c>
    </row>
    <row r="117" spans="2:12" x14ac:dyDescent="0.3">
      <c r="B117" s="76">
        <v>43183</v>
      </c>
      <c r="C117" s="33" t="s">
        <v>341</v>
      </c>
      <c r="D117" s="33" t="s">
        <v>126</v>
      </c>
      <c r="E117" s="33">
        <v>30</v>
      </c>
      <c r="F117" s="40">
        <v>30</v>
      </c>
      <c r="G117" s="87" t="str" cm="1">
        <f t="array" ref="G117:I117">_xlfn.XLOOKUP(D117,Inputs!$C$6:$C$8,Inputs!$D$6:$F$8,"Not found")</f>
        <v>Veggie Pie</v>
      </c>
      <c r="H117" s="88">
        <v>7.5</v>
      </c>
      <c r="I117" s="88">
        <v>1</v>
      </c>
      <c r="J117" s="88">
        <f t="shared" si="3"/>
        <v>225</v>
      </c>
      <c r="K117" s="88">
        <f t="shared" si="4"/>
        <v>30</v>
      </c>
      <c r="L117" s="88">
        <f t="shared" si="5"/>
        <v>195</v>
      </c>
    </row>
    <row r="118" spans="2:12" x14ac:dyDescent="0.3">
      <c r="B118" s="76">
        <v>43186</v>
      </c>
      <c r="C118" s="33" t="s">
        <v>341</v>
      </c>
      <c r="D118" s="33" t="s">
        <v>123</v>
      </c>
      <c r="E118" s="33">
        <v>180</v>
      </c>
      <c r="F118" s="40">
        <v>178</v>
      </c>
      <c r="G118" s="87" t="str" cm="1">
        <f t="array" ref="G118:I118">_xlfn.XLOOKUP(D118,Inputs!$C$6:$C$8,Inputs!$D$6:$F$8,"Not found")</f>
        <v>Meat Pie</v>
      </c>
      <c r="H118" s="88">
        <v>8</v>
      </c>
      <c r="I118" s="88">
        <v>1.2</v>
      </c>
      <c r="J118" s="88">
        <f t="shared" si="3"/>
        <v>1424</v>
      </c>
      <c r="K118" s="88">
        <f t="shared" si="4"/>
        <v>213.6</v>
      </c>
      <c r="L118" s="88">
        <f t="shared" si="5"/>
        <v>1210.4000000000001</v>
      </c>
    </row>
    <row r="119" spans="2:12" x14ac:dyDescent="0.3">
      <c r="B119" s="76">
        <v>43186</v>
      </c>
      <c r="C119" s="33" t="s">
        <v>341</v>
      </c>
      <c r="D119" s="33" t="s">
        <v>125</v>
      </c>
      <c r="E119" s="33">
        <v>75</v>
      </c>
      <c r="F119" s="40">
        <v>72</v>
      </c>
      <c r="G119" s="87" t="str" cm="1">
        <f t="array" ref="G119:I119">_xlfn.XLOOKUP(D119,Inputs!$C$6:$C$8,Inputs!$D$6:$F$8,"Not found")</f>
        <v>Meat Pie</v>
      </c>
      <c r="H119" s="88">
        <v>8.5</v>
      </c>
      <c r="I119" s="88">
        <v>1.95</v>
      </c>
      <c r="J119" s="88">
        <f t="shared" si="3"/>
        <v>612</v>
      </c>
      <c r="K119" s="88">
        <f t="shared" si="4"/>
        <v>140.4</v>
      </c>
      <c r="L119" s="88">
        <f t="shared" si="5"/>
        <v>471.6</v>
      </c>
    </row>
    <row r="120" spans="2:12" x14ac:dyDescent="0.3">
      <c r="B120" s="76">
        <v>43186</v>
      </c>
      <c r="C120" s="33" t="s">
        <v>341</v>
      </c>
      <c r="D120" s="33" t="s">
        <v>126</v>
      </c>
      <c r="E120" s="33">
        <v>30</v>
      </c>
      <c r="F120" s="40">
        <v>23</v>
      </c>
      <c r="G120" s="87" t="str" cm="1">
        <f t="array" ref="G120:I120">_xlfn.XLOOKUP(D120,Inputs!$C$6:$C$8,Inputs!$D$6:$F$8,"Not found")</f>
        <v>Veggie Pie</v>
      </c>
      <c r="H120" s="88">
        <v>7.5</v>
      </c>
      <c r="I120" s="88">
        <v>1</v>
      </c>
      <c r="J120" s="88">
        <f t="shared" si="3"/>
        <v>172.5</v>
      </c>
      <c r="K120" s="88">
        <f t="shared" si="4"/>
        <v>23</v>
      </c>
      <c r="L120" s="88">
        <f t="shared" si="5"/>
        <v>149.5</v>
      </c>
    </row>
    <row r="121" spans="2:12" x14ac:dyDescent="0.3">
      <c r="B121" s="76">
        <v>43188</v>
      </c>
      <c r="C121" s="33" t="s">
        <v>341</v>
      </c>
      <c r="D121" s="33" t="s">
        <v>123</v>
      </c>
      <c r="E121" s="33">
        <v>180</v>
      </c>
      <c r="F121" s="40">
        <v>180</v>
      </c>
      <c r="G121" s="87" t="str" cm="1">
        <f t="array" ref="G121:I121">_xlfn.XLOOKUP(D121,Inputs!$C$6:$C$8,Inputs!$D$6:$F$8,"Not found")</f>
        <v>Meat Pie</v>
      </c>
      <c r="H121" s="88">
        <v>8</v>
      </c>
      <c r="I121" s="88">
        <v>1.2</v>
      </c>
      <c r="J121" s="88">
        <f t="shared" si="3"/>
        <v>1440</v>
      </c>
      <c r="K121" s="88">
        <f t="shared" si="4"/>
        <v>216</v>
      </c>
      <c r="L121" s="88">
        <f t="shared" si="5"/>
        <v>1224</v>
      </c>
    </row>
    <row r="122" spans="2:12" x14ac:dyDescent="0.3">
      <c r="B122" s="76">
        <v>43188</v>
      </c>
      <c r="C122" s="33" t="s">
        <v>341</v>
      </c>
      <c r="D122" s="33" t="s">
        <v>125</v>
      </c>
      <c r="E122" s="33">
        <v>75</v>
      </c>
      <c r="F122" s="40">
        <v>74</v>
      </c>
      <c r="G122" s="87" t="str" cm="1">
        <f t="array" ref="G122:I122">_xlfn.XLOOKUP(D122,Inputs!$C$6:$C$8,Inputs!$D$6:$F$8,"Not found")</f>
        <v>Meat Pie</v>
      </c>
      <c r="H122" s="88">
        <v>8.5</v>
      </c>
      <c r="I122" s="88">
        <v>1.95</v>
      </c>
      <c r="J122" s="88">
        <f t="shared" si="3"/>
        <v>629</v>
      </c>
      <c r="K122" s="88">
        <f t="shared" si="4"/>
        <v>144.29999999999998</v>
      </c>
      <c r="L122" s="88">
        <f t="shared" si="5"/>
        <v>484.70000000000005</v>
      </c>
    </row>
    <row r="123" spans="2:12" x14ac:dyDescent="0.3">
      <c r="B123" s="76">
        <v>43188</v>
      </c>
      <c r="C123" s="33" t="s">
        <v>341</v>
      </c>
      <c r="D123" s="33" t="s">
        <v>126</v>
      </c>
      <c r="E123" s="33">
        <v>30</v>
      </c>
      <c r="F123" s="40">
        <v>27</v>
      </c>
      <c r="G123" s="87" t="str" cm="1">
        <f t="array" ref="G123:I123">_xlfn.XLOOKUP(D123,Inputs!$C$6:$C$8,Inputs!$D$6:$F$8,"Not found")</f>
        <v>Veggie Pie</v>
      </c>
      <c r="H123" s="88">
        <v>7.5</v>
      </c>
      <c r="I123" s="88">
        <v>1</v>
      </c>
      <c r="J123" s="88">
        <f t="shared" si="3"/>
        <v>202.5</v>
      </c>
      <c r="K123" s="88">
        <f t="shared" si="4"/>
        <v>27</v>
      </c>
      <c r="L123" s="88">
        <f t="shared" si="5"/>
        <v>175.5</v>
      </c>
    </row>
    <row r="124" spans="2:12" x14ac:dyDescent="0.3">
      <c r="B124" s="76">
        <v>43190</v>
      </c>
      <c r="C124" s="33" t="s">
        <v>341</v>
      </c>
      <c r="D124" s="33" t="s">
        <v>123</v>
      </c>
      <c r="E124" s="33">
        <v>180</v>
      </c>
      <c r="F124" s="40">
        <v>180</v>
      </c>
      <c r="G124" s="87" t="str" cm="1">
        <f t="array" ref="G124:I124">_xlfn.XLOOKUP(D124,Inputs!$C$6:$C$8,Inputs!$D$6:$F$8,"Not found")</f>
        <v>Meat Pie</v>
      </c>
      <c r="H124" s="88">
        <v>8</v>
      </c>
      <c r="I124" s="88">
        <v>1.2</v>
      </c>
      <c r="J124" s="88">
        <f t="shared" si="3"/>
        <v>1440</v>
      </c>
      <c r="K124" s="88">
        <f t="shared" si="4"/>
        <v>216</v>
      </c>
      <c r="L124" s="88">
        <f t="shared" si="5"/>
        <v>1224</v>
      </c>
    </row>
    <row r="125" spans="2:12" x14ac:dyDescent="0.3">
      <c r="B125" s="76">
        <v>43190</v>
      </c>
      <c r="C125" s="33" t="s">
        <v>341</v>
      </c>
      <c r="D125" s="33" t="s">
        <v>125</v>
      </c>
      <c r="E125" s="33">
        <v>75</v>
      </c>
      <c r="F125" s="40">
        <v>74</v>
      </c>
      <c r="G125" s="87" t="str" cm="1">
        <f t="array" ref="G125:I125">_xlfn.XLOOKUP(D125,Inputs!$C$6:$C$8,Inputs!$D$6:$F$8,"Not found")</f>
        <v>Meat Pie</v>
      </c>
      <c r="H125" s="88">
        <v>8.5</v>
      </c>
      <c r="I125" s="88">
        <v>1.95</v>
      </c>
      <c r="J125" s="88">
        <f t="shared" si="3"/>
        <v>629</v>
      </c>
      <c r="K125" s="88">
        <f t="shared" si="4"/>
        <v>144.29999999999998</v>
      </c>
      <c r="L125" s="88">
        <f t="shared" si="5"/>
        <v>484.70000000000005</v>
      </c>
    </row>
    <row r="126" spans="2:12" x14ac:dyDescent="0.3">
      <c r="B126" s="76">
        <v>43190</v>
      </c>
      <c r="C126" s="33" t="s">
        <v>341</v>
      </c>
      <c r="D126" s="33" t="s">
        <v>126</v>
      </c>
      <c r="E126" s="33">
        <v>30</v>
      </c>
      <c r="F126" s="40">
        <v>27</v>
      </c>
      <c r="G126" s="87" t="str" cm="1">
        <f t="array" ref="G126:I126">_xlfn.XLOOKUP(D126,Inputs!$C$6:$C$8,Inputs!$D$6:$F$8,"Not found")</f>
        <v>Veggie Pie</v>
      </c>
      <c r="H126" s="88">
        <v>7.5</v>
      </c>
      <c r="I126" s="88">
        <v>1</v>
      </c>
      <c r="J126" s="88">
        <f t="shared" si="3"/>
        <v>202.5</v>
      </c>
      <c r="K126" s="88">
        <f t="shared" si="4"/>
        <v>27</v>
      </c>
      <c r="L126" s="88">
        <f t="shared" si="5"/>
        <v>175.5</v>
      </c>
    </row>
    <row r="127" spans="2:12" x14ac:dyDescent="0.3">
      <c r="B127" s="76">
        <v>43193</v>
      </c>
      <c r="C127" s="33" t="s">
        <v>341</v>
      </c>
      <c r="D127" s="33" t="s">
        <v>123</v>
      </c>
      <c r="E127" s="33">
        <v>180</v>
      </c>
      <c r="F127" s="40">
        <v>174</v>
      </c>
      <c r="G127" s="87" t="str" cm="1">
        <f t="array" ref="G127:I127">_xlfn.XLOOKUP(D127,Inputs!$C$6:$C$8,Inputs!$D$6:$F$8,"Not found")</f>
        <v>Meat Pie</v>
      </c>
      <c r="H127" s="88">
        <v>8</v>
      </c>
      <c r="I127" s="88">
        <v>1.2</v>
      </c>
      <c r="J127" s="88">
        <f t="shared" si="3"/>
        <v>1392</v>
      </c>
      <c r="K127" s="88">
        <f t="shared" si="4"/>
        <v>208.79999999999998</v>
      </c>
      <c r="L127" s="88">
        <f t="shared" si="5"/>
        <v>1183.2</v>
      </c>
    </row>
    <row r="128" spans="2:12" x14ac:dyDescent="0.3">
      <c r="B128" s="76">
        <v>43193</v>
      </c>
      <c r="C128" s="33" t="s">
        <v>341</v>
      </c>
      <c r="D128" s="33" t="s">
        <v>125</v>
      </c>
      <c r="E128" s="33">
        <v>75</v>
      </c>
      <c r="F128" s="40">
        <v>71</v>
      </c>
      <c r="G128" s="87" t="str" cm="1">
        <f t="array" ref="G128:I128">_xlfn.XLOOKUP(D128,Inputs!$C$6:$C$8,Inputs!$D$6:$F$8,"Not found")</f>
        <v>Meat Pie</v>
      </c>
      <c r="H128" s="88">
        <v>8.5</v>
      </c>
      <c r="I128" s="88">
        <v>1.95</v>
      </c>
      <c r="J128" s="88">
        <f t="shared" si="3"/>
        <v>603.5</v>
      </c>
      <c r="K128" s="88">
        <f t="shared" si="4"/>
        <v>138.44999999999999</v>
      </c>
      <c r="L128" s="88">
        <f t="shared" si="5"/>
        <v>465.05</v>
      </c>
    </row>
    <row r="129" spans="2:12" x14ac:dyDescent="0.3">
      <c r="B129" s="76">
        <v>43193</v>
      </c>
      <c r="C129" s="33" t="s">
        <v>341</v>
      </c>
      <c r="D129" s="33" t="s">
        <v>126</v>
      </c>
      <c r="E129" s="33">
        <v>30</v>
      </c>
      <c r="F129" s="40">
        <v>26</v>
      </c>
      <c r="G129" s="87" t="str" cm="1">
        <f t="array" ref="G129:I129">_xlfn.XLOOKUP(D129,Inputs!$C$6:$C$8,Inputs!$D$6:$F$8,"Not found")</f>
        <v>Veggie Pie</v>
      </c>
      <c r="H129" s="88">
        <v>7.5</v>
      </c>
      <c r="I129" s="88">
        <v>1</v>
      </c>
      <c r="J129" s="88">
        <f t="shared" si="3"/>
        <v>195</v>
      </c>
      <c r="K129" s="88">
        <f t="shared" si="4"/>
        <v>26</v>
      </c>
      <c r="L129" s="88">
        <f t="shared" si="5"/>
        <v>169</v>
      </c>
    </row>
    <row r="130" spans="2:12" x14ac:dyDescent="0.3">
      <c r="B130" s="76">
        <v>43195</v>
      </c>
      <c r="C130" s="33" t="s">
        <v>341</v>
      </c>
      <c r="D130" s="33" t="s">
        <v>123</v>
      </c>
      <c r="E130" s="33">
        <v>180</v>
      </c>
      <c r="F130" s="40">
        <v>180</v>
      </c>
      <c r="G130" s="87" t="str" cm="1">
        <f t="array" ref="G130:I130">_xlfn.XLOOKUP(D130,Inputs!$C$6:$C$8,Inputs!$D$6:$F$8,"Not found")</f>
        <v>Meat Pie</v>
      </c>
      <c r="H130" s="88">
        <v>8</v>
      </c>
      <c r="I130" s="88">
        <v>1.2</v>
      </c>
      <c r="J130" s="88">
        <f t="shared" si="3"/>
        <v>1440</v>
      </c>
      <c r="K130" s="88">
        <f t="shared" si="4"/>
        <v>216</v>
      </c>
      <c r="L130" s="88">
        <f t="shared" si="5"/>
        <v>1224</v>
      </c>
    </row>
    <row r="131" spans="2:12" x14ac:dyDescent="0.3">
      <c r="B131" s="76">
        <v>43195</v>
      </c>
      <c r="C131" s="33" t="s">
        <v>341</v>
      </c>
      <c r="D131" s="33" t="s">
        <v>125</v>
      </c>
      <c r="E131" s="33">
        <v>75</v>
      </c>
      <c r="F131" s="40">
        <v>75</v>
      </c>
      <c r="G131" s="87" t="str" cm="1">
        <f t="array" ref="G131:I131">_xlfn.XLOOKUP(D131,Inputs!$C$6:$C$8,Inputs!$D$6:$F$8,"Not found")</f>
        <v>Meat Pie</v>
      </c>
      <c r="H131" s="88">
        <v>8.5</v>
      </c>
      <c r="I131" s="88">
        <v>1.95</v>
      </c>
      <c r="J131" s="88">
        <f t="shared" si="3"/>
        <v>637.5</v>
      </c>
      <c r="K131" s="88">
        <f t="shared" si="4"/>
        <v>146.25</v>
      </c>
      <c r="L131" s="88">
        <f t="shared" si="5"/>
        <v>491.25</v>
      </c>
    </row>
    <row r="132" spans="2:12" x14ac:dyDescent="0.3">
      <c r="B132" s="76">
        <v>43195</v>
      </c>
      <c r="C132" s="33" t="s">
        <v>341</v>
      </c>
      <c r="D132" s="33" t="s">
        <v>126</v>
      </c>
      <c r="E132" s="33">
        <v>30</v>
      </c>
      <c r="F132" s="40">
        <v>24</v>
      </c>
      <c r="G132" s="87" t="str" cm="1">
        <f t="array" ref="G132:I132">_xlfn.XLOOKUP(D132,Inputs!$C$6:$C$8,Inputs!$D$6:$F$8,"Not found")</f>
        <v>Veggie Pie</v>
      </c>
      <c r="H132" s="88">
        <v>7.5</v>
      </c>
      <c r="I132" s="88">
        <v>1</v>
      </c>
      <c r="J132" s="88">
        <f t="shared" si="3"/>
        <v>180</v>
      </c>
      <c r="K132" s="88">
        <f t="shared" si="4"/>
        <v>24</v>
      </c>
      <c r="L132" s="88">
        <f t="shared" si="5"/>
        <v>156</v>
      </c>
    </row>
    <row r="133" spans="2:12" x14ac:dyDescent="0.3">
      <c r="B133" s="76">
        <v>43197</v>
      </c>
      <c r="C133" s="33" t="s">
        <v>341</v>
      </c>
      <c r="D133" s="33" t="s">
        <v>123</v>
      </c>
      <c r="E133" s="33">
        <v>180</v>
      </c>
      <c r="F133" s="40">
        <v>180</v>
      </c>
      <c r="G133" s="87" t="str" cm="1">
        <f t="array" ref="G133:I133">_xlfn.XLOOKUP(D133,Inputs!$C$6:$C$8,Inputs!$D$6:$F$8,"Not found")</f>
        <v>Meat Pie</v>
      </c>
      <c r="H133" s="88">
        <v>8</v>
      </c>
      <c r="I133" s="88">
        <v>1.2</v>
      </c>
      <c r="J133" s="88">
        <f t="shared" si="3"/>
        <v>1440</v>
      </c>
      <c r="K133" s="88">
        <f t="shared" si="4"/>
        <v>216</v>
      </c>
      <c r="L133" s="88">
        <f t="shared" si="5"/>
        <v>1224</v>
      </c>
    </row>
    <row r="134" spans="2:12" x14ac:dyDescent="0.3">
      <c r="B134" s="76">
        <v>43197</v>
      </c>
      <c r="C134" s="33" t="s">
        <v>341</v>
      </c>
      <c r="D134" s="33" t="s">
        <v>125</v>
      </c>
      <c r="E134" s="33">
        <v>75</v>
      </c>
      <c r="F134" s="40">
        <v>75</v>
      </c>
      <c r="G134" s="87" t="str" cm="1">
        <f t="array" ref="G134:I134">_xlfn.XLOOKUP(D134,Inputs!$C$6:$C$8,Inputs!$D$6:$F$8,"Not found")</f>
        <v>Meat Pie</v>
      </c>
      <c r="H134" s="88">
        <v>8.5</v>
      </c>
      <c r="I134" s="88">
        <v>1.95</v>
      </c>
      <c r="J134" s="88">
        <f t="shared" si="3"/>
        <v>637.5</v>
      </c>
      <c r="K134" s="88">
        <f t="shared" si="4"/>
        <v>146.25</v>
      </c>
      <c r="L134" s="88">
        <f t="shared" si="5"/>
        <v>491.25</v>
      </c>
    </row>
    <row r="135" spans="2:12" x14ac:dyDescent="0.3">
      <c r="B135" s="76">
        <v>43197</v>
      </c>
      <c r="C135" s="33" t="s">
        <v>341</v>
      </c>
      <c r="D135" s="33" t="s">
        <v>126</v>
      </c>
      <c r="E135" s="33">
        <v>30</v>
      </c>
      <c r="F135" s="40">
        <v>30</v>
      </c>
      <c r="G135" s="87" t="str" cm="1">
        <f t="array" ref="G135:I135">_xlfn.XLOOKUP(D135,Inputs!$C$6:$C$8,Inputs!$D$6:$F$8,"Not found")</f>
        <v>Veggie Pie</v>
      </c>
      <c r="H135" s="88">
        <v>7.5</v>
      </c>
      <c r="I135" s="88">
        <v>1</v>
      </c>
      <c r="J135" s="88">
        <f t="shared" si="3"/>
        <v>225</v>
      </c>
      <c r="K135" s="88">
        <f t="shared" si="4"/>
        <v>30</v>
      </c>
      <c r="L135" s="88">
        <f t="shared" si="5"/>
        <v>195</v>
      </c>
    </row>
    <row r="136" spans="2:12" x14ac:dyDescent="0.3">
      <c r="B136" s="76">
        <v>43200</v>
      </c>
      <c r="C136" s="33" t="s">
        <v>341</v>
      </c>
      <c r="D136" s="33" t="s">
        <v>123</v>
      </c>
      <c r="E136" s="33">
        <v>180</v>
      </c>
      <c r="F136" s="40">
        <v>178</v>
      </c>
      <c r="G136" s="87" t="str" cm="1">
        <f t="array" ref="G136:I136">_xlfn.XLOOKUP(D136,Inputs!$C$6:$C$8,Inputs!$D$6:$F$8,"Not found")</f>
        <v>Meat Pie</v>
      </c>
      <c r="H136" s="88">
        <v>8</v>
      </c>
      <c r="I136" s="88">
        <v>1.2</v>
      </c>
      <c r="J136" s="88">
        <f t="shared" si="3"/>
        <v>1424</v>
      </c>
      <c r="K136" s="88">
        <f t="shared" si="4"/>
        <v>213.6</v>
      </c>
      <c r="L136" s="88">
        <f t="shared" si="5"/>
        <v>1210.4000000000001</v>
      </c>
    </row>
    <row r="137" spans="2:12" x14ac:dyDescent="0.3">
      <c r="B137" s="76">
        <v>43200</v>
      </c>
      <c r="C137" s="33" t="s">
        <v>341</v>
      </c>
      <c r="D137" s="33" t="s">
        <v>125</v>
      </c>
      <c r="E137" s="33">
        <v>75</v>
      </c>
      <c r="F137" s="40">
        <v>71</v>
      </c>
      <c r="G137" s="87" t="str" cm="1">
        <f t="array" ref="G137:I137">_xlfn.XLOOKUP(D137,Inputs!$C$6:$C$8,Inputs!$D$6:$F$8,"Not found")</f>
        <v>Meat Pie</v>
      </c>
      <c r="H137" s="88">
        <v>8.5</v>
      </c>
      <c r="I137" s="88">
        <v>1.95</v>
      </c>
      <c r="J137" s="88">
        <f t="shared" si="3"/>
        <v>603.5</v>
      </c>
      <c r="K137" s="88">
        <f t="shared" si="4"/>
        <v>138.44999999999999</v>
      </c>
      <c r="L137" s="88">
        <f t="shared" si="5"/>
        <v>465.05</v>
      </c>
    </row>
    <row r="138" spans="2:12" x14ac:dyDescent="0.3">
      <c r="B138" s="76">
        <v>43200</v>
      </c>
      <c r="C138" s="33" t="s">
        <v>341</v>
      </c>
      <c r="D138" s="33" t="s">
        <v>126</v>
      </c>
      <c r="E138" s="33">
        <v>30</v>
      </c>
      <c r="F138" s="40">
        <v>28</v>
      </c>
      <c r="G138" s="87" t="str" cm="1">
        <f t="array" ref="G138:I138">_xlfn.XLOOKUP(D138,Inputs!$C$6:$C$8,Inputs!$D$6:$F$8,"Not found")</f>
        <v>Veggie Pie</v>
      </c>
      <c r="H138" s="88">
        <v>7.5</v>
      </c>
      <c r="I138" s="88">
        <v>1</v>
      </c>
      <c r="J138" s="88">
        <f t="shared" ref="J138:J201" si="6">F138 * H138</f>
        <v>210</v>
      </c>
      <c r="K138" s="88">
        <f t="shared" ref="K138:K201" si="7">F138 * I138</f>
        <v>28</v>
      </c>
      <c r="L138" s="88">
        <f t="shared" ref="L138:L201" si="8">J138 - K138</f>
        <v>182</v>
      </c>
    </row>
    <row r="139" spans="2:12" x14ac:dyDescent="0.3">
      <c r="B139" s="76">
        <v>43202</v>
      </c>
      <c r="C139" s="33" t="s">
        <v>341</v>
      </c>
      <c r="D139" s="33" t="s">
        <v>123</v>
      </c>
      <c r="E139" s="33">
        <v>180</v>
      </c>
      <c r="F139" s="40">
        <v>180</v>
      </c>
      <c r="G139" s="87" t="str" cm="1">
        <f t="array" ref="G139:I139">_xlfn.XLOOKUP(D139,Inputs!$C$6:$C$8,Inputs!$D$6:$F$8,"Not found")</f>
        <v>Meat Pie</v>
      </c>
      <c r="H139" s="88">
        <v>8</v>
      </c>
      <c r="I139" s="88">
        <v>1.2</v>
      </c>
      <c r="J139" s="88">
        <f t="shared" si="6"/>
        <v>1440</v>
      </c>
      <c r="K139" s="88">
        <f t="shared" si="7"/>
        <v>216</v>
      </c>
      <c r="L139" s="88">
        <f t="shared" si="8"/>
        <v>1224</v>
      </c>
    </row>
    <row r="140" spans="2:12" x14ac:dyDescent="0.3">
      <c r="B140" s="76">
        <v>43202</v>
      </c>
      <c r="C140" s="33" t="s">
        <v>341</v>
      </c>
      <c r="D140" s="33" t="s">
        <v>125</v>
      </c>
      <c r="E140" s="33">
        <v>75</v>
      </c>
      <c r="F140" s="40">
        <v>75</v>
      </c>
      <c r="G140" s="87" t="str" cm="1">
        <f t="array" ref="G140:I140">_xlfn.XLOOKUP(D140,Inputs!$C$6:$C$8,Inputs!$D$6:$F$8,"Not found")</f>
        <v>Meat Pie</v>
      </c>
      <c r="H140" s="88">
        <v>8.5</v>
      </c>
      <c r="I140" s="88">
        <v>1.95</v>
      </c>
      <c r="J140" s="88">
        <f t="shared" si="6"/>
        <v>637.5</v>
      </c>
      <c r="K140" s="88">
        <f t="shared" si="7"/>
        <v>146.25</v>
      </c>
      <c r="L140" s="88">
        <f t="shared" si="8"/>
        <v>491.25</v>
      </c>
    </row>
    <row r="141" spans="2:12" x14ac:dyDescent="0.3">
      <c r="B141" s="76">
        <v>43202</v>
      </c>
      <c r="C141" s="33" t="s">
        <v>341</v>
      </c>
      <c r="D141" s="33" t="s">
        <v>126</v>
      </c>
      <c r="E141" s="33">
        <v>30</v>
      </c>
      <c r="F141" s="40">
        <v>30</v>
      </c>
      <c r="G141" s="87" t="str" cm="1">
        <f t="array" ref="G141:I141">_xlfn.XLOOKUP(D141,Inputs!$C$6:$C$8,Inputs!$D$6:$F$8,"Not found")</f>
        <v>Veggie Pie</v>
      </c>
      <c r="H141" s="88">
        <v>7.5</v>
      </c>
      <c r="I141" s="88">
        <v>1</v>
      </c>
      <c r="J141" s="88">
        <f t="shared" si="6"/>
        <v>225</v>
      </c>
      <c r="K141" s="88">
        <f t="shared" si="7"/>
        <v>30</v>
      </c>
      <c r="L141" s="88">
        <f t="shared" si="8"/>
        <v>195</v>
      </c>
    </row>
    <row r="142" spans="2:12" x14ac:dyDescent="0.3">
      <c r="B142" s="76">
        <v>43204</v>
      </c>
      <c r="C142" s="33" t="s">
        <v>341</v>
      </c>
      <c r="D142" s="33" t="s">
        <v>123</v>
      </c>
      <c r="E142" s="33">
        <v>180</v>
      </c>
      <c r="F142" s="40">
        <v>180</v>
      </c>
      <c r="G142" s="87" t="str" cm="1">
        <f t="array" ref="G142:I142">_xlfn.XLOOKUP(D142,Inputs!$C$6:$C$8,Inputs!$D$6:$F$8,"Not found")</f>
        <v>Meat Pie</v>
      </c>
      <c r="H142" s="88">
        <v>8</v>
      </c>
      <c r="I142" s="88">
        <v>1.2</v>
      </c>
      <c r="J142" s="88">
        <f t="shared" si="6"/>
        <v>1440</v>
      </c>
      <c r="K142" s="88">
        <f t="shared" si="7"/>
        <v>216</v>
      </c>
      <c r="L142" s="88">
        <f t="shared" si="8"/>
        <v>1224</v>
      </c>
    </row>
    <row r="143" spans="2:12" x14ac:dyDescent="0.3">
      <c r="B143" s="76">
        <v>43204</v>
      </c>
      <c r="C143" s="33" t="s">
        <v>341</v>
      </c>
      <c r="D143" s="33" t="s">
        <v>125</v>
      </c>
      <c r="E143" s="33">
        <v>75</v>
      </c>
      <c r="F143" s="40">
        <v>75</v>
      </c>
      <c r="G143" s="87" t="str" cm="1">
        <f t="array" ref="G143:I143">_xlfn.XLOOKUP(D143,Inputs!$C$6:$C$8,Inputs!$D$6:$F$8,"Not found")</f>
        <v>Meat Pie</v>
      </c>
      <c r="H143" s="88">
        <v>8.5</v>
      </c>
      <c r="I143" s="88">
        <v>1.95</v>
      </c>
      <c r="J143" s="88">
        <f t="shared" si="6"/>
        <v>637.5</v>
      </c>
      <c r="K143" s="88">
        <f t="shared" si="7"/>
        <v>146.25</v>
      </c>
      <c r="L143" s="88">
        <f t="shared" si="8"/>
        <v>491.25</v>
      </c>
    </row>
    <row r="144" spans="2:12" x14ac:dyDescent="0.3">
      <c r="B144" s="76">
        <v>43204</v>
      </c>
      <c r="C144" s="33" t="s">
        <v>341</v>
      </c>
      <c r="D144" s="33" t="s">
        <v>126</v>
      </c>
      <c r="E144" s="33">
        <v>30</v>
      </c>
      <c r="F144" s="40">
        <v>28</v>
      </c>
      <c r="G144" s="87" t="str" cm="1">
        <f t="array" ref="G144:I144">_xlfn.XLOOKUP(D144,Inputs!$C$6:$C$8,Inputs!$D$6:$F$8,"Not found")</f>
        <v>Veggie Pie</v>
      </c>
      <c r="H144" s="88">
        <v>7.5</v>
      </c>
      <c r="I144" s="88">
        <v>1</v>
      </c>
      <c r="J144" s="88">
        <f t="shared" si="6"/>
        <v>210</v>
      </c>
      <c r="K144" s="88">
        <f t="shared" si="7"/>
        <v>28</v>
      </c>
      <c r="L144" s="88">
        <f t="shared" si="8"/>
        <v>182</v>
      </c>
    </row>
    <row r="145" spans="2:12" x14ac:dyDescent="0.3">
      <c r="B145" s="76">
        <v>43207</v>
      </c>
      <c r="C145" s="33" t="s">
        <v>341</v>
      </c>
      <c r="D145" s="33" t="s">
        <v>123</v>
      </c>
      <c r="E145" s="33">
        <v>180</v>
      </c>
      <c r="F145" s="40">
        <v>180</v>
      </c>
      <c r="G145" s="87" t="str" cm="1">
        <f t="array" ref="G145:I145">_xlfn.XLOOKUP(D145,Inputs!$C$6:$C$8,Inputs!$D$6:$F$8,"Not found")</f>
        <v>Meat Pie</v>
      </c>
      <c r="H145" s="88">
        <v>8</v>
      </c>
      <c r="I145" s="88">
        <v>1.2</v>
      </c>
      <c r="J145" s="88">
        <f t="shared" si="6"/>
        <v>1440</v>
      </c>
      <c r="K145" s="88">
        <f t="shared" si="7"/>
        <v>216</v>
      </c>
      <c r="L145" s="88">
        <f t="shared" si="8"/>
        <v>1224</v>
      </c>
    </row>
    <row r="146" spans="2:12" x14ac:dyDescent="0.3">
      <c r="B146" s="76">
        <v>43207</v>
      </c>
      <c r="C146" s="33" t="s">
        <v>341</v>
      </c>
      <c r="D146" s="33" t="s">
        <v>125</v>
      </c>
      <c r="E146" s="33">
        <v>75</v>
      </c>
      <c r="F146" s="40">
        <v>74</v>
      </c>
      <c r="G146" s="87" t="str" cm="1">
        <f t="array" ref="G146:I146">_xlfn.XLOOKUP(D146,Inputs!$C$6:$C$8,Inputs!$D$6:$F$8,"Not found")</f>
        <v>Meat Pie</v>
      </c>
      <c r="H146" s="88">
        <v>8.5</v>
      </c>
      <c r="I146" s="88">
        <v>1.95</v>
      </c>
      <c r="J146" s="88">
        <f t="shared" si="6"/>
        <v>629</v>
      </c>
      <c r="K146" s="88">
        <f t="shared" si="7"/>
        <v>144.29999999999998</v>
      </c>
      <c r="L146" s="88">
        <f t="shared" si="8"/>
        <v>484.70000000000005</v>
      </c>
    </row>
    <row r="147" spans="2:12" x14ac:dyDescent="0.3">
      <c r="B147" s="76">
        <v>43207</v>
      </c>
      <c r="C147" s="33" t="s">
        <v>341</v>
      </c>
      <c r="D147" s="33" t="s">
        <v>126</v>
      </c>
      <c r="E147" s="33">
        <v>30</v>
      </c>
      <c r="F147" s="40">
        <v>26</v>
      </c>
      <c r="G147" s="87" t="str" cm="1">
        <f t="array" ref="G147:I147">_xlfn.XLOOKUP(D147,Inputs!$C$6:$C$8,Inputs!$D$6:$F$8,"Not found")</f>
        <v>Veggie Pie</v>
      </c>
      <c r="H147" s="88">
        <v>7.5</v>
      </c>
      <c r="I147" s="88">
        <v>1</v>
      </c>
      <c r="J147" s="88">
        <f t="shared" si="6"/>
        <v>195</v>
      </c>
      <c r="K147" s="88">
        <f t="shared" si="7"/>
        <v>26</v>
      </c>
      <c r="L147" s="88">
        <f t="shared" si="8"/>
        <v>169</v>
      </c>
    </row>
    <row r="148" spans="2:12" x14ac:dyDescent="0.3">
      <c r="B148" s="76">
        <v>43209</v>
      </c>
      <c r="C148" s="33" t="s">
        <v>341</v>
      </c>
      <c r="D148" s="33" t="s">
        <v>123</v>
      </c>
      <c r="E148" s="33">
        <v>180</v>
      </c>
      <c r="F148" s="40">
        <v>178</v>
      </c>
      <c r="G148" s="87" t="str" cm="1">
        <f t="array" ref="G148:I148">_xlfn.XLOOKUP(D148,Inputs!$C$6:$C$8,Inputs!$D$6:$F$8,"Not found")</f>
        <v>Meat Pie</v>
      </c>
      <c r="H148" s="88">
        <v>8</v>
      </c>
      <c r="I148" s="88">
        <v>1.2</v>
      </c>
      <c r="J148" s="88">
        <f t="shared" si="6"/>
        <v>1424</v>
      </c>
      <c r="K148" s="88">
        <f t="shared" si="7"/>
        <v>213.6</v>
      </c>
      <c r="L148" s="88">
        <f t="shared" si="8"/>
        <v>1210.4000000000001</v>
      </c>
    </row>
    <row r="149" spans="2:12" x14ac:dyDescent="0.3">
      <c r="B149" s="76">
        <v>43209</v>
      </c>
      <c r="C149" s="33" t="s">
        <v>341</v>
      </c>
      <c r="D149" s="33" t="s">
        <v>125</v>
      </c>
      <c r="E149" s="33">
        <v>75</v>
      </c>
      <c r="F149" s="40">
        <v>71</v>
      </c>
      <c r="G149" s="87" t="str" cm="1">
        <f t="array" ref="G149:I149">_xlfn.XLOOKUP(D149,Inputs!$C$6:$C$8,Inputs!$D$6:$F$8,"Not found")</f>
        <v>Meat Pie</v>
      </c>
      <c r="H149" s="88">
        <v>8.5</v>
      </c>
      <c r="I149" s="88">
        <v>1.95</v>
      </c>
      <c r="J149" s="88">
        <f t="shared" si="6"/>
        <v>603.5</v>
      </c>
      <c r="K149" s="88">
        <f t="shared" si="7"/>
        <v>138.44999999999999</v>
      </c>
      <c r="L149" s="88">
        <f t="shared" si="8"/>
        <v>465.05</v>
      </c>
    </row>
    <row r="150" spans="2:12" x14ac:dyDescent="0.3">
      <c r="B150" s="76">
        <v>43209</v>
      </c>
      <c r="C150" s="33" t="s">
        <v>341</v>
      </c>
      <c r="D150" s="33" t="s">
        <v>126</v>
      </c>
      <c r="E150" s="33">
        <v>30</v>
      </c>
      <c r="F150" s="40">
        <v>24</v>
      </c>
      <c r="G150" s="87" t="str" cm="1">
        <f t="array" ref="G150:I150">_xlfn.XLOOKUP(D150,Inputs!$C$6:$C$8,Inputs!$D$6:$F$8,"Not found")</f>
        <v>Veggie Pie</v>
      </c>
      <c r="H150" s="88">
        <v>7.5</v>
      </c>
      <c r="I150" s="88">
        <v>1</v>
      </c>
      <c r="J150" s="88">
        <f t="shared" si="6"/>
        <v>180</v>
      </c>
      <c r="K150" s="88">
        <f t="shared" si="7"/>
        <v>24</v>
      </c>
      <c r="L150" s="88">
        <f t="shared" si="8"/>
        <v>156</v>
      </c>
    </row>
    <row r="151" spans="2:12" x14ac:dyDescent="0.3">
      <c r="B151" s="76">
        <v>43211</v>
      </c>
      <c r="C151" s="33" t="s">
        <v>341</v>
      </c>
      <c r="D151" s="33" t="s">
        <v>123</v>
      </c>
      <c r="E151" s="33">
        <v>180</v>
      </c>
      <c r="F151" s="40">
        <v>180</v>
      </c>
      <c r="G151" s="87" t="str" cm="1">
        <f t="array" ref="G151:I151">_xlfn.XLOOKUP(D151,Inputs!$C$6:$C$8,Inputs!$D$6:$F$8,"Not found")</f>
        <v>Meat Pie</v>
      </c>
      <c r="H151" s="88">
        <v>8</v>
      </c>
      <c r="I151" s="88">
        <v>1.2</v>
      </c>
      <c r="J151" s="88">
        <f t="shared" si="6"/>
        <v>1440</v>
      </c>
      <c r="K151" s="88">
        <f t="shared" si="7"/>
        <v>216</v>
      </c>
      <c r="L151" s="88">
        <f t="shared" si="8"/>
        <v>1224</v>
      </c>
    </row>
    <row r="152" spans="2:12" x14ac:dyDescent="0.3">
      <c r="B152" s="76">
        <v>43211</v>
      </c>
      <c r="C152" s="33" t="s">
        <v>341</v>
      </c>
      <c r="D152" s="33" t="s">
        <v>125</v>
      </c>
      <c r="E152" s="33">
        <v>75</v>
      </c>
      <c r="F152" s="40">
        <v>75</v>
      </c>
      <c r="G152" s="87" t="str" cm="1">
        <f t="array" ref="G152:I152">_xlfn.XLOOKUP(D152,Inputs!$C$6:$C$8,Inputs!$D$6:$F$8,"Not found")</f>
        <v>Meat Pie</v>
      </c>
      <c r="H152" s="88">
        <v>8.5</v>
      </c>
      <c r="I152" s="88">
        <v>1.95</v>
      </c>
      <c r="J152" s="88">
        <f t="shared" si="6"/>
        <v>637.5</v>
      </c>
      <c r="K152" s="88">
        <f t="shared" si="7"/>
        <v>146.25</v>
      </c>
      <c r="L152" s="88">
        <f t="shared" si="8"/>
        <v>491.25</v>
      </c>
    </row>
    <row r="153" spans="2:12" x14ac:dyDescent="0.3">
      <c r="B153" s="76">
        <v>43211</v>
      </c>
      <c r="C153" s="33" t="s">
        <v>341</v>
      </c>
      <c r="D153" s="33" t="s">
        <v>126</v>
      </c>
      <c r="E153" s="33">
        <v>30</v>
      </c>
      <c r="F153" s="40">
        <v>30</v>
      </c>
      <c r="G153" s="87" t="str" cm="1">
        <f t="array" ref="G153:I153">_xlfn.XLOOKUP(D153,Inputs!$C$6:$C$8,Inputs!$D$6:$F$8,"Not found")</f>
        <v>Veggie Pie</v>
      </c>
      <c r="H153" s="88">
        <v>7.5</v>
      </c>
      <c r="I153" s="88">
        <v>1</v>
      </c>
      <c r="J153" s="88">
        <f t="shared" si="6"/>
        <v>225</v>
      </c>
      <c r="K153" s="88">
        <f t="shared" si="7"/>
        <v>30</v>
      </c>
      <c r="L153" s="88">
        <f t="shared" si="8"/>
        <v>195</v>
      </c>
    </row>
    <row r="154" spans="2:12" x14ac:dyDescent="0.3">
      <c r="B154" s="76">
        <v>43214</v>
      </c>
      <c r="C154" s="33" t="s">
        <v>341</v>
      </c>
      <c r="D154" s="33" t="s">
        <v>123</v>
      </c>
      <c r="E154" s="33">
        <v>180</v>
      </c>
      <c r="F154" s="40">
        <v>168</v>
      </c>
      <c r="G154" s="87" t="str" cm="1">
        <f t="array" ref="G154:I154">_xlfn.XLOOKUP(D154,Inputs!$C$6:$C$8,Inputs!$D$6:$F$8,"Not found")</f>
        <v>Meat Pie</v>
      </c>
      <c r="H154" s="88">
        <v>8</v>
      </c>
      <c r="I154" s="88">
        <v>1.2</v>
      </c>
      <c r="J154" s="88">
        <f t="shared" si="6"/>
        <v>1344</v>
      </c>
      <c r="K154" s="88">
        <f t="shared" si="7"/>
        <v>201.6</v>
      </c>
      <c r="L154" s="88">
        <f t="shared" si="8"/>
        <v>1142.4000000000001</v>
      </c>
    </row>
    <row r="155" spans="2:12" x14ac:dyDescent="0.3">
      <c r="B155" s="76">
        <v>43214</v>
      </c>
      <c r="C155" s="33" t="s">
        <v>341</v>
      </c>
      <c r="D155" s="33" t="s">
        <v>125</v>
      </c>
      <c r="E155" s="33">
        <v>75</v>
      </c>
      <c r="F155" s="40">
        <v>67</v>
      </c>
      <c r="G155" s="87" t="str" cm="1">
        <f t="array" ref="G155:I155">_xlfn.XLOOKUP(D155,Inputs!$C$6:$C$8,Inputs!$D$6:$F$8,"Not found")</f>
        <v>Meat Pie</v>
      </c>
      <c r="H155" s="88">
        <v>8.5</v>
      </c>
      <c r="I155" s="88">
        <v>1.95</v>
      </c>
      <c r="J155" s="88">
        <f t="shared" si="6"/>
        <v>569.5</v>
      </c>
      <c r="K155" s="88">
        <f t="shared" si="7"/>
        <v>130.65</v>
      </c>
      <c r="L155" s="88">
        <f t="shared" si="8"/>
        <v>438.85</v>
      </c>
    </row>
    <row r="156" spans="2:12" x14ac:dyDescent="0.3">
      <c r="B156" s="76">
        <v>43214</v>
      </c>
      <c r="C156" s="33" t="s">
        <v>341</v>
      </c>
      <c r="D156" s="33" t="s">
        <v>126</v>
      </c>
      <c r="E156" s="33">
        <v>30</v>
      </c>
      <c r="F156" s="40">
        <v>20</v>
      </c>
      <c r="G156" s="87" t="str" cm="1">
        <f t="array" ref="G156:I156">_xlfn.XLOOKUP(D156,Inputs!$C$6:$C$8,Inputs!$D$6:$F$8,"Not found")</f>
        <v>Veggie Pie</v>
      </c>
      <c r="H156" s="88">
        <v>7.5</v>
      </c>
      <c r="I156" s="88">
        <v>1</v>
      </c>
      <c r="J156" s="88">
        <f t="shared" si="6"/>
        <v>150</v>
      </c>
      <c r="K156" s="88">
        <f t="shared" si="7"/>
        <v>20</v>
      </c>
      <c r="L156" s="88">
        <f t="shared" si="8"/>
        <v>130</v>
      </c>
    </row>
    <row r="157" spans="2:12" x14ac:dyDescent="0.3">
      <c r="B157" s="76">
        <v>43216</v>
      </c>
      <c r="C157" s="33" t="s">
        <v>341</v>
      </c>
      <c r="D157" s="33" t="s">
        <v>123</v>
      </c>
      <c r="E157" s="33">
        <v>180</v>
      </c>
      <c r="F157" s="40">
        <v>180</v>
      </c>
      <c r="G157" s="87" t="str" cm="1">
        <f t="array" ref="G157:I157">_xlfn.XLOOKUP(D157,Inputs!$C$6:$C$8,Inputs!$D$6:$F$8,"Not found")</f>
        <v>Meat Pie</v>
      </c>
      <c r="H157" s="88">
        <v>8</v>
      </c>
      <c r="I157" s="88">
        <v>1.2</v>
      </c>
      <c r="J157" s="88">
        <f t="shared" si="6"/>
        <v>1440</v>
      </c>
      <c r="K157" s="88">
        <f t="shared" si="7"/>
        <v>216</v>
      </c>
      <c r="L157" s="88">
        <f t="shared" si="8"/>
        <v>1224</v>
      </c>
    </row>
    <row r="158" spans="2:12" x14ac:dyDescent="0.3">
      <c r="B158" s="76">
        <v>43216</v>
      </c>
      <c r="C158" s="33" t="s">
        <v>341</v>
      </c>
      <c r="D158" s="33" t="s">
        <v>125</v>
      </c>
      <c r="E158" s="33">
        <v>75</v>
      </c>
      <c r="F158" s="40">
        <v>74</v>
      </c>
      <c r="G158" s="87" t="str" cm="1">
        <f t="array" ref="G158:I158">_xlfn.XLOOKUP(D158,Inputs!$C$6:$C$8,Inputs!$D$6:$F$8,"Not found")</f>
        <v>Meat Pie</v>
      </c>
      <c r="H158" s="88">
        <v>8.5</v>
      </c>
      <c r="I158" s="88">
        <v>1.95</v>
      </c>
      <c r="J158" s="88">
        <f t="shared" si="6"/>
        <v>629</v>
      </c>
      <c r="K158" s="88">
        <f t="shared" si="7"/>
        <v>144.29999999999998</v>
      </c>
      <c r="L158" s="88">
        <f t="shared" si="8"/>
        <v>484.70000000000005</v>
      </c>
    </row>
    <row r="159" spans="2:12" x14ac:dyDescent="0.3">
      <c r="B159" s="76">
        <v>43216</v>
      </c>
      <c r="C159" s="33" t="s">
        <v>341</v>
      </c>
      <c r="D159" s="33" t="s">
        <v>126</v>
      </c>
      <c r="E159" s="33">
        <v>30</v>
      </c>
      <c r="F159" s="40">
        <v>28</v>
      </c>
      <c r="G159" s="87" t="str" cm="1">
        <f t="array" ref="G159:I159">_xlfn.XLOOKUP(D159,Inputs!$C$6:$C$8,Inputs!$D$6:$F$8,"Not found")</f>
        <v>Veggie Pie</v>
      </c>
      <c r="H159" s="88">
        <v>7.5</v>
      </c>
      <c r="I159" s="88">
        <v>1</v>
      </c>
      <c r="J159" s="88">
        <f t="shared" si="6"/>
        <v>210</v>
      </c>
      <c r="K159" s="88">
        <f t="shared" si="7"/>
        <v>28</v>
      </c>
      <c r="L159" s="88">
        <f t="shared" si="8"/>
        <v>182</v>
      </c>
    </row>
    <row r="160" spans="2:12" x14ac:dyDescent="0.3">
      <c r="B160" s="76">
        <v>43218</v>
      </c>
      <c r="C160" s="33" t="s">
        <v>341</v>
      </c>
      <c r="D160" s="33" t="s">
        <v>123</v>
      </c>
      <c r="E160" s="33">
        <v>180</v>
      </c>
      <c r="F160" s="40">
        <v>180</v>
      </c>
      <c r="G160" s="87" t="str" cm="1">
        <f t="array" ref="G160:I160">_xlfn.XLOOKUP(D160,Inputs!$C$6:$C$8,Inputs!$D$6:$F$8,"Not found")</f>
        <v>Meat Pie</v>
      </c>
      <c r="H160" s="88">
        <v>8</v>
      </c>
      <c r="I160" s="88">
        <v>1.2</v>
      </c>
      <c r="J160" s="88">
        <f t="shared" si="6"/>
        <v>1440</v>
      </c>
      <c r="K160" s="88">
        <f t="shared" si="7"/>
        <v>216</v>
      </c>
      <c r="L160" s="88">
        <f t="shared" si="8"/>
        <v>1224</v>
      </c>
    </row>
    <row r="161" spans="2:12" x14ac:dyDescent="0.3">
      <c r="B161" s="76">
        <v>43218</v>
      </c>
      <c r="C161" s="33" t="s">
        <v>341</v>
      </c>
      <c r="D161" s="33" t="s">
        <v>125</v>
      </c>
      <c r="E161" s="33">
        <v>75</v>
      </c>
      <c r="F161" s="40">
        <v>75</v>
      </c>
      <c r="G161" s="87" t="str" cm="1">
        <f t="array" ref="G161:I161">_xlfn.XLOOKUP(D161,Inputs!$C$6:$C$8,Inputs!$D$6:$F$8,"Not found")</f>
        <v>Meat Pie</v>
      </c>
      <c r="H161" s="88">
        <v>8.5</v>
      </c>
      <c r="I161" s="88">
        <v>1.95</v>
      </c>
      <c r="J161" s="88">
        <f t="shared" si="6"/>
        <v>637.5</v>
      </c>
      <c r="K161" s="88">
        <f t="shared" si="7"/>
        <v>146.25</v>
      </c>
      <c r="L161" s="88">
        <f t="shared" si="8"/>
        <v>491.25</v>
      </c>
    </row>
    <row r="162" spans="2:12" x14ac:dyDescent="0.3">
      <c r="B162" s="76">
        <v>43218</v>
      </c>
      <c r="C162" s="33" t="s">
        <v>341</v>
      </c>
      <c r="D162" s="33" t="s">
        <v>126</v>
      </c>
      <c r="E162" s="33">
        <v>30</v>
      </c>
      <c r="F162" s="40">
        <v>30</v>
      </c>
      <c r="G162" s="87" t="str" cm="1">
        <f t="array" ref="G162:I162">_xlfn.XLOOKUP(D162,Inputs!$C$6:$C$8,Inputs!$D$6:$F$8,"Not found")</f>
        <v>Veggie Pie</v>
      </c>
      <c r="H162" s="88">
        <v>7.5</v>
      </c>
      <c r="I162" s="88">
        <v>1</v>
      </c>
      <c r="J162" s="88">
        <f t="shared" si="6"/>
        <v>225</v>
      </c>
      <c r="K162" s="88">
        <f t="shared" si="7"/>
        <v>30</v>
      </c>
      <c r="L162" s="88">
        <f t="shared" si="8"/>
        <v>195</v>
      </c>
    </row>
    <row r="163" spans="2:12" x14ac:dyDescent="0.3">
      <c r="B163" s="76">
        <v>43221</v>
      </c>
      <c r="C163" s="33" t="s">
        <v>341</v>
      </c>
      <c r="D163" s="33" t="s">
        <v>123</v>
      </c>
      <c r="E163" s="33">
        <v>180</v>
      </c>
      <c r="F163" s="40">
        <v>178</v>
      </c>
      <c r="G163" s="87" t="str" cm="1">
        <f t="array" ref="G163:I163">_xlfn.XLOOKUP(D163,Inputs!$C$6:$C$8,Inputs!$D$6:$F$8,"Not found")</f>
        <v>Meat Pie</v>
      </c>
      <c r="H163" s="88">
        <v>8</v>
      </c>
      <c r="I163" s="88">
        <v>1.2</v>
      </c>
      <c r="J163" s="88">
        <f t="shared" si="6"/>
        <v>1424</v>
      </c>
      <c r="K163" s="88">
        <f t="shared" si="7"/>
        <v>213.6</v>
      </c>
      <c r="L163" s="88">
        <f t="shared" si="8"/>
        <v>1210.4000000000001</v>
      </c>
    </row>
    <row r="164" spans="2:12" x14ac:dyDescent="0.3">
      <c r="B164" s="76">
        <v>43221</v>
      </c>
      <c r="C164" s="33" t="s">
        <v>341</v>
      </c>
      <c r="D164" s="33" t="s">
        <v>125</v>
      </c>
      <c r="E164" s="33">
        <v>75</v>
      </c>
      <c r="F164" s="40">
        <v>71</v>
      </c>
      <c r="G164" s="87" t="str" cm="1">
        <f t="array" ref="G164:I164">_xlfn.XLOOKUP(D164,Inputs!$C$6:$C$8,Inputs!$D$6:$F$8,"Not found")</f>
        <v>Meat Pie</v>
      </c>
      <c r="H164" s="88">
        <v>8.5</v>
      </c>
      <c r="I164" s="88">
        <v>1.95</v>
      </c>
      <c r="J164" s="88">
        <f t="shared" si="6"/>
        <v>603.5</v>
      </c>
      <c r="K164" s="88">
        <f t="shared" si="7"/>
        <v>138.44999999999999</v>
      </c>
      <c r="L164" s="88">
        <f t="shared" si="8"/>
        <v>465.05</v>
      </c>
    </row>
    <row r="165" spans="2:12" x14ac:dyDescent="0.3">
      <c r="B165" s="76">
        <v>43221</v>
      </c>
      <c r="C165" s="33" t="s">
        <v>341</v>
      </c>
      <c r="D165" s="33" t="s">
        <v>126</v>
      </c>
      <c r="E165" s="33">
        <v>30</v>
      </c>
      <c r="F165" s="40">
        <v>28</v>
      </c>
      <c r="G165" s="87" t="str" cm="1">
        <f t="array" ref="G165:I165">_xlfn.XLOOKUP(D165,Inputs!$C$6:$C$8,Inputs!$D$6:$F$8,"Not found")</f>
        <v>Veggie Pie</v>
      </c>
      <c r="H165" s="88">
        <v>7.5</v>
      </c>
      <c r="I165" s="88">
        <v>1</v>
      </c>
      <c r="J165" s="88">
        <f t="shared" si="6"/>
        <v>210</v>
      </c>
      <c r="K165" s="88">
        <f t="shared" si="7"/>
        <v>28</v>
      </c>
      <c r="L165" s="88">
        <f t="shared" si="8"/>
        <v>182</v>
      </c>
    </row>
    <row r="166" spans="2:12" x14ac:dyDescent="0.3">
      <c r="B166" s="76">
        <v>43223</v>
      </c>
      <c r="C166" s="33" t="s">
        <v>341</v>
      </c>
      <c r="D166" s="33" t="s">
        <v>123</v>
      </c>
      <c r="E166" s="33">
        <v>180</v>
      </c>
      <c r="F166" s="40">
        <v>180</v>
      </c>
      <c r="G166" s="87" t="str" cm="1">
        <f t="array" ref="G166:I166">_xlfn.XLOOKUP(D166,Inputs!$C$6:$C$8,Inputs!$D$6:$F$8,"Not found")</f>
        <v>Meat Pie</v>
      </c>
      <c r="H166" s="88">
        <v>8</v>
      </c>
      <c r="I166" s="88">
        <v>1.2</v>
      </c>
      <c r="J166" s="88">
        <f t="shared" si="6"/>
        <v>1440</v>
      </c>
      <c r="K166" s="88">
        <f t="shared" si="7"/>
        <v>216</v>
      </c>
      <c r="L166" s="88">
        <f t="shared" si="8"/>
        <v>1224</v>
      </c>
    </row>
    <row r="167" spans="2:12" x14ac:dyDescent="0.3">
      <c r="B167" s="76">
        <v>43223</v>
      </c>
      <c r="C167" s="33" t="s">
        <v>341</v>
      </c>
      <c r="D167" s="33" t="s">
        <v>125</v>
      </c>
      <c r="E167" s="33">
        <v>75</v>
      </c>
      <c r="F167" s="40">
        <v>70</v>
      </c>
      <c r="G167" s="87" t="str" cm="1">
        <f t="array" ref="G167:I167">_xlfn.XLOOKUP(D167,Inputs!$C$6:$C$8,Inputs!$D$6:$F$8,"Not found")</f>
        <v>Meat Pie</v>
      </c>
      <c r="H167" s="88">
        <v>8.5</v>
      </c>
      <c r="I167" s="88">
        <v>1.95</v>
      </c>
      <c r="J167" s="88">
        <f t="shared" si="6"/>
        <v>595</v>
      </c>
      <c r="K167" s="88">
        <f t="shared" si="7"/>
        <v>136.5</v>
      </c>
      <c r="L167" s="88">
        <f t="shared" si="8"/>
        <v>458.5</v>
      </c>
    </row>
    <row r="168" spans="2:12" x14ac:dyDescent="0.3">
      <c r="B168" s="76">
        <v>43223</v>
      </c>
      <c r="C168" s="33" t="s">
        <v>341</v>
      </c>
      <c r="D168" s="33" t="s">
        <v>126</v>
      </c>
      <c r="E168" s="33">
        <v>30</v>
      </c>
      <c r="F168" s="40">
        <v>23</v>
      </c>
      <c r="G168" s="87" t="str" cm="1">
        <f t="array" ref="G168:I168">_xlfn.XLOOKUP(D168,Inputs!$C$6:$C$8,Inputs!$D$6:$F$8,"Not found")</f>
        <v>Veggie Pie</v>
      </c>
      <c r="H168" s="88">
        <v>7.5</v>
      </c>
      <c r="I168" s="88">
        <v>1</v>
      </c>
      <c r="J168" s="88">
        <f t="shared" si="6"/>
        <v>172.5</v>
      </c>
      <c r="K168" s="88">
        <f t="shared" si="7"/>
        <v>23</v>
      </c>
      <c r="L168" s="88">
        <f t="shared" si="8"/>
        <v>149.5</v>
      </c>
    </row>
    <row r="169" spans="2:12" x14ac:dyDescent="0.3">
      <c r="B169" s="76">
        <v>43225</v>
      </c>
      <c r="C169" s="33" t="s">
        <v>341</v>
      </c>
      <c r="D169" s="33" t="s">
        <v>123</v>
      </c>
      <c r="E169" s="33">
        <v>180</v>
      </c>
      <c r="F169" s="40">
        <v>180</v>
      </c>
      <c r="G169" s="87" t="str" cm="1">
        <f t="array" ref="G169:I169">_xlfn.XLOOKUP(D169,Inputs!$C$6:$C$8,Inputs!$D$6:$F$8,"Not found")</f>
        <v>Meat Pie</v>
      </c>
      <c r="H169" s="88">
        <v>8</v>
      </c>
      <c r="I169" s="88">
        <v>1.2</v>
      </c>
      <c r="J169" s="88">
        <f t="shared" si="6"/>
        <v>1440</v>
      </c>
      <c r="K169" s="88">
        <f t="shared" si="7"/>
        <v>216</v>
      </c>
      <c r="L169" s="88">
        <f t="shared" si="8"/>
        <v>1224</v>
      </c>
    </row>
    <row r="170" spans="2:12" x14ac:dyDescent="0.3">
      <c r="B170" s="76">
        <v>43225</v>
      </c>
      <c r="C170" s="33" t="s">
        <v>341</v>
      </c>
      <c r="D170" s="33" t="s">
        <v>125</v>
      </c>
      <c r="E170" s="33">
        <v>75</v>
      </c>
      <c r="F170" s="40">
        <v>75</v>
      </c>
      <c r="G170" s="87" t="str" cm="1">
        <f t="array" ref="G170:I170">_xlfn.XLOOKUP(D170,Inputs!$C$6:$C$8,Inputs!$D$6:$F$8,"Not found")</f>
        <v>Meat Pie</v>
      </c>
      <c r="H170" s="88">
        <v>8.5</v>
      </c>
      <c r="I170" s="88">
        <v>1.95</v>
      </c>
      <c r="J170" s="88">
        <f t="shared" si="6"/>
        <v>637.5</v>
      </c>
      <c r="K170" s="88">
        <f t="shared" si="7"/>
        <v>146.25</v>
      </c>
      <c r="L170" s="88">
        <f t="shared" si="8"/>
        <v>491.25</v>
      </c>
    </row>
    <row r="171" spans="2:12" x14ac:dyDescent="0.3">
      <c r="B171" s="76">
        <v>43225</v>
      </c>
      <c r="C171" s="33" t="s">
        <v>341</v>
      </c>
      <c r="D171" s="33" t="s">
        <v>126</v>
      </c>
      <c r="E171" s="33">
        <v>30</v>
      </c>
      <c r="F171" s="40">
        <v>30</v>
      </c>
      <c r="G171" s="87" t="str" cm="1">
        <f t="array" ref="G171:I171">_xlfn.XLOOKUP(D171,Inputs!$C$6:$C$8,Inputs!$D$6:$F$8,"Not found")</f>
        <v>Veggie Pie</v>
      </c>
      <c r="H171" s="88">
        <v>7.5</v>
      </c>
      <c r="I171" s="88">
        <v>1</v>
      </c>
      <c r="J171" s="88">
        <f t="shared" si="6"/>
        <v>225</v>
      </c>
      <c r="K171" s="88">
        <f t="shared" si="7"/>
        <v>30</v>
      </c>
      <c r="L171" s="88">
        <f t="shared" si="8"/>
        <v>195</v>
      </c>
    </row>
    <row r="172" spans="2:12" x14ac:dyDescent="0.3">
      <c r="B172" s="76">
        <v>43228</v>
      </c>
      <c r="C172" s="33" t="s">
        <v>341</v>
      </c>
      <c r="D172" s="33" t="s">
        <v>123</v>
      </c>
      <c r="E172" s="33">
        <v>180</v>
      </c>
      <c r="F172" s="40">
        <v>177</v>
      </c>
      <c r="G172" s="87" t="str" cm="1">
        <f t="array" ref="G172:I172">_xlfn.XLOOKUP(D172,Inputs!$C$6:$C$8,Inputs!$D$6:$F$8,"Not found")</f>
        <v>Meat Pie</v>
      </c>
      <c r="H172" s="88">
        <v>8</v>
      </c>
      <c r="I172" s="88">
        <v>1.2</v>
      </c>
      <c r="J172" s="88">
        <f t="shared" si="6"/>
        <v>1416</v>
      </c>
      <c r="K172" s="88">
        <f t="shared" si="7"/>
        <v>212.4</v>
      </c>
      <c r="L172" s="88">
        <f t="shared" si="8"/>
        <v>1203.5999999999999</v>
      </c>
    </row>
    <row r="173" spans="2:12" x14ac:dyDescent="0.3">
      <c r="B173" s="76">
        <v>43228</v>
      </c>
      <c r="C173" s="33" t="s">
        <v>341</v>
      </c>
      <c r="D173" s="33" t="s">
        <v>125</v>
      </c>
      <c r="E173" s="33">
        <v>75</v>
      </c>
      <c r="F173" s="40">
        <v>70</v>
      </c>
      <c r="G173" s="87" t="str" cm="1">
        <f t="array" ref="G173:I173">_xlfn.XLOOKUP(D173,Inputs!$C$6:$C$8,Inputs!$D$6:$F$8,"Not found")</f>
        <v>Meat Pie</v>
      </c>
      <c r="H173" s="88">
        <v>8.5</v>
      </c>
      <c r="I173" s="88">
        <v>1.95</v>
      </c>
      <c r="J173" s="88">
        <f t="shared" si="6"/>
        <v>595</v>
      </c>
      <c r="K173" s="88">
        <f t="shared" si="7"/>
        <v>136.5</v>
      </c>
      <c r="L173" s="88">
        <f t="shared" si="8"/>
        <v>458.5</v>
      </c>
    </row>
    <row r="174" spans="2:12" x14ac:dyDescent="0.3">
      <c r="B174" s="76">
        <v>43228</v>
      </c>
      <c r="C174" s="33" t="s">
        <v>341</v>
      </c>
      <c r="D174" s="33" t="s">
        <v>126</v>
      </c>
      <c r="E174" s="33">
        <v>30</v>
      </c>
      <c r="F174" s="40">
        <v>23</v>
      </c>
      <c r="G174" s="87" t="str" cm="1">
        <f t="array" ref="G174:I174">_xlfn.XLOOKUP(D174,Inputs!$C$6:$C$8,Inputs!$D$6:$F$8,"Not found")</f>
        <v>Veggie Pie</v>
      </c>
      <c r="H174" s="88">
        <v>7.5</v>
      </c>
      <c r="I174" s="88">
        <v>1</v>
      </c>
      <c r="J174" s="88">
        <f t="shared" si="6"/>
        <v>172.5</v>
      </c>
      <c r="K174" s="88">
        <f t="shared" si="7"/>
        <v>23</v>
      </c>
      <c r="L174" s="88">
        <f t="shared" si="8"/>
        <v>149.5</v>
      </c>
    </row>
    <row r="175" spans="2:12" x14ac:dyDescent="0.3">
      <c r="B175" s="76">
        <v>43230</v>
      </c>
      <c r="C175" s="33" t="s">
        <v>341</v>
      </c>
      <c r="D175" s="33" t="s">
        <v>123</v>
      </c>
      <c r="E175" s="33">
        <v>180</v>
      </c>
      <c r="F175" s="40">
        <v>180</v>
      </c>
      <c r="G175" s="87" t="str" cm="1">
        <f t="array" ref="G175:I175">_xlfn.XLOOKUP(D175,Inputs!$C$6:$C$8,Inputs!$D$6:$F$8,"Not found")</f>
        <v>Meat Pie</v>
      </c>
      <c r="H175" s="88">
        <v>8</v>
      </c>
      <c r="I175" s="88">
        <v>1.2</v>
      </c>
      <c r="J175" s="88">
        <f t="shared" si="6"/>
        <v>1440</v>
      </c>
      <c r="K175" s="88">
        <f t="shared" si="7"/>
        <v>216</v>
      </c>
      <c r="L175" s="88">
        <f t="shared" si="8"/>
        <v>1224</v>
      </c>
    </row>
    <row r="176" spans="2:12" x14ac:dyDescent="0.3">
      <c r="B176" s="76">
        <v>43230</v>
      </c>
      <c r="C176" s="33" t="s">
        <v>341</v>
      </c>
      <c r="D176" s="33" t="s">
        <v>125</v>
      </c>
      <c r="E176" s="33">
        <v>75</v>
      </c>
      <c r="F176" s="40">
        <v>74</v>
      </c>
      <c r="G176" s="87" t="str" cm="1">
        <f t="array" ref="G176:I176">_xlfn.XLOOKUP(D176,Inputs!$C$6:$C$8,Inputs!$D$6:$F$8,"Not found")</f>
        <v>Meat Pie</v>
      </c>
      <c r="H176" s="88">
        <v>8.5</v>
      </c>
      <c r="I176" s="88">
        <v>1.95</v>
      </c>
      <c r="J176" s="88">
        <f t="shared" si="6"/>
        <v>629</v>
      </c>
      <c r="K176" s="88">
        <f t="shared" si="7"/>
        <v>144.29999999999998</v>
      </c>
      <c r="L176" s="88">
        <f t="shared" si="8"/>
        <v>484.70000000000005</v>
      </c>
    </row>
    <row r="177" spans="2:12" x14ac:dyDescent="0.3">
      <c r="B177" s="76">
        <v>43230</v>
      </c>
      <c r="C177" s="33" t="s">
        <v>341</v>
      </c>
      <c r="D177" s="33" t="s">
        <v>126</v>
      </c>
      <c r="E177" s="33">
        <v>30</v>
      </c>
      <c r="F177" s="40">
        <v>27</v>
      </c>
      <c r="G177" s="87" t="str" cm="1">
        <f t="array" ref="G177:I177">_xlfn.XLOOKUP(D177,Inputs!$C$6:$C$8,Inputs!$D$6:$F$8,"Not found")</f>
        <v>Veggie Pie</v>
      </c>
      <c r="H177" s="88">
        <v>7.5</v>
      </c>
      <c r="I177" s="88">
        <v>1</v>
      </c>
      <c r="J177" s="88">
        <f t="shared" si="6"/>
        <v>202.5</v>
      </c>
      <c r="K177" s="88">
        <f t="shared" si="7"/>
        <v>27</v>
      </c>
      <c r="L177" s="88">
        <f t="shared" si="8"/>
        <v>175.5</v>
      </c>
    </row>
    <row r="178" spans="2:12" x14ac:dyDescent="0.3">
      <c r="B178" s="76">
        <v>43232</v>
      </c>
      <c r="C178" s="33" t="s">
        <v>341</v>
      </c>
      <c r="D178" s="33" t="s">
        <v>123</v>
      </c>
      <c r="E178" s="33">
        <v>180</v>
      </c>
      <c r="F178" s="40">
        <v>180</v>
      </c>
      <c r="G178" s="87" t="str" cm="1">
        <f t="array" ref="G178:I178">_xlfn.XLOOKUP(D178,Inputs!$C$6:$C$8,Inputs!$D$6:$F$8,"Not found")</f>
        <v>Meat Pie</v>
      </c>
      <c r="H178" s="88">
        <v>8</v>
      </c>
      <c r="I178" s="88">
        <v>1.2</v>
      </c>
      <c r="J178" s="88">
        <f t="shared" si="6"/>
        <v>1440</v>
      </c>
      <c r="K178" s="88">
        <f t="shared" si="7"/>
        <v>216</v>
      </c>
      <c r="L178" s="88">
        <f t="shared" si="8"/>
        <v>1224</v>
      </c>
    </row>
    <row r="179" spans="2:12" x14ac:dyDescent="0.3">
      <c r="B179" s="76">
        <v>43232</v>
      </c>
      <c r="C179" s="33" t="s">
        <v>341</v>
      </c>
      <c r="D179" s="33" t="s">
        <v>125</v>
      </c>
      <c r="E179" s="33">
        <v>75</v>
      </c>
      <c r="F179" s="40">
        <v>75</v>
      </c>
      <c r="G179" s="87" t="str" cm="1">
        <f t="array" ref="G179:I179">_xlfn.XLOOKUP(D179,Inputs!$C$6:$C$8,Inputs!$D$6:$F$8,"Not found")</f>
        <v>Meat Pie</v>
      </c>
      <c r="H179" s="88">
        <v>8.5</v>
      </c>
      <c r="I179" s="88">
        <v>1.95</v>
      </c>
      <c r="J179" s="88">
        <f t="shared" si="6"/>
        <v>637.5</v>
      </c>
      <c r="K179" s="88">
        <f t="shared" si="7"/>
        <v>146.25</v>
      </c>
      <c r="L179" s="88">
        <f t="shared" si="8"/>
        <v>491.25</v>
      </c>
    </row>
    <row r="180" spans="2:12" x14ac:dyDescent="0.3">
      <c r="B180" s="76">
        <v>43232</v>
      </c>
      <c r="C180" s="33" t="s">
        <v>341</v>
      </c>
      <c r="D180" s="33" t="s">
        <v>126</v>
      </c>
      <c r="E180" s="33">
        <v>30</v>
      </c>
      <c r="F180" s="40">
        <v>30</v>
      </c>
      <c r="G180" s="87" t="str" cm="1">
        <f t="array" ref="G180:I180">_xlfn.XLOOKUP(D180,Inputs!$C$6:$C$8,Inputs!$D$6:$F$8,"Not found")</f>
        <v>Veggie Pie</v>
      </c>
      <c r="H180" s="88">
        <v>7.5</v>
      </c>
      <c r="I180" s="88">
        <v>1</v>
      </c>
      <c r="J180" s="88">
        <f t="shared" si="6"/>
        <v>225</v>
      </c>
      <c r="K180" s="88">
        <f t="shared" si="7"/>
        <v>30</v>
      </c>
      <c r="L180" s="88">
        <f t="shared" si="8"/>
        <v>195</v>
      </c>
    </row>
    <row r="181" spans="2:12" x14ac:dyDescent="0.3">
      <c r="B181" s="76">
        <v>43235</v>
      </c>
      <c r="C181" s="33" t="s">
        <v>341</v>
      </c>
      <c r="D181" s="33" t="s">
        <v>123</v>
      </c>
      <c r="E181" s="33">
        <v>180</v>
      </c>
      <c r="F181" s="40">
        <v>180</v>
      </c>
      <c r="G181" s="87" t="str" cm="1">
        <f t="array" ref="G181:I181">_xlfn.XLOOKUP(D181,Inputs!$C$6:$C$8,Inputs!$D$6:$F$8,"Not found")</f>
        <v>Meat Pie</v>
      </c>
      <c r="H181" s="88">
        <v>8</v>
      </c>
      <c r="I181" s="88">
        <v>1.2</v>
      </c>
      <c r="J181" s="88">
        <f t="shared" si="6"/>
        <v>1440</v>
      </c>
      <c r="K181" s="88">
        <f t="shared" si="7"/>
        <v>216</v>
      </c>
      <c r="L181" s="88">
        <f t="shared" si="8"/>
        <v>1224</v>
      </c>
    </row>
    <row r="182" spans="2:12" x14ac:dyDescent="0.3">
      <c r="B182" s="76">
        <v>43235</v>
      </c>
      <c r="C182" s="33" t="s">
        <v>341</v>
      </c>
      <c r="D182" s="33" t="s">
        <v>125</v>
      </c>
      <c r="E182" s="33">
        <v>75</v>
      </c>
      <c r="F182" s="40">
        <v>71</v>
      </c>
      <c r="G182" s="87" t="str" cm="1">
        <f t="array" ref="G182:I182">_xlfn.XLOOKUP(D182,Inputs!$C$6:$C$8,Inputs!$D$6:$F$8,"Not found")</f>
        <v>Meat Pie</v>
      </c>
      <c r="H182" s="88">
        <v>8.5</v>
      </c>
      <c r="I182" s="88">
        <v>1.95</v>
      </c>
      <c r="J182" s="88">
        <f t="shared" si="6"/>
        <v>603.5</v>
      </c>
      <c r="K182" s="88">
        <f t="shared" si="7"/>
        <v>138.44999999999999</v>
      </c>
      <c r="L182" s="88">
        <f t="shared" si="8"/>
        <v>465.05</v>
      </c>
    </row>
    <row r="183" spans="2:12" x14ac:dyDescent="0.3">
      <c r="B183" s="76">
        <v>43235</v>
      </c>
      <c r="C183" s="33" t="s">
        <v>341</v>
      </c>
      <c r="D183" s="33" t="s">
        <v>126</v>
      </c>
      <c r="E183" s="33">
        <v>30</v>
      </c>
      <c r="F183" s="40">
        <v>25</v>
      </c>
      <c r="G183" s="87" t="str" cm="1">
        <f t="array" ref="G183:I183">_xlfn.XLOOKUP(D183,Inputs!$C$6:$C$8,Inputs!$D$6:$F$8,"Not found")</f>
        <v>Veggie Pie</v>
      </c>
      <c r="H183" s="88">
        <v>7.5</v>
      </c>
      <c r="I183" s="88">
        <v>1</v>
      </c>
      <c r="J183" s="88">
        <f t="shared" si="6"/>
        <v>187.5</v>
      </c>
      <c r="K183" s="88">
        <f t="shared" si="7"/>
        <v>25</v>
      </c>
      <c r="L183" s="88">
        <f t="shared" si="8"/>
        <v>162.5</v>
      </c>
    </row>
    <row r="184" spans="2:12" x14ac:dyDescent="0.3">
      <c r="B184" s="76">
        <v>43237</v>
      </c>
      <c r="C184" s="33" t="s">
        <v>341</v>
      </c>
      <c r="D184" s="33" t="s">
        <v>123</v>
      </c>
      <c r="E184" s="33">
        <v>180</v>
      </c>
      <c r="F184" s="40">
        <v>174</v>
      </c>
      <c r="G184" s="87" t="str" cm="1">
        <f t="array" ref="G184:I184">_xlfn.XLOOKUP(D184,Inputs!$C$6:$C$8,Inputs!$D$6:$F$8,"Not found")</f>
        <v>Meat Pie</v>
      </c>
      <c r="H184" s="88">
        <v>8</v>
      </c>
      <c r="I184" s="88">
        <v>1.2</v>
      </c>
      <c r="J184" s="88">
        <f t="shared" si="6"/>
        <v>1392</v>
      </c>
      <c r="K184" s="88">
        <f t="shared" si="7"/>
        <v>208.79999999999998</v>
      </c>
      <c r="L184" s="88">
        <f t="shared" si="8"/>
        <v>1183.2</v>
      </c>
    </row>
    <row r="185" spans="2:12" x14ac:dyDescent="0.3">
      <c r="B185" s="76">
        <v>43237</v>
      </c>
      <c r="C185" s="33" t="s">
        <v>341</v>
      </c>
      <c r="D185" s="33" t="s">
        <v>125</v>
      </c>
      <c r="E185" s="33">
        <v>75</v>
      </c>
      <c r="F185" s="40">
        <v>70</v>
      </c>
      <c r="G185" s="87" t="str" cm="1">
        <f t="array" ref="G185:I185">_xlfn.XLOOKUP(D185,Inputs!$C$6:$C$8,Inputs!$D$6:$F$8,"Not found")</f>
        <v>Meat Pie</v>
      </c>
      <c r="H185" s="88">
        <v>8.5</v>
      </c>
      <c r="I185" s="88">
        <v>1.95</v>
      </c>
      <c r="J185" s="88">
        <f t="shared" si="6"/>
        <v>595</v>
      </c>
      <c r="K185" s="88">
        <f t="shared" si="7"/>
        <v>136.5</v>
      </c>
      <c r="L185" s="88">
        <f t="shared" si="8"/>
        <v>458.5</v>
      </c>
    </row>
    <row r="186" spans="2:12" x14ac:dyDescent="0.3">
      <c r="B186" s="76">
        <v>43237</v>
      </c>
      <c r="C186" s="33" t="s">
        <v>341</v>
      </c>
      <c r="D186" s="33" t="s">
        <v>126</v>
      </c>
      <c r="E186" s="33">
        <v>30</v>
      </c>
      <c r="F186" s="40">
        <v>28</v>
      </c>
      <c r="G186" s="87" t="str" cm="1">
        <f t="array" ref="G186:I186">_xlfn.XLOOKUP(D186,Inputs!$C$6:$C$8,Inputs!$D$6:$F$8,"Not found")</f>
        <v>Veggie Pie</v>
      </c>
      <c r="H186" s="88">
        <v>7.5</v>
      </c>
      <c r="I186" s="88">
        <v>1</v>
      </c>
      <c r="J186" s="88">
        <f t="shared" si="6"/>
        <v>210</v>
      </c>
      <c r="K186" s="88">
        <f t="shared" si="7"/>
        <v>28</v>
      </c>
      <c r="L186" s="88">
        <f t="shared" si="8"/>
        <v>182</v>
      </c>
    </row>
    <row r="187" spans="2:12" x14ac:dyDescent="0.3">
      <c r="B187" s="76">
        <v>43239</v>
      </c>
      <c r="C187" s="33" t="s">
        <v>341</v>
      </c>
      <c r="D187" s="33" t="s">
        <v>123</v>
      </c>
      <c r="E187" s="33">
        <v>180</v>
      </c>
      <c r="F187" s="40">
        <v>180</v>
      </c>
      <c r="G187" s="87" t="str" cm="1">
        <f t="array" ref="G187:I187">_xlfn.XLOOKUP(D187,Inputs!$C$6:$C$8,Inputs!$D$6:$F$8,"Not found")</f>
        <v>Meat Pie</v>
      </c>
      <c r="H187" s="88">
        <v>8</v>
      </c>
      <c r="I187" s="88">
        <v>1.2</v>
      </c>
      <c r="J187" s="88">
        <f t="shared" si="6"/>
        <v>1440</v>
      </c>
      <c r="K187" s="88">
        <f t="shared" si="7"/>
        <v>216</v>
      </c>
      <c r="L187" s="88">
        <f t="shared" si="8"/>
        <v>1224</v>
      </c>
    </row>
    <row r="188" spans="2:12" x14ac:dyDescent="0.3">
      <c r="B188" s="76">
        <v>43239</v>
      </c>
      <c r="C188" s="33" t="s">
        <v>341</v>
      </c>
      <c r="D188" s="33" t="s">
        <v>125</v>
      </c>
      <c r="E188" s="33">
        <v>75</v>
      </c>
      <c r="F188" s="40">
        <v>75</v>
      </c>
      <c r="G188" s="87" t="str" cm="1">
        <f t="array" ref="G188:I188">_xlfn.XLOOKUP(D188,Inputs!$C$6:$C$8,Inputs!$D$6:$F$8,"Not found")</f>
        <v>Meat Pie</v>
      </c>
      <c r="H188" s="88">
        <v>8.5</v>
      </c>
      <c r="I188" s="88">
        <v>1.95</v>
      </c>
      <c r="J188" s="88">
        <f t="shared" si="6"/>
        <v>637.5</v>
      </c>
      <c r="K188" s="88">
        <f t="shared" si="7"/>
        <v>146.25</v>
      </c>
      <c r="L188" s="88">
        <f t="shared" si="8"/>
        <v>491.25</v>
      </c>
    </row>
    <row r="189" spans="2:12" x14ac:dyDescent="0.3">
      <c r="B189" s="76">
        <v>43239</v>
      </c>
      <c r="C189" s="33" t="s">
        <v>341</v>
      </c>
      <c r="D189" s="33" t="s">
        <v>126</v>
      </c>
      <c r="E189" s="33">
        <v>30</v>
      </c>
      <c r="F189" s="40">
        <v>30</v>
      </c>
      <c r="G189" s="87" t="str" cm="1">
        <f t="array" ref="G189:I189">_xlfn.XLOOKUP(D189,Inputs!$C$6:$C$8,Inputs!$D$6:$F$8,"Not found")</f>
        <v>Veggie Pie</v>
      </c>
      <c r="H189" s="88">
        <v>7.5</v>
      </c>
      <c r="I189" s="88">
        <v>1</v>
      </c>
      <c r="J189" s="88">
        <f t="shared" si="6"/>
        <v>225</v>
      </c>
      <c r="K189" s="88">
        <f t="shared" si="7"/>
        <v>30</v>
      </c>
      <c r="L189" s="88">
        <f t="shared" si="8"/>
        <v>195</v>
      </c>
    </row>
    <row r="190" spans="2:12" x14ac:dyDescent="0.3">
      <c r="B190" s="76">
        <v>43242</v>
      </c>
      <c r="C190" s="33" t="s">
        <v>341</v>
      </c>
      <c r="D190" s="33" t="s">
        <v>123</v>
      </c>
      <c r="E190" s="33">
        <v>180</v>
      </c>
      <c r="F190" s="40">
        <v>180</v>
      </c>
      <c r="G190" s="87" t="str" cm="1">
        <f t="array" ref="G190:I190">_xlfn.XLOOKUP(D190,Inputs!$C$6:$C$8,Inputs!$D$6:$F$8,"Not found")</f>
        <v>Meat Pie</v>
      </c>
      <c r="H190" s="88">
        <v>8</v>
      </c>
      <c r="I190" s="88">
        <v>1.2</v>
      </c>
      <c r="J190" s="88">
        <f t="shared" si="6"/>
        <v>1440</v>
      </c>
      <c r="K190" s="88">
        <f t="shared" si="7"/>
        <v>216</v>
      </c>
      <c r="L190" s="88">
        <f t="shared" si="8"/>
        <v>1224</v>
      </c>
    </row>
    <row r="191" spans="2:12" x14ac:dyDescent="0.3">
      <c r="B191" s="76">
        <v>43242</v>
      </c>
      <c r="C191" s="33" t="s">
        <v>341</v>
      </c>
      <c r="D191" s="33" t="s">
        <v>125</v>
      </c>
      <c r="E191" s="33">
        <v>75</v>
      </c>
      <c r="F191" s="40">
        <v>75</v>
      </c>
      <c r="G191" s="87" t="str" cm="1">
        <f t="array" ref="G191:I191">_xlfn.XLOOKUP(D191,Inputs!$C$6:$C$8,Inputs!$D$6:$F$8,"Not found")</f>
        <v>Meat Pie</v>
      </c>
      <c r="H191" s="88">
        <v>8.5</v>
      </c>
      <c r="I191" s="88">
        <v>1.95</v>
      </c>
      <c r="J191" s="88">
        <f t="shared" si="6"/>
        <v>637.5</v>
      </c>
      <c r="K191" s="88">
        <f t="shared" si="7"/>
        <v>146.25</v>
      </c>
      <c r="L191" s="88">
        <f t="shared" si="8"/>
        <v>491.25</v>
      </c>
    </row>
    <row r="192" spans="2:12" x14ac:dyDescent="0.3">
      <c r="B192" s="76">
        <v>43242</v>
      </c>
      <c r="C192" s="33" t="s">
        <v>341</v>
      </c>
      <c r="D192" s="33" t="s">
        <v>126</v>
      </c>
      <c r="E192" s="33">
        <v>30</v>
      </c>
      <c r="F192" s="40">
        <v>30</v>
      </c>
      <c r="G192" s="87" t="str" cm="1">
        <f t="array" ref="G192:I192">_xlfn.XLOOKUP(D192,Inputs!$C$6:$C$8,Inputs!$D$6:$F$8,"Not found")</f>
        <v>Veggie Pie</v>
      </c>
      <c r="H192" s="88">
        <v>7.5</v>
      </c>
      <c r="I192" s="88">
        <v>1</v>
      </c>
      <c r="J192" s="88">
        <f t="shared" si="6"/>
        <v>225</v>
      </c>
      <c r="K192" s="88">
        <f t="shared" si="7"/>
        <v>30</v>
      </c>
      <c r="L192" s="88">
        <f t="shared" si="8"/>
        <v>195</v>
      </c>
    </row>
    <row r="193" spans="2:12" x14ac:dyDescent="0.3">
      <c r="B193" s="76">
        <v>43244</v>
      </c>
      <c r="C193" s="33" t="s">
        <v>341</v>
      </c>
      <c r="D193" s="33" t="s">
        <v>123</v>
      </c>
      <c r="E193" s="33">
        <v>180</v>
      </c>
      <c r="F193" s="40">
        <v>180</v>
      </c>
      <c r="G193" s="87" t="str" cm="1">
        <f t="array" ref="G193:I193">_xlfn.XLOOKUP(D193,Inputs!$C$6:$C$8,Inputs!$D$6:$F$8,"Not found")</f>
        <v>Meat Pie</v>
      </c>
      <c r="H193" s="88">
        <v>8</v>
      </c>
      <c r="I193" s="88">
        <v>1.2</v>
      </c>
      <c r="J193" s="88">
        <f t="shared" si="6"/>
        <v>1440</v>
      </c>
      <c r="K193" s="88">
        <f t="shared" si="7"/>
        <v>216</v>
      </c>
      <c r="L193" s="88">
        <f t="shared" si="8"/>
        <v>1224</v>
      </c>
    </row>
    <row r="194" spans="2:12" x14ac:dyDescent="0.3">
      <c r="B194" s="76">
        <v>43244</v>
      </c>
      <c r="C194" s="33" t="s">
        <v>341</v>
      </c>
      <c r="D194" s="33" t="s">
        <v>125</v>
      </c>
      <c r="E194" s="33">
        <v>75</v>
      </c>
      <c r="F194" s="40">
        <v>75</v>
      </c>
      <c r="G194" s="87" t="str" cm="1">
        <f t="array" ref="G194:I194">_xlfn.XLOOKUP(D194,Inputs!$C$6:$C$8,Inputs!$D$6:$F$8,"Not found")</f>
        <v>Meat Pie</v>
      </c>
      <c r="H194" s="88">
        <v>8.5</v>
      </c>
      <c r="I194" s="88">
        <v>1.95</v>
      </c>
      <c r="J194" s="88">
        <f t="shared" si="6"/>
        <v>637.5</v>
      </c>
      <c r="K194" s="88">
        <f t="shared" si="7"/>
        <v>146.25</v>
      </c>
      <c r="L194" s="88">
        <f t="shared" si="8"/>
        <v>491.25</v>
      </c>
    </row>
    <row r="195" spans="2:12" x14ac:dyDescent="0.3">
      <c r="B195" s="76">
        <v>43244</v>
      </c>
      <c r="C195" s="33" t="s">
        <v>341</v>
      </c>
      <c r="D195" s="33" t="s">
        <v>126</v>
      </c>
      <c r="E195" s="33">
        <v>30</v>
      </c>
      <c r="F195" s="40">
        <v>28</v>
      </c>
      <c r="G195" s="87" t="str" cm="1">
        <f t="array" ref="G195:I195">_xlfn.XLOOKUP(D195,Inputs!$C$6:$C$8,Inputs!$D$6:$F$8,"Not found")</f>
        <v>Veggie Pie</v>
      </c>
      <c r="H195" s="88">
        <v>7.5</v>
      </c>
      <c r="I195" s="88">
        <v>1</v>
      </c>
      <c r="J195" s="88">
        <f t="shared" si="6"/>
        <v>210</v>
      </c>
      <c r="K195" s="88">
        <f t="shared" si="7"/>
        <v>28</v>
      </c>
      <c r="L195" s="88">
        <f t="shared" si="8"/>
        <v>182</v>
      </c>
    </row>
    <row r="196" spans="2:12" x14ac:dyDescent="0.3">
      <c r="B196" s="76">
        <v>43246</v>
      </c>
      <c r="C196" s="33" t="s">
        <v>341</v>
      </c>
      <c r="D196" s="33" t="s">
        <v>123</v>
      </c>
      <c r="E196" s="33">
        <v>180</v>
      </c>
      <c r="F196" s="40">
        <v>180</v>
      </c>
      <c r="G196" s="87" t="str" cm="1">
        <f t="array" ref="G196:I196">_xlfn.XLOOKUP(D196,Inputs!$C$6:$C$8,Inputs!$D$6:$F$8,"Not found")</f>
        <v>Meat Pie</v>
      </c>
      <c r="H196" s="88">
        <v>8</v>
      </c>
      <c r="I196" s="88">
        <v>1.2</v>
      </c>
      <c r="J196" s="88">
        <f t="shared" si="6"/>
        <v>1440</v>
      </c>
      <c r="K196" s="88">
        <f t="shared" si="7"/>
        <v>216</v>
      </c>
      <c r="L196" s="88">
        <f t="shared" si="8"/>
        <v>1224</v>
      </c>
    </row>
    <row r="197" spans="2:12" x14ac:dyDescent="0.3">
      <c r="B197" s="76">
        <v>43246</v>
      </c>
      <c r="C197" s="33" t="s">
        <v>341</v>
      </c>
      <c r="D197" s="33" t="s">
        <v>125</v>
      </c>
      <c r="E197" s="33">
        <v>75</v>
      </c>
      <c r="F197" s="40">
        <v>75</v>
      </c>
      <c r="G197" s="87" t="str" cm="1">
        <f t="array" ref="G197:I197">_xlfn.XLOOKUP(D197,Inputs!$C$6:$C$8,Inputs!$D$6:$F$8,"Not found")</f>
        <v>Meat Pie</v>
      </c>
      <c r="H197" s="88">
        <v>8.5</v>
      </c>
      <c r="I197" s="88">
        <v>1.95</v>
      </c>
      <c r="J197" s="88">
        <f t="shared" si="6"/>
        <v>637.5</v>
      </c>
      <c r="K197" s="88">
        <f t="shared" si="7"/>
        <v>146.25</v>
      </c>
      <c r="L197" s="88">
        <f t="shared" si="8"/>
        <v>491.25</v>
      </c>
    </row>
    <row r="198" spans="2:12" x14ac:dyDescent="0.3">
      <c r="B198" s="76">
        <v>43246</v>
      </c>
      <c r="C198" s="33" t="s">
        <v>341</v>
      </c>
      <c r="D198" s="33" t="s">
        <v>126</v>
      </c>
      <c r="E198" s="33">
        <v>30</v>
      </c>
      <c r="F198" s="40">
        <v>22</v>
      </c>
      <c r="G198" s="87" t="str" cm="1">
        <f t="array" ref="G198:I198">_xlfn.XLOOKUP(D198,Inputs!$C$6:$C$8,Inputs!$D$6:$F$8,"Not found")</f>
        <v>Veggie Pie</v>
      </c>
      <c r="H198" s="88">
        <v>7.5</v>
      </c>
      <c r="I198" s="88">
        <v>1</v>
      </c>
      <c r="J198" s="88">
        <f t="shared" si="6"/>
        <v>165</v>
      </c>
      <c r="K198" s="88">
        <f t="shared" si="7"/>
        <v>22</v>
      </c>
      <c r="L198" s="88">
        <f t="shared" si="8"/>
        <v>143</v>
      </c>
    </row>
    <row r="199" spans="2:12" x14ac:dyDescent="0.3">
      <c r="B199" s="76">
        <v>43249</v>
      </c>
      <c r="C199" s="33" t="s">
        <v>341</v>
      </c>
      <c r="D199" s="33" t="s">
        <v>123</v>
      </c>
      <c r="E199" s="33">
        <v>180</v>
      </c>
      <c r="F199" s="40">
        <v>177</v>
      </c>
      <c r="G199" s="87" t="str" cm="1">
        <f t="array" ref="G199:I199">_xlfn.XLOOKUP(D199,Inputs!$C$6:$C$8,Inputs!$D$6:$F$8,"Not found")</f>
        <v>Meat Pie</v>
      </c>
      <c r="H199" s="88">
        <v>8</v>
      </c>
      <c r="I199" s="88">
        <v>1.2</v>
      </c>
      <c r="J199" s="88">
        <f t="shared" si="6"/>
        <v>1416</v>
      </c>
      <c r="K199" s="88">
        <f t="shared" si="7"/>
        <v>212.4</v>
      </c>
      <c r="L199" s="88">
        <f t="shared" si="8"/>
        <v>1203.5999999999999</v>
      </c>
    </row>
    <row r="200" spans="2:12" x14ac:dyDescent="0.3">
      <c r="B200" s="76">
        <v>43249</v>
      </c>
      <c r="C200" s="33" t="s">
        <v>341</v>
      </c>
      <c r="D200" s="33" t="s">
        <v>125</v>
      </c>
      <c r="E200" s="33">
        <v>75</v>
      </c>
      <c r="F200" s="40">
        <v>70</v>
      </c>
      <c r="G200" s="87" t="str" cm="1">
        <f t="array" ref="G200:I200">_xlfn.XLOOKUP(D200,Inputs!$C$6:$C$8,Inputs!$D$6:$F$8,"Not found")</f>
        <v>Meat Pie</v>
      </c>
      <c r="H200" s="88">
        <v>8.5</v>
      </c>
      <c r="I200" s="88">
        <v>1.95</v>
      </c>
      <c r="J200" s="88">
        <f t="shared" si="6"/>
        <v>595</v>
      </c>
      <c r="K200" s="88">
        <f t="shared" si="7"/>
        <v>136.5</v>
      </c>
      <c r="L200" s="88">
        <f t="shared" si="8"/>
        <v>458.5</v>
      </c>
    </row>
    <row r="201" spans="2:12" x14ac:dyDescent="0.3">
      <c r="B201" s="76">
        <v>43249</v>
      </c>
      <c r="C201" s="33" t="s">
        <v>341</v>
      </c>
      <c r="D201" s="33" t="s">
        <v>126</v>
      </c>
      <c r="E201" s="33">
        <v>30</v>
      </c>
      <c r="F201" s="40">
        <v>22</v>
      </c>
      <c r="G201" s="87" t="str" cm="1">
        <f t="array" ref="G201:I201">_xlfn.XLOOKUP(D201,Inputs!$C$6:$C$8,Inputs!$D$6:$F$8,"Not found")</f>
        <v>Veggie Pie</v>
      </c>
      <c r="H201" s="88">
        <v>7.5</v>
      </c>
      <c r="I201" s="88">
        <v>1</v>
      </c>
      <c r="J201" s="88">
        <f t="shared" si="6"/>
        <v>165</v>
      </c>
      <c r="K201" s="88">
        <f t="shared" si="7"/>
        <v>22</v>
      </c>
      <c r="L201" s="88">
        <f t="shared" si="8"/>
        <v>143</v>
      </c>
    </row>
    <row r="202" spans="2:12" x14ac:dyDescent="0.3">
      <c r="B202" s="76">
        <v>43251</v>
      </c>
      <c r="C202" s="33" t="s">
        <v>341</v>
      </c>
      <c r="D202" s="33" t="s">
        <v>123</v>
      </c>
      <c r="E202" s="33">
        <v>180</v>
      </c>
      <c r="F202" s="40">
        <v>180</v>
      </c>
      <c r="G202" s="87" t="str" cm="1">
        <f t="array" ref="G202:I202">_xlfn.XLOOKUP(D202,Inputs!$C$6:$C$8,Inputs!$D$6:$F$8,"Not found")</f>
        <v>Meat Pie</v>
      </c>
      <c r="H202" s="88">
        <v>8</v>
      </c>
      <c r="I202" s="88">
        <v>1.2</v>
      </c>
      <c r="J202" s="88">
        <f t="shared" ref="J202:J243" si="9">F202 * H202</f>
        <v>1440</v>
      </c>
      <c r="K202" s="88">
        <f t="shared" ref="K202:K243" si="10">F202 * I202</f>
        <v>216</v>
      </c>
      <c r="L202" s="88">
        <f t="shared" ref="L202:L243" si="11">J202 - K202</f>
        <v>1224</v>
      </c>
    </row>
    <row r="203" spans="2:12" x14ac:dyDescent="0.3">
      <c r="B203" s="76">
        <v>43251</v>
      </c>
      <c r="C203" s="33" t="s">
        <v>341</v>
      </c>
      <c r="D203" s="33" t="s">
        <v>125</v>
      </c>
      <c r="E203" s="33">
        <v>75</v>
      </c>
      <c r="F203" s="40">
        <v>70</v>
      </c>
      <c r="G203" s="87" t="str" cm="1">
        <f t="array" ref="G203:I203">_xlfn.XLOOKUP(D203,Inputs!$C$6:$C$8,Inputs!$D$6:$F$8,"Not found")</f>
        <v>Meat Pie</v>
      </c>
      <c r="H203" s="88">
        <v>8.5</v>
      </c>
      <c r="I203" s="88">
        <v>1.95</v>
      </c>
      <c r="J203" s="88">
        <f t="shared" si="9"/>
        <v>595</v>
      </c>
      <c r="K203" s="88">
        <f t="shared" si="10"/>
        <v>136.5</v>
      </c>
      <c r="L203" s="88">
        <f t="shared" si="11"/>
        <v>458.5</v>
      </c>
    </row>
    <row r="204" spans="2:12" x14ac:dyDescent="0.3">
      <c r="B204" s="76">
        <v>43251</v>
      </c>
      <c r="C204" s="33" t="s">
        <v>341</v>
      </c>
      <c r="D204" s="33" t="s">
        <v>126</v>
      </c>
      <c r="E204" s="33">
        <v>30</v>
      </c>
      <c r="F204" s="40">
        <v>25</v>
      </c>
      <c r="G204" s="87" t="str" cm="1">
        <f t="array" ref="G204:I204">_xlfn.XLOOKUP(D204,Inputs!$C$6:$C$8,Inputs!$D$6:$F$8,"Not found")</f>
        <v>Veggie Pie</v>
      </c>
      <c r="H204" s="88">
        <v>7.5</v>
      </c>
      <c r="I204" s="88">
        <v>1</v>
      </c>
      <c r="J204" s="88">
        <f t="shared" si="9"/>
        <v>187.5</v>
      </c>
      <c r="K204" s="88">
        <f t="shared" si="10"/>
        <v>25</v>
      </c>
      <c r="L204" s="88">
        <f t="shared" si="11"/>
        <v>162.5</v>
      </c>
    </row>
    <row r="205" spans="2:12" x14ac:dyDescent="0.3">
      <c r="B205" s="76">
        <v>43253</v>
      </c>
      <c r="C205" s="33" t="s">
        <v>341</v>
      </c>
      <c r="D205" s="33" t="s">
        <v>123</v>
      </c>
      <c r="E205" s="33">
        <v>180</v>
      </c>
      <c r="F205" s="40">
        <v>180</v>
      </c>
      <c r="G205" s="87" t="str" cm="1">
        <f t="array" ref="G205:I205">_xlfn.XLOOKUP(D205,Inputs!$C$6:$C$8,Inputs!$D$6:$F$8,"Not found")</f>
        <v>Meat Pie</v>
      </c>
      <c r="H205" s="88">
        <v>8</v>
      </c>
      <c r="I205" s="88">
        <v>1.2</v>
      </c>
      <c r="J205" s="88">
        <f t="shared" si="9"/>
        <v>1440</v>
      </c>
      <c r="K205" s="88">
        <f t="shared" si="10"/>
        <v>216</v>
      </c>
      <c r="L205" s="88">
        <f t="shared" si="11"/>
        <v>1224</v>
      </c>
    </row>
    <row r="206" spans="2:12" x14ac:dyDescent="0.3">
      <c r="B206" s="76">
        <v>43253</v>
      </c>
      <c r="C206" s="33" t="s">
        <v>341</v>
      </c>
      <c r="D206" s="33" t="s">
        <v>125</v>
      </c>
      <c r="E206" s="33">
        <v>75</v>
      </c>
      <c r="F206" s="40">
        <v>75</v>
      </c>
      <c r="G206" s="87" t="str" cm="1">
        <f t="array" ref="G206:I206">_xlfn.XLOOKUP(D206,Inputs!$C$6:$C$8,Inputs!$D$6:$F$8,"Not found")</f>
        <v>Meat Pie</v>
      </c>
      <c r="H206" s="88">
        <v>8.5</v>
      </c>
      <c r="I206" s="88">
        <v>1.95</v>
      </c>
      <c r="J206" s="88">
        <f t="shared" si="9"/>
        <v>637.5</v>
      </c>
      <c r="K206" s="88">
        <f t="shared" si="10"/>
        <v>146.25</v>
      </c>
      <c r="L206" s="88">
        <f t="shared" si="11"/>
        <v>491.25</v>
      </c>
    </row>
    <row r="207" spans="2:12" x14ac:dyDescent="0.3">
      <c r="B207" s="76">
        <v>43253</v>
      </c>
      <c r="C207" s="33" t="s">
        <v>341</v>
      </c>
      <c r="D207" s="33" t="s">
        <v>126</v>
      </c>
      <c r="E207" s="33">
        <v>30</v>
      </c>
      <c r="F207" s="40">
        <v>30</v>
      </c>
      <c r="G207" s="87" t="str" cm="1">
        <f t="array" ref="G207:I207">_xlfn.XLOOKUP(D207,Inputs!$C$6:$C$8,Inputs!$D$6:$F$8,"Not found")</f>
        <v>Veggie Pie</v>
      </c>
      <c r="H207" s="88">
        <v>7.5</v>
      </c>
      <c r="I207" s="88">
        <v>1</v>
      </c>
      <c r="J207" s="88">
        <f t="shared" si="9"/>
        <v>225</v>
      </c>
      <c r="K207" s="88">
        <f t="shared" si="10"/>
        <v>30</v>
      </c>
      <c r="L207" s="88">
        <f t="shared" si="11"/>
        <v>195</v>
      </c>
    </row>
    <row r="208" spans="2:12" x14ac:dyDescent="0.3">
      <c r="B208" s="76">
        <v>43256</v>
      </c>
      <c r="C208" s="33" t="s">
        <v>341</v>
      </c>
      <c r="D208" s="33" t="s">
        <v>123</v>
      </c>
      <c r="E208" s="33">
        <v>180</v>
      </c>
      <c r="F208" s="40">
        <v>180</v>
      </c>
      <c r="G208" s="87" t="str" cm="1">
        <f t="array" ref="G208:I208">_xlfn.XLOOKUP(D208,Inputs!$C$6:$C$8,Inputs!$D$6:$F$8,"Not found")</f>
        <v>Meat Pie</v>
      </c>
      <c r="H208" s="88">
        <v>8</v>
      </c>
      <c r="I208" s="88">
        <v>1.2</v>
      </c>
      <c r="J208" s="88">
        <f t="shared" si="9"/>
        <v>1440</v>
      </c>
      <c r="K208" s="88">
        <f t="shared" si="10"/>
        <v>216</v>
      </c>
      <c r="L208" s="88">
        <f t="shared" si="11"/>
        <v>1224</v>
      </c>
    </row>
    <row r="209" spans="2:12" x14ac:dyDescent="0.3">
      <c r="B209" s="76">
        <v>43256</v>
      </c>
      <c r="C209" s="33" t="s">
        <v>341</v>
      </c>
      <c r="D209" s="33" t="s">
        <v>125</v>
      </c>
      <c r="E209" s="33">
        <v>75</v>
      </c>
      <c r="F209" s="40">
        <v>70</v>
      </c>
      <c r="G209" s="87" t="str" cm="1">
        <f t="array" ref="G209:I209">_xlfn.XLOOKUP(D209,Inputs!$C$6:$C$8,Inputs!$D$6:$F$8,"Not found")</f>
        <v>Meat Pie</v>
      </c>
      <c r="H209" s="88">
        <v>8.5</v>
      </c>
      <c r="I209" s="88">
        <v>1.95</v>
      </c>
      <c r="J209" s="88">
        <f t="shared" si="9"/>
        <v>595</v>
      </c>
      <c r="K209" s="88">
        <f t="shared" si="10"/>
        <v>136.5</v>
      </c>
      <c r="L209" s="88">
        <f t="shared" si="11"/>
        <v>458.5</v>
      </c>
    </row>
    <row r="210" spans="2:12" x14ac:dyDescent="0.3">
      <c r="B210" s="76">
        <v>43256</v>
      </c>
      <c r="C210" s="33" t="s">
        <v>341</v>
      </c>
      <c r="D210" s="33" t="s">
        <v>126</v>
      </c>
      <c r="E210" s="33">
        <v>30</v>
      </c>
      <c r="F210" s="40">
        <v>25</v>
      </c>
      <c r="G210" s="87" t="str" cm="1">
        <f t="array" ref="G210:I210">_xlfn.XLOOKUP(D210,Inputs!$C$6:$C$8,Inputs!$D$6:$F$8,"Not found")</f>
        <v>Veggie Pie</v>
      </c>
      <c r="H210" s="88">
        <v>7.5</v>
      </c>
      <c r="I210" s="88">
        <v>1</v>
      </c>
      <c r="J210" s="88">
        <f t="shared" si="9"/>
        <v>187.5</v>
      </c>
      <c r="K210" s="88">
        <f t="shared" si="10"/>
        <v>25</v>
      </c>
      <c r="L210" s="88">
        <f t="shared" si="11"/>
        <v>162.5</v>
      </c>
    </row>
    <row r="211" spans="2:12" x14ac:dyDescent="0.3">
      <c r="B211" s="76">
        <v>43258</v>
      </c>
      <c r="C211" s="33" t="s">
        <v>341</v>
      </c>
      <c r="D211" s="33" t="s">
        <v>123</v>
      </c>
      <c r="E211" s="33">
        <v>180</v>
      </c>
      <c r="F211" s="40">
        <v>180</v>
      </c>
      <c r="G211" s="87" t="str" cm="1">
        <f t="array" ref="G211:I211">_xlfn.XLOOKUP(D211,Inputs!$C$6:$C$8,Inputs!$D$6:$F$8,"Not found")</f>
        <v>Meat Pie</v>
      </c>
      <c r="H211" s="88">
        <v>8</v>
      </c>
      <c r="I211" s="88">
        <v>1.2</v>
      </c>
      <c r="J211" s="88">
        <f t="shared" si="9"/>
        <v>1440</v>
      </c>
      <c r="K211" s="88">
        <f t="shared" si="10"/>
        <v>216</v>
      </c>
      <c r="L211" s="88">
        <f t="shared" si="11"/>
        <v>1224</v>
      </c>
    </row>
    <row r="212" spans="2:12" x14ac:dyDescent="0.3">
      <c r="B212" s="76">
        <v>43258</v>
      </c>
      <c r="C212" s="33" t="s">
        <v>341</v>
      </c>
      <c r="D212" s="33" t="s">
        <v>125</v>
      </c>
      <c r="E212" s="33">
        <v>75</v>
      </c>
      <c r="F212" s="40">
        <v>72</v>
      </c>
      <c r="G212" s="87" t="str" cm="1">
        <f t="array" ref="G212:I212">_xlfn.XLOOKUP(D212,Inputs!$C$6:$C$8,Inputs!$D$6:$F$8,"Not found")</f>
        <v>Meat Pie</v>
      </c>
      <c r="H212" s="88">
        <v>8.5</v>
      </c>
      <c r="I212" s="88">
        <v>1.95</v>
      </c>
      <c r="J212" s="88">
        <f t="shared" si="9"/>
        <v>612</v>
      </c>
      <c r="K212" s="88">
        <f t="shared" si="10"/>
        <v>140.4</v>
      </c>
      <c r="L212" s="88">
        <f t="shared" si="11"/>
        <v>471.6</v>
      </c>
    </row>
    <row r="213" spans="2:12" x14ac:dyDescent="0.3">
      <c r="B213" s="76">
        <v>43258</v>
      </c>
      <c r="C213" s="33" t="s">
        <v>341</v>
      </c>
      <c r="D213" s="33" t="s">
        <v>126</v>
      </c>
      <c r="E213" s="33">
        <v>30</v>
      </c>
      <c r="F213" s="40">
        <v>27</v>
      </c>
      <c r="G213" s="87" t="str" cm="1">
        <f t="array" ref="G213:I213">_xlfn.XLOOKUP(D213,Inputs!$C$6:$C$8,Inputs!$D$6:$F$8,"Not found")</f>
        <v>Veggie Pie</v>
      </c>
      <c r="H213" s="88">
        <v>7.5</v>
      </c>
      <c r="I213" s="88">
        <v>1</v>
      </c>
      <c r="J213" s="88">
        <f t="shared" si="9"/>
        <v>202.5</v>
      </c>
      <c r="K213" s="88">
        <f t="shared" si="10"/>
        <v>27</v>
      </c>
      <c r="L213" s="88">
        <f t="shared" si="11"/>
        <v>175.5</v>
      </c>
    </row>
    <row r="214" spans="2:12" x14ac:dyDescent="0.3">
      <c r="B214" s="76">
        <v>43260</v>
      </c>
      <c r="C214" s="33" t="s">
        <v>341</v>
      </c>
      <c r="D214" s="33" t="s">
        <v>123</v>
      </c>
      <c r="E214" s="33">
        <v>180</v>
      </c>
      <c r="F214" s="40">
        <v>180</v>
      </c>
      <c r="G214" s="87" t="str" cm="1">
        <f t="array" ref="G214:I214">_xlfn.XLOOKUP(D214,Inputs!$C$6:$C$8,Inputs!$D$6:$F$8,"Not found")</f>
        <v>Meat Pie</v>
      </c>
      <c r="H214" s="88">
        <v>8</v>
      </c>
      <c r="I214" s="88">
        <v>1.2</v>
      </c>
      <c r="J214" s="88">
        <f t="shared" si="9"/>
        <v>1440</v>
      </c>
      <c r="K214" s="88">
        <f t="shared" si="10"/>
        <v>216</v>
      </c>
      <c r="L214" s="88">
        <f t="shared" si="11"/>
        <v>1224</v>
      </c>
    </row>
    <row r="215" spans="2:12" x14ac:dyDescent="0.3">
      <c r="B215" s="76">
        <v>43260</v>
      </c>
      <c r="C215" s="33" t="s">
        <v>341</v>
      </c>
      <c r="D215" s="33" t="s">
        <v>125</v>
      </c>
      <c r="E215" s="33">
        <v>75</v>
      </c>
      <c r="F215" s="40">
        <v>70</v>
      </c>
      <c r="G215" s="87" t="str" cm="1">
        <f t="array" ref="G215:I215">_xlfn.XLOOKUP(D215,Inputs!$C$6:$C$8,Inputs!$D$6:$F$8,"Not found")</f>
        <v>Meat Pie</v>
      </c>
      <c r="H215" s="88">
        <v>8.5</v>
      </c>
      <c r="I215" s="88">
        <v>1.95</v>
      </c>
      <c r="J215" s="88">
        <f t="shared" si="9"/>
        <v>595</v>
      </c>
      <c r="K215" s="88">
        <f t="shared" si="10"/>
        <v>136.5</v>
      </c>
      <c r="L215" s="88">
        <f t="shared" si="11"/>
        <v>458.5</v>
      </c>
    </row>
    <row r="216" spans="2:12" x14ac:dyDescent="0.3">
      <c r="B216" s="76">
        <v>43260</v>
      </c>
      <c r="C216" s="33" t="s">
        <v>341</v>
      </c>
      <c r="D216" s="33" t="s">
        <v>126</v>
      </c>
      <c r="E216" s="33">
        <v>30</v>
      </c>
      <c r="F216" s="40">
        <v>25</v>
      </c>
      <c r="G216" s="87" t="str" cm="1">
        <f t="array" ref="G216:I216">_xlfn.XLOOKUP(D216,Inputs!$C$6:$C$8,Inputs!$D$6:$F$8,"Not found")</f>
        <v>Veggie Pie</v>
      </c>
      <c r="H216" s="88">
        <v>7.5</v>
      </c>
      <c r="I216" s="88">
        <v>1</v>
      </c>
      <c r="J216" s="88">
        <f t="shared" si="9"/>
        <v>187.5</v>
      </c>
      <c r="K216" s="88">
        <f t="shared" si="10"/>
        <v>25</v>
      </c>
      <c r="L216" s="88">
        <f t="shared" si="11"/>
        <v>162.5</v>
      </c>
    </row>
    <row r="217" spans="2:12" x14ac:dyDescent="0.3">
      <c r="B217" s="76">
        <v>43263</v>
      </c>
      <c r="C217" s="33" t="s">
        <v>341</v>
      </c>
      <c r="D217" s="33" t="s">
        <v>123</v>
      </c>
      <c r="E217" s="33">
        <v>180</v>
      </c>
      <c r="F217" s="40">
        <v>180</v>
      </c>
      <c r="G217" s="87" t="str" cm="1">
        <f t="array" ref="G217:I217">_xlfn.XLOOKUP(D217,Inputs!$C$6:$C$8,Inputs!$D$6:$F$8,"Not found")</f>
        <v>Meat Pie</v>
      </c>
      <c r="H217" s="88">
        <v>8</v>
      </c>
      <c r="I217" s="88">
        <v>1.2</v>
      </c>
      <c r="J217" s="88">
        <f t="shared" si="9"/>
        <v>1440</v>
      </c>
      <c r="K217" s="88">
        <f t="shared" si="10"/>
        <v>216</v>
      </c>
      <c r="L217" s="88">
        <f t="shared" si="11"/>
        <v>1224</v>
      </c>
    </row>
    <row r="218" spans="2:12" x14ac:dyDescent="0.3">
      <c r="B218" s="76">
        <v>43263</v>
      </c>
      <c r="C218" s="33" t="s">
        <v>341</v>
      </c>
      <c r="D218" s="33" t="s">
        <v>125</v>
      </c>
      <c r="E218" s="33">
        <v>75</v>
      </c>
      <c r="F218" s="40">
        <v>70</v>
      </c>
      <c r="G218" s="87" t="str" cm="1">
        <f t="array" ref="G218:I218">_xlfn.XLOOKUP(D218,Inputs!$C$6:$C$8,Inputs!$D$6:$F$8,"Not found")</f>
        <v>Meat Pie</v>
      </c>
      <c r="H218" s="88">
        <v>8.5</v>
      </c>
      <c r="I218" s="88">
        <v>1.95</v>
      </c>
      <c r="J218" s="88">
        <f t="shared" si="9"/>
        <v>595</v>
      </c>
      <c r="K218" s="88">
        <f t="shared" si="10"/>
        <v>136.5</v>
      </c>
      <c r="L218" s="88">
        <f t="shared" si="11"/>
        <v>458.5</v>
      </c>
    </row>
    <row r="219" spans="2:12" x14ac:dyDescent="0.3">
      <c r="B219" s="76">
        <v>43263</v>
      </c>
      <c r="C219" s="33" t="s">
        <v>341</v>
      </c>
      <c r="D219" s="33" t="s">
        <v>126</v>
      </c>
      <c r="E219" s="33">
        <v>30</v>
      </c>
      <c r="F219" s="40">
        <v>22</v>
      </c>
      <c r="G219" s="87" t="str" cm="1">
        <f t="array" ref="G219:I219">_xlfn.XLOOKUP(D219,Inputs!$C$6:$C$8,Inputs!$D$6:$F$8,"Not found")</f>
        <v>Veggie Pie</v>
      </c>
      <c r="H219" s="88">
        <v>7.5</v>
      </c>
      <c r="I219" s="88">
        <v>1</v>
      </c>
      <c r="J219" s="88">
        <f t="shared" si="9"/>
        <v>165</v>
      </c>
      <c r="K219" s="88">
        <f t="shared" si="10"/>
        <v>22</v>
      </c>
      <c r="L219" s="88">
        <f t="shared" si="11"/>
        <v>143</v>
      </c>
    </row>
    <row r="220" spans="2:12" x14ac:dyDescent="0.3">
      <c r="B220" s="76">
        <v>43265</v>
      </c>
      <c r="C220" s="33" t="s">
        <v>341</v>
      </c>
      <c r="D220" s="33" t="s">
        <v>123</v>
      </c>
      <c r="E220" s="33">
        <v>180</v>
      </c>
      <c r="F220" s="40">
        <v>180</v>
      </c>
      <c r="G220" s="87" t="str" cm="1">
        <f t="array" ref="G220:I220">_xlfn.XLOOKUP(D220,Inputs!$C$6:$C$8,Inputs!$D$6:$F$8,"Not found")</f>
        <v>Meat Pie</v>
      </c>
      <c r="H220" s="88">
        <v>8</v>
      </c>
      <c r="I220" s="88">
        <v>1.2</v>
      </c>
      <c r="J220" s="88">
        <f t="shared" si="9"/>
        <v>1440</v>
      </c>
      <c r="K220" s="88">
        <f t="shared" si="10"/>
        <v>216</v>
      </c>
      <c r="L220" s="88">
        <f t="shared" si="11"/>
        <v>1224</v>
      </c>
    </row>
    <row r="221" spans="2:12" x14ac:dyDescent="0.3">
      <c r="B221" s="76">
        <v>43265</v>
      </c>
      <c r="C221" s="33" t="s">
        <v>341</v>
      </c>
      <c r="D221" s="33" t="s">
        <v>125</v>
      </c>
      <c r="E221" s="33">
        <v>75</v>
      </c>
      <c r="F221" s="40">
        <v>75</v>
      </c>
      <c r="G221" s="87" t="str" cm="1">
        <f t="array" ref="G221:I221">_xlfn.XLOOKUP(D221,Inputs!$C$6:$C$8,Inputs!$D$6:$F$8,"Not found")</f>
        <v>Meat Pie</v>
      </c>
      <c r="H221" s="88">
        <v>8.5</v>
      </c>
      <c r="I221" s="88">
        <v>1.95</v>
      </c>
      <c r="J221" s="88">
        <f t="shared" si="9"/>
        <v>637.5</v>
      </c>
      <c r="K221" s="88">
        <f t="shared" si="10"/>
        <v>146.25</v>
      </c>
      <c r="L221" s="88">
        <f t="shared" si="11"/>
        <v>491.25</v>
      </c>
    </row>
    <row r="222" spans="2:12" x14ac:dyDescent="0.3">
      <c r="B222" s="76">
        <v>43265</v>
      </c>
      <c r="C222" s="33" t="s">
        <v>341</v>
      </c>
      <c r="D222" s="33" t="s">
        <v>126</v>
      </c>
      <c r="E222" s="33">
        <v>30</v>
      </c>
      <c r="F222" s="40">
        <v>28</v>
      </c>
      <c r="G222" s="87" t="str" cm="1">
        <f t="array" ref="G222:I222">_xlfn.XLOOKUP(D222,Inputs!$C$6:$C$8,Inputs!$D$6:$F$8,"Not found")</f>
        <v>Veggie Pie</v>
      </c>
      <c r="H222" s="88">
        <v>7.5</v>
      </c>
      <c r="I222" s="88">
        <v>1</v>
      </c>
      <c r="J222" s="88">
        <f t="shared" si="9"/>
        <v>210</v>
      </c>
      <c r="K222" s="88">
        <f t="shared" si="10"/>
        <v>28</v>
      </c>
      <c r="L222" s="88">
        <f t="shared" si="11"/>
        <v>182</v>
      </c>
    </row>
    <row r="223" spans="2:12" x14ac:dyDescent="0.3">
      <c r="B223" s="76">
        <v>43267</v>
      </c>
      <c r="C223" s="33" t="s">
        <v>341</v>
      </c>
      <c r="D223" s="33" t="s">
        <v>123</v>
      </c>
      <c r="E223" s="33">
        <v>180</v>
      </c>
      <c r="F223" s="40">
        <v>180</v>
      </c>
      <c r="G223" s="87" t="str" cm="1">
        <f t="array" ref="G223:I223">_xlfn.XLOOKUP(D223,Inputs!$C$6:$C$8,Inputs!$D$6:$F$8,"Not found")</f>
        <v>Meat Pie</v>
      </c>
      <c r="H223" s="88">
        <v>8</v>
      </c>
      <c r="I223" s="88">
        <v>1.2</v>
      </c>
      <c r="J223" s="88">
        <f t="shared" si="9"/>
        <v>1440</v>
      </c>
      <c r="K223" s="88">
        <f t="shared" si="10"/>
        <v>216</v>
      </c>
      <c r="L223" s="88">
        <f t="shared" si="11"/>
        <v>1224</v>
      </c>
    </row>
    <row r="224" spans="2:12" x14ac:dyDescent="0.3">
      <c r="B224" s="76">
        <v>43267</v>
      </c>
      <c r="C224" s="33" t="s">
        <v>341</v>
      </c>
      <c r="D224" s="33" t="s">
        <v>125</v>
      </c>
      <c r="E224" s="33">
        <v>75</v>
      </c>
      <c r="F224" s="40">
        <v>75</v>
      </c>
      <c r="G224" s="87" t="str" cm="1">
        <f t="array" ref="G224:I224">_xlfn.XLOOKUP(D224,Inputs!$C$6:$C$8,Inputs!$D$6:$F$8,"Not found")</f>
        <v>Meat Pie</v>
      </c>
      <c r="H224" s="88">
        <v>8.5</v>
      </c>
      <c r="I224" s="88">
        <v>1.95</v>
      </c>
      <c r="J224" s="88">
        <f t="shared" si="9"/>
        <v>637.5</v>
      </c>
      <c r="K224" s="88">
        <f t="shared" si="10"/>
        <v>146.25</v>
      </c>
      <c r="L224" s="88">
        <f t="shared" si="11"/>
        <v>491.25</v>
      </c>
    </row>
    <row r="225" spans="2:12" x14ac:dyDescent="0.3">
      <c r="B225" s="76">
        <v>43267</v>
      </c>
      <c r="C225" s="33" t="s">
        <v>341</v>
      </c>
      <c r="D225" s="33" t="s">
        <v>126</v>
      </c>
      <c r="E225" s="33">
        <v>30</v>
      </c>
      <c r="F225" s="40">
        <v>30</v>
      </c>
      <c r="G225" s="87" t="str" cm="1">
        <f t="array" ref="G225:I225">_xlfn.XLOOKUP(D225,Inputs!$C$6:$C$8,Inputs!$D$6:$F$8,"Not found")</f>
        <v>Veggie Pie</v>
      </c>
      <c r="H225" s="88">
        <v>7.5</v>
      </c>
      <c r="I225" s="88">
        <v>1</v>
      </c>
      <c r="J225" s="88">
        <f t="shared" si="9"/>
        <v>225</v>
      </c>
      <c r="K225" s="88">
        <f t="shared" si="10"/>
        <v>30</v>
      </c>
      <c r="L225" s="88">
        <f t="shared" si="11"/>
        <v>195</v>
      </c>
    </row>
    <row r="226" spans="2:12" x14ac:dyDescent="0.3">
      <c r="B226" s="76">
        <v>43270</v>
      </c>
      <c r="C226" s="33" t="s">
        <v>341</v>
      </c>
      <c r="D226" s="33" t="s">
        <v>123</v>
      </c>
      <c r="E226" s="33">
        <v>180</v>
      </c>
      <c r="F226" s="40">
        <v>180</v>
      </c>
      <c r="G226" s="87" t="str" cm="1">
        <f t="array" ref="G226:I226">_xlfn.XLOOKUP(D226,Inputs!$C$6:$C$8,Inputs!$D$6:$F$8,"Not found")</f>
        <v>Meat Pie</v>
      </c>
      <c r="H226" s="88">
        <v>8</v>
      </c>
      <c r="I226" s="88">
        <v>1.2</v>
      </c>
      <c r="J226" s="88">
        <f t="shared" si="9"/>
        <v>1440</v>
      </c>
      <c r="K226" s="88">
        <f t="shared" si="10"/>
        <v>216</v>
      </c>
      <c r="L226" s="88">
        <f t="shared" si="11"/>
        <v>1224</v>
      </c>
    </row>
    <row r="227" spans="2:12" x14ac:dyDescent="0.3">
      <c r="B227" s="76">
        <v>43270</v>
      </c>
      <c r="C227" s="33" t="s">
        <v>341</v>
      </c>
      <c r="D227" s="33" t="s">
        <v>125</v>
      </c>
      <c r="E227" s="33">
        <v>75</v>
      </c>
      <c r="F227" s="40">
        <v>70</v>
      </c>
      <c r="G227" s="87" t="str" cm="1">
        <f t="array" ref="G227:I227">_xlfn.XLOOKUP(D227,Inputs!$C$6:$C$8,Inputs!$D$6:$F$8,"Not found")</f>
        <v>Meat Pie</v>
      </c>
      <c r="H227" s="88">
        <v>8.5</v>
      </c>
      <c r="I227" s="88">
        <v>1.95</v>
      </c>
      <c r="J227" s="88">
        <f t="shared" si="9"/>
        <v>595</v>
      </c>
      <c r="K227" s="88">
        <f t="shared" si="10"/>
        <v>136.5</v>
      </c>
      <c r="L227" s="88">
        <f t="shared" si="11"/>
        <v>458.5</v>
      </c>
    </row>
    <row r="228" spans="2:12" x14ac:dyDescent="0.3">
      <c r="B228" s="76">
        <v>43270</v>
      </c>
      <c r="C228" s="33" t="s">
        <v>341</v>
      </c>
      <c r="D228" s="33" t="s">
        <v>126</v>
      </c>
      <c r="E228" s="33">
        <v>30</v>
      </c>
      <c r="F228" s="40">
        <v>21</v>
      </c>
      <c r="G228" s="87" t="str" cm="1">
        <f t="array" ref="G228:I228">_xlfn.XLOOKUP(D228,Inputs!$C$6:$C$8,Inputs!$D$6:$F$8,"Not found")</f>
        <v>Veggie Pie</v>
      </c>
      <c r="H228" s="88">
        <v>7.5</v>
      </c>
      <c r="I228" s="88">
        <v>1</v>
      </c>
      <c r="J228" s="88">
        <f t="shared" si="9"/>
        <v>157.5</v>
      </c>
      <c r="K228" s="88">
        <f t="shared" si="10"/>
        <v>21</v>
      </c>
      <c r="L228" s="88">
        <f t="shared" si="11"/>
        <v>136.5</v>
      </c>
    </row>
    <row r="229" spans="2:12" x14ac:dyDescent="0.3">
      <c r="B229" s="76">
        <v>43272</v>
      </c>
      <c r="C229" s="33" t="s">
        <v>341</v>
      </c>
      <c r="D229" s="33" t="s">
        <v>123</v>
      </c>
      <c r="E229" s="33">
        <v>180</v>
      </c>
      <c r="F229" s="40">
        <v>180</v>
      </c>
      <c r="G229" s="87" t="str" cm="1">
        <f t="array" ref="G229:I229">_xlfn.XLOOKUP(D229,Inputs!$C$6:$C$8,Inputs!$D$6:$F$8,"Not found")</f>
        <v>Meat Pie</v>
      </c>
      <c r="H229" s="88">
        <v>8</v>
      </c>
      <c r="I229" s="88">
        <v>1.2</v>
      </c>
      <c r="J229" s="88">
        <f t="shared" si="9"/>
        <v>1440</v>
      </c>
      <c r="K229" s="88">
        <f t="shared" si="10"/>
        <v>216</v>
      </c>
      <c r="L229" s="88">
        <f t="shared" si="11"/>
        <v>1224</v>
      </c>
    </row>
    <row r="230" spans="2:12" x14ac:dyDescent="0.3">
      <c r="B230" s="76">
        <v>43272</v>
      </c>
      <c r="C230" s="33" t="s">
        <v>341</v>
      </c>
      <c r="D230" s="33" t="s">
        <v>125</v>
      </c>
      <c r="E230" s="33">
        <v>75</v>
      </c>
      <c r="F230" s="40">
        <v>70</v>
      </c>
      <c r="G230" s="87" t="str" cm="1">
        <f t="array" ref="G230:I230">_xlfn.XLOOKUP(D230,Inputs!$C$6:$C$8,Inputs!$D$6:$F$8,"Not found")</f>
        <v>Meat Pie</v>
      </c>
      <c r="H230" s="88">
        <v>8.5</v>
      </c>
      <c r="I230" s="88">
        <v>1.95</v>
      </c>
      <c r="J230" s="88">
        <f t="shared" si="9"/>
        <v>595</v>
      </c>
      <c r="K230" s="88">
        <f t="shared" si="10"/>
        <v>136.5</v>
      </c>
      <c r="L230" s="88">
        <f t="shared" si="11"/>
        <v>458.5</v>
      </c>
    </row>
    <row r="231" spans="2:12" x14ac:dyDescent="0.3">
      <c r="B231" s="76">
        <v>43272</v>
      </c>
      <c r="C231" s="33" t="s">
        <v>341</v>
      </c>
      <c r="D231" s="33" t="s">
        <v>126</v>
      </c>
      <c r="E231" s="33">
        <v>30</v>
      </c>
      <c r="F231" s="40">
        <v>25</v>
      </c>
      <c r="G231" s="87" t="str" cm="1">
        <f t="array" ref="G231:I231">_xlfn.XLOOKUP(D231,Inputs!$C$6:$C$8,Inputs!$D$6:$F$8,"Not found")</f>
        <v>Veggie Pie</v>
      </c>
      <c r="H231" s="88">
        <v>7.5</v>
      </c>
      <c r="I231" s="88">
        <v>1</v>
      </c>
      <c r="J231" s="88">
        <f t="shared" si="9"/>
        <v>187.5</v>
      </c>
      <c r="K231" s="88">
        <f t="shared" si="10"/>
        <v>25</v>
      </c>
      <c r="L231" s="88">
        <f t="shared" si="11"/>
        <v>162.5</v>
      </c>
    </row>
    <row r="232" spans="2:12" x14ac:dyDescent="0.3">
      <c r="B232" s="76">
        <v>43274</v>
      </c>
      <c r="C232" s="33" t="s">
        <v>341</v>
      </c>
      <c r="D232" s="33" t="s">
        <v>123</v>
      </c>
      <c r="E232" s="33">
        <v>180</v>
      </c>
      <c r="F232" s="40">
        <v>180</v>
      </c>
      <c r="G232" s="87" t="str" cm="1">
        <f t="array" ref="G232:I232">_xlfn.XLOOKUP(D232,Inputs!$C$6:$C$8,Inputs!$D$6:$F$8,"Not found")</f>
        <v>Meat Pie</v>
      </c>
      <c r="H232" s="88">
        <v>8</v>
      </c>
      <c r="I232" s="88">
        <v>1.2</v>
      </c>
      <c r="J232" s="88">
        <f t="shared" si="9"/>
        <v>1440</v>
      </c>
      <c r="K232" s="88">
        <f t="shared" si="10"/>
        <v>216</v>
      </c>
      <c r="L232" s="88">
        <f t="shared" si="11"/>
        <v>1224</v>
      </c>
    </row>
    <row r="233" spans="2:12" x14ac:dyDescent="0.3">
      <c r="B233" s="76">
        <v>43274</v>
      </c>
      <c r="C233" s="33" t="s">
        <v>341</v>
      </c>
      <c r="D233" s="33" t="s">
        <v>125</v>
      </c>
      <c r="E233" s="33">
        <v>75</v>
      </c>
      <c r="F233" s="40">
        <v>75</v>
      </c>
      <c r="G233" s="87" t="str" cm="1">
        <f t="array" ref="G233:I233">_xlfn.XLOOKUP(D233,Inputs!$C$6:$C$8,Inputs!$D$6:$F$8,"Not found")</f>
        <v>Meat Pie</v>
      </c>
      <c r="H233" s="88">
        <v>8.5</v>
      </c>
      <c r="I233" s="88">
        <v>1.95</v>
      </c>
      <c r="J233" s="88">
        <f t="shared" si="9"/>
        <v>637.5</v>
      </c>
      <c r="K233" s="88">
        <f t="shared" si="10"/>
        <v>146.25</v>
      </c>
      <c r="L233" s="88">
        <f t="shared" si="11"/>
        <v>491.25</v>
      </c>
    </row>
    <row r="234" spans="2:12" x14ac:dyDescent="0.3">
      <c r="B234" s="76">
        <v>43274</v>
      </c>
      <c r="C234" s="33" t="s">
        <v>341</v>
      </c>
      <c r="D234" s="33" t="s">
        <v>126</v>
      </c>
      <c r="E234" s="33">
        <v>30</v>
      </c>
      <c r="F234" s="40">
        <v>30</v>
      </c>
      <c r="G234" s="87" t="str" cm="1">
        <f t="array" ref="G234:I234">_xlfn.XLOOKUP(D234,Inputs!$C$6:$C$8,Inputs!$D$6:$F$8,"Not found")</f>
        <v>Veggie Pie</v>
      </c>
      <c r="H234" s="88">
        <v>7.5</v>
      </c>
      <c r="I234" s="88">
        <v>1</v>
      </c>
      <c r="J234" s="88">
        <f t="shared" si="9"/>
        <v>225</v>
      </c>
      <c r="K234" s="88">
        <f t="shared" si="10"/>
        <v>30</v>
      </c>
      <c r="L234" s="88">
        <f t="shared" si="11"/>
        <v>195</v>
      </c>
    </row>
    <row r="235" spans="2:12" x14ac:dyDescent="0.3">
      <c r="B235" s="76">
        <v>43277</v>
      </c>
      <c r="C235" s="33" t="s">
        <v>341</v>
      </c>
      <c r="D235" s="33" t="s">
        <v>123</v>
      </c>
      <c r="E235" s="33">
        <v>180</v>
      </c>
      <c r="F235" s="40">
        <v>180</v>
      </c>
      <c r="G235" s="87" t="str" cm="1">
        <f t="array" ref="G235:I235">_xlfn.XLOOKUP(D235,Inputs!$C$6:$C$8,Inputs!$D$6:$F$8,"Not found")</f>
        <v>Meat Pie</v>
      </c>
      <c r="H235" s="88">
        <v>8</v>
      </c>
      <c r="I235" s="88">
        <v>1.2</v>
      </c>
      <c r="J235" s="88">
        <f t="shared" si="9"/>
        <v>1440</v>
      </c>
      <c r="K235" s="88">
        <f t="shared" si="10"/>
        <v>216</v>
      </c>
      <c r="L235" s="88">
        <f t="shared" si="11"/>
        <v>1224</v>
      </c>
    </row>
    <row r="236" spans="2:12" x14ac:dyDescent="0.3">
      <c r="B236" s="76">
        <v>43277</v>
      </c>
      <c r="C236" s="33" t="s">
        <v>341</v>
      </c>
      <c r="D236" s="33" t="s">
        <v>125</v>
      </c>
      <c r="E236" s="33">
        <v>75</v>
      </c>
      <c r="F236" s="40">
        <v>73</v>
      </c>
      <c r="G236" s="87" t="str" cm="1">
        <f t="array" ref="G236:I236">_xlfn.XLOOKUP(D236,Inputs!$C$6:$C$8,Inputs!$D$6:$F$8,"Not found")</f>
        <v>Meat Pie</v>
      </c>
      <c r="H236" s="88">
        <v>8.5</v>
      </c>
      <c r="I236" s="88">
        <v>1.95</v>
      </c>
      <c r="J236" s="88">
        <f t="shared" si="9"/>
        <v>620.5</v>
      </c>
      <c r="K236" s="88">
        <f t="shared" si="10"/>
        <v>142.35</v>
      </c>
      <c r="L236" s="88">
        <f t="shared" si="11"/>
        <v>478.15</v>
      </c>
    </row>
    <row r="237" spans="2:12" x14ac:dyDescent="0.3">
      <c r="B237" s="76">
        <v>43277</v>
      </c>
      <c r="C237" s="33" t="s">
        <v>341</v>
      </c>
      <c r="D237" s="33" t="s">
        <v>126</v>
      </c>
      <c r="E237" s="33">
        <v>30</v>
      </c>
      <c r="F237" s="40">
        <v>27</v>
      </c>
      <c r="G237" s="87" t="str" cm="1">
        <f t="array" ref="G237:I237">_xlfn.XLOOKUP(D237,Inputs!$C$6:$C$8,Inputs!$D$6:$F$8,"Not found")</f>
        <v>Veggie Pie</v>
      </c>
      <c r="H237" s="88">
        <v>7.5</v>
      </c>
      <c r="I237" s="88">
        <v>1</v>
      </c>
      <c r="J237" s="88">
        <f t="shared" si="9"/>
        <v>202.5</v>
      </c>
      <c r="K237" s="88">
        <f t="shared" si="10"/>
        <v>27</v>
      </c>
      <c r="L237" s="88">
        <f t="shared" si="11"/>
        <v>175.5</v>
      </c>
    </row>
    <row r="238" spans="2:12" x14ac:dyDescent="0.3">
      <c r="B238" s="76">
        <v>43279</v>
      </c>
      <c r="C238" s="33" t="s">
        <v>341</v>
      </c>
      <c r="D238" s="33" t="s">
        <v>123</v>
      </c>
      <c r="E238" s="33">
        <v>180</v>
      </c>
      <c r="F238" s="40">
        <v>180</v>
      </c>
      <c r="G238" s="87" t="str" cm="1">
        <f t="array" ref="G238:I238">_xlfn.XLOOKUP(D238,Inputs!$C$6:$C$8,Inputs!$D$6:$F$8,"Not found")</f>
        <v>Meat Pie</v>
      </c>
      <c r="H238" s="88">
        <v>8</v>
      </c>
      <c r="I238" s="88">
        <v>1.2</v>
      </c>
      <c r="J238" s="88">
        <f t="shared" si="9"/>
        <v>1440</v>
      </c>
      <c r="K238" s="88">
        <f t="shared" si="10"/>
        <v>216</v>
      </c>
      <c r="L238" s="88">
        <f t="shared" si="11"/>
        <v>1224</v>
      </c>
    </row>
    <row r="239" spans="2:12" x14ac:dyDescent="0.3">
      <c r="B239" s="76">
        <v>43279</v>
      </c>
      <c r="C239" s="33" t="s">
        <v>341</v>
      </c>
      <c r="D239" s="33" t="s">
        <v>125</v>
      </c>
      <c r="E239" s="33">
        <v>75</v>
      </c>
      <c r="F239" s="40">
        <v>75</v>
      </c>
      <c r="G239" s="87" t="str" cm="1">
        <f t="array" ref="G239:I239">_xlfn.XLOOKUP(D239,Inputs!$C$6:$C$8,Inputs!$D$6:$F$8,"Not found")</f>
        <v>Meat Pie</v>
      </c>
      <c r="H239" s="88">
        <v>8.5</v>
      </c>
      <c r="I239" s="88">
        <v>1.95</v>
      </c>
      <c r="J239" s="88">
        <f t="shared" si="9"/>
        <v>637.5</v>
      </c>
      <c r="K239" s="88">
        <f t="shared" si="10"/>
        <v>146.25</v>
      </c>
      <c r="L239" s="88">
        <f t="shared" si="11"/>
        <v>491.25</v>
      </c>
    </row>
    <row r="240" spans="2:12" x14ac:dyDescent="0.3">
      <c r="B240" s="76">
        <v>43279</v>
      </c>
      <c r="C240" s="33" t="s">
        <v>341</v>
      </c>
      <c r="D240" s="33" t="s">
        <v>126</v>
      </c>
      <c r="E240" s="33">
        <v>30</v>
      </c>
      <c r="F240" s="40">
        <v>29</v>
      </c>
      <c r="G240" s="87" t="str" cm="1">
        <f t="array" ref="G240:I240">_xlfn.XLOOKUP(D240,Inputs!$C$6:$C$8,Inputs!$D$6:$F$8,"Not found")</f>
        <v>Veggie Pie</v>
      </c>
      <c r="H240" s="88">
        <v>7.5</v>
      </c>
      <c r="I240" s="88">
        <v>1</v>
      </c>
      <c r="J240" s="88">
        <f t="shared" si="9"/>
        <v>217.5</v>
      </c>
      <c r="K240" s="88">
        <f t="shared" si="10"/>
        <v>29</v>
      </c>
      <c r="L240" s="88">
        <f t="shared" si="11"/>
        <v>188.5</v>
      </c>
    </row>
    <row r="241" spans="2:12" x14ac:dyDescent="0.3">
      <c r="B241" s="76">
        <v>43281</v>
      </c>
      <c r="C241" s="33" t="s">
        <v>341</v>
      </c>
      <c r="D241" s="33" t="s">
        <v>123</v>
      </c>
      <c r="E241" s="33">
        <v>180</v>
      </c>
      <c r="F241" s="40">
        <v>180</v>
      </c>
      <c r="G241" s="87" t="str" cm="1">
        <f t="array" ref="G241:I241">_xlfn.XLOOKUP(D241,Inputs!$C$6:$C$8,Inputs!$D$6:$F$8,"Not found")</f>
        <v>Meat Pie</v>
      </c>
      <c r="H241" s="88">
        <v>8</v>
      </c>
      <c r="I241" s="88">
        <v>1.2</v>
      </c>
      <c r="J241" s="88">
        <f t="shared" si="9"/>
        <v>1440</v>
      </c>
      <c r="K241" s="88">
        <f t="shared" si="10"/>
        <v>216</v>
      </c>
      <c r="L241" s="88">
        <f t="shared" si="11"/>
        <v>1224</v>
      </c>
    </row>
    <row r="242" spans="2:12" x14ac:dyDescent="0.3">
      <c r="B242" s="76">
        <v>43281</v>
      </c>
      <c r="C242" s="33" t="s">
        <v>341</v>
      </c>
      <c r="D242" s="33" t="s">
        <v>125</v>
      </c>
      <c r="E242" s="33">
        <v>75</v>
      </c>
      <c r="F242" s="40">
        <v>75</v>
      </c>
      <c r="G242" s="87" t="str" cm="1">
        <f t="array" ref="G242:I242">_xlfn.XLOOKUP(D242,Inputs!$C$6:$C$8,Inputs!$D$6:$F$8,"Not found")</f>
        <v>Meat Pie</v>
      </c>
      <c r="H242" s="88">
        <v>8.5</v>
      </c>
      <c r="I242" s="88">
        <v>1.95</v>
      </c>
      <c r="J242" s="88">
        <f t="shared" si="9"/>
        <v>637.5</v>
      </c>
      <c r="K242" s="88">
        <f t="shared" si="10"/>
        <v>146.25</v>
      </c>
      <c r="L242" s="88">
        <f t="shared" si="11"/>
        <v>491.25</v>
      </c>
    </row>
    <row r="243" spans="2:12" x14ac:dyDescent="0.3">
      <c r="B243" s="76">
        <v>43281</v>
      </c>
      <c r="C243" s="33" t="s">
        <v>341</v>
      </c>
      <c r="D243" s="33" t="s">
        <v>126</v>
      </c>
      <c r="E243" s="33">
        <v>30</v>
      </c>
      <c r="F243" s="40">
        <v>30</v>
      </c>
      <c r="G243" s="87" t="str" cm="1">
        <f t="array" ref="G243:I243">_xlfn.XLOOKUP(D243,Inputs!$C$6:$C$8,Inputs!$D$6:$F$8,"Not found")</f>
        <v>Veggie Pie</v>
      </c>
      <c r="H243" s="88">
        <v>7.5</v>
      </c>
      <c r="I243" s="88">
        <v>1</v>
      </c>
      <c r="J243" s="88">
        <f t="shared" si="9"/>
        <v>225</v>
      </c>
      <c r="K243" s="88">
        <f t="shared" si="10"/>
        <v>30</v>
      </c>
      <c r="L243" s="88">
        <f t="shared" si="11"/>
        <v>195</v>
      </c>
    </row>
    <row r="244" spans="2:12" x14ac:dyDescent="0.3">
      <c r="E244" s="89"/>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223AE-F7CD-47EF-B116-FA7F5A962575}">
  <sheetPr>
    <pageSetUpPr fitToPage="1"/>
  </sheetPr>
  <dimension ref="A1:W201"/>
  <sheetViews>
    <sheetView showGridLines="0" zoomScaleNormal="100" workbookViewId="0">
      <pane ySplit="1" topLeftCell="A2" activePane="bottomLeft" state="frozen"/>
      <selection activeCell="A2" activeCellId="1" sqref="A4:XFD4 A2:XFD2"/>
      <selection pane="bottomLeft"/>
    </sheetView>
  </sheetViews>
  <sheetFormatPr defaultColWidth="0" defaultRowHeight="16.8" x14ac:dyDescent="0.3"/>
  <cols>
    <col min="1" max="2" width="3.6640625" style="21" customWidth="1"/>
    <col min="3" max="3" width="21.109375" style="21" customWidth="1"/>
    <col min="4" max="7" width="15" style="21" customWidth="1"/>
    <col min="8" max="8" width="12.109375" style="21" customWidth="1"/>
    <col min="9" max="9" width="18" style="21" bestFit="1" customWidth="1"/>
    <col min="10" max="10" width="26.33203125" style="21" customWidth="1"/>
    <col min="11" max="23" width="18.44140625" style="21" customWidth="1"/>
    <col min="24" max="16384" width="8.77734375" style="21" hidden="1"/>
  </cols>
  <sheetData>
    <row r="1" spans="1:23" s="52" customFormat="1" ht="49.95" customHeight="1" x14ac:dyDescent="0.3">
      <c r="A1" s="49"/>
      <c r="B1" s="50" t="s">
        <v>130</v>
      </c>
      <c r="C1" s="49"/>
      <c r="D1" s="49"/>
      <c r="E1" s="49"/>
      <c r="F1" s="51"/>
      <c r="G1" s="51"/>
      <c r="H1" s="51"/>
      <c r="I1" s="51"/>
      <c r="J1" s="51"/>
      <c r="K1" s="51"/>
      <c r="L1" s="51"/>
      <c r="M1" s="51"/>
      <c r="N1" s="51"/>
      <c r="O1" s="51"/>
      <c r="P1" s="51"/>
      <c r="Q1" s="51"/>
      <c r="R1" s="51"/>
      <c r="S1" s="51"/>
      <c r="T1" s="51"/>
      <c r="U1" s="51"/>
      <c r="V1" s="51"/>
      <c r="W1" s="51"/>
    </row>
    <row r="2" spans="1:23" ht="12" customHeight="1" x14ac:dyDescent="0.3"/>
    <row r="3" spans="1:23" ht="21" x14ac:dyDescent="0.5">
      <c r="B3" s="53" t="s">
        <v>131</v>
      </c>
      <c r="C3" s="53"/>
    </row>
    <row r="4" spans="1:23" ht="12" customHeight="1" x14ac:dyDescent="0.5">
      <c r="B4" s="53"/>
      <c r="C4" s="53"/>
    </row>
    <row r="5" spans="1:23" ht="21" x14ac:dyDescent="0.5">
      <c r="B5" s="53"/>
      <c r="C5" s="53" t="s">
        <v>132</v>
      </c>
    </row>
    <row r="6" spans="1:23" ht="21" x14ac:dyDescent="0.5">
      <c r="B6" s="53"/>
      <c r="C6" s="53" t="s">
        <v>133</v>
      </c>
    </row>
    <row r="7" spans="1:23" ht="21" x14ac:dyDescent="0.5">
      <c r="B7" s="53"/>
      <c r="C7" s="53" t="s">
        <v>134</v>
      </c>
    </row>
    <row r="8" spans="1:23" x14ac:dyDescent="0.3">
      <c r="D8" s="54"/>
    </row>
    <row r="9" spans="1:23" s="52" customFormat="1" ht="21" x14ac:dyDescent="0.5">
      <c r="A9" s="55"/>
      <c r="B9" s="56" t="s">
        <v>7</v>
      </c>
      <c r="C9" s="55"/>
      <c r="D9" s="55"/>
      <c r="E9" s="55"/>
      <c r="F9" s="57"/>
      <c r="G9" s="57"/>
      <c r="H9" s="57"/>
      <c r="I9" s="57"/>
      <c r="J9" s="57"/>
      <c r="K9" s="57"/>
      <c r="L9" s="57"/>
      <c r="M9" s="57"/>
      <c r="N9" s="57"/>
      <c r="O9" s="57"/>
      <c r="P9" s="57"/>
      <c r="Q9" s="57"/>
      <c r="R9" s="57"/>
      <c r="S9" s="57"/>
      <c r="T9" s="57"/>
      <c r="U9" s="57"/>
      <c r="V9" s="57"/>
      <c r="W9" s="57"/>
    </row>
    <row r="10" spans="1:23" ht="19.95" customHeight="1" x14ac:dyDescent="0.3">
      <c r="C10" s="21" t="s">
        <v>135</v>
      </c>
    </row>
    <row r="11" spans="1:23" ht="19.95" customHeight="1" x14ac:dyDescent="0.3">
      <c r="C11" s="21" t="s">
        <v>136</v>
      </c>
    </row>
    <row r="12" spans="1:23" ht="19.95" customHeight="1" x14ac:dyDescent="0.3">
      <c r="C12" s="21" t="s">
        <v>137</v>
      </c>
    </row>
    <row r="13" spans="1:23" ht="15" customHeight="1" x14ac:dyDescent="0.3"/>
    <row r="14" spans="1:23" s="52" customFormat="1" ht="21" x14ac:dyDescent="0.5">
      <c r="A14" s="55"/>
      <c r="B14" s="56" t="s">
        <v>8</v>
      </c>
      <c r="C14" s="55"/>
      <c r="D14" s="55"/>
      <c r="E14" s="55"/>
      <c r="F14" s="57"/>
      <c r="G14" s="57"/>
      <c r="H14" s="57"/>
      <c r="I14" s="57"/>
      <c r="J14" s="57"/>
      <c r="K14" s="57"/>
      <c r="L14" s="57"/>
      <c r="M14" s="57"/>
      <c r="N14" s="57"/>
      <c r="O14" s="57"/>
      <c r="P14" s="57"/>
      <c r="Q14" s="57"/>
      <c r="R14" s="57"/>
      <c r="S14" s="57"/>
      <c r="T14" s="57"/>
      <c r="U14" s="57"/>
      <c r="V14" s="57"/>
      <c r="W14" s="57"/>
    </row>
    <row r="15" spans="1:23" ht="15.75" customHeight="1" x14ac:dyDescent="0.3"/>
    <row r="16" spans="1:23" ht="15.75" customHeight="1" x14ac:dyDescent="0.3">
      <c r="A16" s="32"/>
      <c r="B16" s="32"/>
      <c r="C16" s="20" t="s">
        <v>26</v>
      </c>
    </row>
    <row r="17" spans="1:9" ht="15.75" customHeight="1" x14ac:dyDescent="0.3">
      <c r="A17" s="32"/>
      <c r="B17" s="32"/>
      <c r="C17" s="27"/>
    </row>
    <row r="18" spans="1:9" s="37" customFormat="1" x14ac:dyDescent="0.3">
      <c r="C18" s="58" t="s">
        <v>28</v>
      </c>
      <c r="D18" s="58" t="s">
        <v>29</v>
      </c>
      <c r="E18" s="21"/>
    </row>
    <row r="19" spans="1:9" x14ac:dyDescent="0.3">
      <c r="C19" s="23" t="s">
        <v>30</v>
      </c>
      <c r="D19" s="59">
        <v>2.75</v>
      </c>
    </row>
    <row r="20" spans="1:9" x14ac:dyDescent="0.3">
      <c r="C20" s="23" t="s">
        <v>31</v>
      </c>
      <c r="D20" s="59">
        <v>3</v>
      </c>
    </row>
    <row r="21" spans="1:9" x14ac:dyDescent="0.3">
      <c r="C21" s="23" t="s">
        <v>32</v>
      </c>
      <c r="D21" s="59">
        <v>3.25</v>
      </c>
    </row>
    <row r="22" spans="1:9" x14ac:dyDescent="0.3">
      <c r="C22" s="23" t="s">
        <v>138</v>
      </c>
      <c r="D22" s="59">
        <v>3.15</v>
      </c>
    </row>
    <row r="23" spans="1:9" x14ac:dyDescent="0.3">
      <c r="C23" s="27"/>
    </row>
    <row r="24" spans="1:9" x14ac:dyDescent="0.3">
      <c r="C24" s="21" t="s">
        <v>139</v>
      </c>
    </row>
    <row r="25" spans="1:9" x14ac:dyDescent="0.3">
      <c r="C25" s="60"/>
    </row>
    <row r="26" spans="1:9" x14ac:dyDescent="0.3">
      <c r="C26" s="27" t="s">
        <v>140</v>
      </c>
      <c r="G26" s="61" t="str">
        <f>INDEX(C19:C22, 3)</f>
        <v>Vegetarian Pie</v>
      </c>
      <c r="I26" s="27" t="str">
        <f ca="1">_xlfn.FORMULATEXT(G26)</f>
        <v>=INDEX(C19:C22, 3)</v>
      </c>
    </row>
    <row r="27" spans="1:9" x14ac:dyDescent="0.3">
      <c r="C27" s="60"/>
    </row>
    <row r="28" spans="1:9" x14ac:dyDescent="0.3">
      <c r="C28" s="32" t="s">
        <v>34</v>
      </c>
    </row>
    <row r="29" spans="1:9" x14ac:dyDescent="0.3">
      <c r="C29" s="27" t="s">
        <v>141</v>
      </c>
    </row>
    <row r="30" spans="1:9" x14ac:dyDescent="0.3">
      <c r="C30" s="60"/>
    </row>
    <row r="31" spans="1:9" x14ac:dyDescent="0.3">
      <c r="C31" s="21" t="s">
        <v>142</v>
      </c>
    </row>
    <row r="32" spans="1:9" x14ac:dyDescent="0.3">
      <c r="C32" s="60"/>
    </row>
    <row r="33" spans="1:23" x14ac:dyDescent="0.3">
      <c r="C33" s="62" t="s">
        <v>143</v>
      </c>
      <c r="D33" s="33">
        <v>3</v>
      </c>
      <c r="G33" s="61" t="str" cm="1">
        <f t="array" ref="G33">INDEX(C19:C22, D33)</f>
        <v>Vegetarian Pie</v>
      </c>
      <c r="I33" s="27" t="str">
        <f ca="1">_xlfn.FORMULATEXT(G33)</f>
        <v>=INDEX(C19:C22, D33)</v>
      </c>
    </row>
    <row r="36" spans="1:23" s="52" customFormat="1" ht="21" x14ac:dyDescent="0.5">
      <c r="A36" s="55"/>
      <c r="B36" s="56" t="s">
        <v>144</v>
      </c>
      <c r="C36" s="55"/>
      <c r="D36" s="55"/>
      <c r="E36" s="55"/>
      <c r="F36" s="57"/>
      <c r="G36" s="57"/>
      <c r="H36" s="57"/>
      <c r="I36" s="57"/>
      <c r="J36" s="57"/>
      <c r="K36" s="57"/>
      <c r="L36" s="57"/>
      <c r="M36" s="57"/>
      <c r="N36" s="57"/>
      <c r="O36" s="57"/>
      <c r="P36" s="57"/>
      <c r="Q36" s="57"/>
      <c r="R36" s="57"/>
      <c r="S36" s="57"/>
      <c r="T36" s="57"/>
      <c r="U36" s="57"/>
      <c r="V36" s="57"/>
      <c r="W36" s="57"/>
    </row>
    <row r="38" spans="1:23" x14ac:dyDescent="0.3">
      <c r="C38" s="21" t="s">
        <v>145</v>
      </c>
    </row>
    <row r="40" spans="1:23" x14ac:dyDescent="0.3">
      <c r="C40" s="62" t="s">
        <v>28</v>
      </c>
      <c r="D40" s="25" t="s">
        <v>30</v>
      </c>
      <c r="E40" s="25" t="s">
        <v>31</v>
      </c>
      <c r="F40" s="25" t="s">
        <v>32</v>
      </c>
      <c r="G40" s="25" t="s">
        <v>138</v>
      </c>
      <c r="H40" s="37"/>
    </row>
    <row r="41" spans="1:23" x14ac:dyDescent="0.3">
      <c r="C41" s="62" t="s">
        <v>146</v>
      </c>
      <c r="D41" s="59">
        <v>2.75</v>
      </c>
      <c r="E41" s="59">
        <v>3</v>
      </c>
      <c r="F41" s="59">
        <v>3.25</v>
      </c>
      <c r="G41" s="59">
        <v>3.15</v>
      </c>
    </row>
    <row r="44" spans="1:23" x14ac:dyDescent="0.3">
      <c r="G44" s="61" t="str">
        <f>INDEX(D40:G40, 3)</f>
        <v>Vegetarian Pie</v>
      </c>
      <c r="I44" s="27" t="str">
        <f ca="1">_xlfn.FORMULATEXT(G44)</f>
        <v>=INDEX(D40:G40, 3)</v>
      </c>
    </row>
    <row r="45" spans="1:23" x14ac:dyDescent="0.3">
      <c r="C45" s="60"/>
    </row>
    <row r="46" spans="1:23" x14ac:dyDescent="0.3">
      <c r="C46" s="62" t="s">
        <v>147</v>
      </c>
      <c r="D46" s="33">
        <v>3</v>
      </c>
      <c r="G46" s="61" t="str" cm="1">
        <f t="array" ref="G46">INDEX(D40:G40, D46)</f>
        <v>Vegetarian Pie</v>
      </c>
      <c r="I46" s="27" t="str">
        <f ca="1">_xlfn.FORMULATEXT(G46)</f>
        <v>=INDEX(D40:G40, D46)</v>
      </c>
    </row>
    <row r="48" spans="1:23" x14ac:dyDescent="0.3">
      <c r="C48" s="62" t="s">
        <v>147</v>
      </c>
      <c r="D48" s="33">
        <v>3</v>
      </c>
      <c r="E48" s="21" t="s">
        <v>148</v>
      </c>
      <c r="G48" s="63" cm="1">
        <f t="array" ref="G48">INDEX(D41:G41, D48)</f>
        <v>3.25</v>
      </c>
      <c r="I48" s="27" t="str">
        <f ca="1">_xlfn.FORMULATEXT(G48)</f>
        <v>=INDEX(D41:G41, D48)</v>
      </c>
    </row>
    <row r="51" spans="1:23" s="52" customFormat="1" ht="21" x14ac:dyDescent="0.5">
      <c r="A51" s="55"/>
      <c r="B51" s="56" t="s">
        <v>114</v>
      </c>
      <c r="C51" s="55"/>
      <c r="D51" s="55"/>
      <c r="E51" s="55"/>
      <c r="F51" s="57"/>
      <c r="G51" s="57"/>
      <c r="H51" s="57"/>
      <c r="I51" s="57"/>
      <c r="J51" s="57"/>
      <c r="K51" s="57"/>
      <c r="L51" s="57"/>
      <c r="M51" s="57"/>
      <c r="N51" s="57"/>
      <c r="O51" s="57"/>
      <c r="P51" s="57"/>
      <c r="Q51" s="57"/>
      <c r="R51" s="57"/>
      <c r="S51" s="57"/>
      <c r="T51" s="57"/>
      <c r="U51" s="57"/>
      <c r="V51" s="57"/>
      <c r="W51" s="57"/>
    </row>
    <row r="53" spans="1:23" x14ac:dyDescent="0.3">
      <c r="C53" s="21" t="s">
        <v>149</v>
      </c>
    </row>
    <row r="55" spans="1:23" x14ac:dyDescent="0.3">
      <c r="C55" s="62" t="s">
        <v>150</v>
      </c>
      <c r="D55" s="64">
        <v>1</v>
      </c>
      <c r="E55" s="64">
        <v>2</v>
      </c>
      <c r="F55" s="64">
        <v>3</v>
      </c>
      <c r="G55" s="64">
        <v>4</v>
      </c>
      <c r="H55" s="64">
        <v>5</v>
      </c>
    </row>
    <row r="56" spans="1:23" x14ac:dyDescent="0.3">
      <c r="C56" s="62" t="s">
        <v>151</v>
      </c>
      <c r="D56" s="65" t="s">
        <v>152</v>
      </c>
      <c r="E56" s="65" t="s">
        <v>153</v>
      </c>
      <c r="F56" s="65" t="s">
        <v>154</v>
      </c>
      <c r="G56" s="65" t="s">
        <v>155</v>
      </c>
      <c r="H56" s="65" t="s">
        <v>156</v>
      </c>
    </row>
    <row r="57" spans="1:23" x14ac:dyDescent="0.3">
      <c r="C57" s="62" t="s">
        <v>157</v>
      </c>
      <c r="D57" s="66">
        <v>20000</v>
      </c>
      <c r="E57" s="66">
        <v>30000</v>
      </c>
      <c r="F57" s="66">
        <v>40000</v>
      </c>
      <c r="G57" s="66">
        <v>45000</v>
      </c>
      <c r="H57" s="66">
        <v>50000</v>
      </c>
    </row>
    <row r="59" spans="1:23" x14ac:dyDescent="0.3">
      <c r="C59" s="62" t="s">
        <v>158</v>
      </c>
      <c r="D59" s="33">
        <v>5</v>
      </c>
    </row>
    <row r="61" spans="1:23" x14ac:dyDescent="0.3">
      <c r="C61" s="21" t="s">
        <v>159</v>
      </c>
      <c r="G61" s="67" t="str" cm="1">
        <f t="array" ref="G61">INDEX(D56:H56, D59)</f>
        <v>Best Case</v>
      </c>
      <c r="I61" s="27" t="str">
        <f ca="1">_xlfn.FORMULATEXT(G61)</f>
        <v>=INDEX(D56:H56, D59)</v>
      </c>
    </row>
    <row r="62" spans="1:23" x14ac:dyDescent="0.3">
      <c r="C62" s="21" t="s">
        <v>160</v>
      </c>
      <c r="G62" s="68" cm="1">
        <f t="array" ref="G62">INDEX(D57:H57, D59)</f>
        <v>50000</v>
      </c>
      <c r="I62" s="27" t="str">
        <f ca="1">_xlfn.FORMULATEXT(G62)</f>
        <v>=INDEX(D57:H57, D59)</v>
      </c>
    </row>
    <row r="63" spans="1:23" x14ac:dyDescent="0.3">
      <c r="I63" s="27"/>
    </row>
    <row r="64" spans="1:23" x14ac:dyDescent="0.3">
      <c r="I64" s="27"/>
    </row>
    <row r="65" spans="3:3" x14ac:dyDescent="0.3">
      <c r="C65" s="21" t="s">
        <v>161</v>
      </c>
    </row>
    <row r="67" spans="3:3" x14ac:dyDescent="0.3">
      <c r="C67" s="21" t="s">
        <v>162</v>
      </c>
    </row>
    <row r="69" spans="3:3" x14ac:dyDescent="0.3">
      <c r="C69" s="69">
        <v>43191</v>
      </c>
    </row>
    <row r="70" spans="3:3" x14ac:dyDescent="0.3">
      <c r="C70" s="69">
        <v>43221</v>
      </c>
    </row>
    <row r="71" spans="3:3" x14ac:dyDescent="0.3">
      <c r="C71" s="69">
        <v>43252</v>
      </c>
    </row>
    <row r="72" spans="3:3" x14ac:dyDescent="0.3">
      <c r="C72" s="69">
        <v>43282</v>
      </c>
    </row>
    <row r="73" spans="3:3" x14ac:dyDescent="0.3">
      <c r="C73" s="69">
        <v>43313</v>
      </c>
    </row>
    <row r="74" spans="3:3" x14ac:dyDescent="0.3">
      <c r="C74" s="69">
        <v>43344</v>
      </c>
    </row>
    <row r="75" spans="3:3" x14ac:dyDescent="0.3">
      <c r="C75" s="69">
        <v>43374</v>
      </c>
    </row>
    <row r="76" spans="3:3" x14ac:dyDescent="0.3">
      <c r="C76" s="69">
        <v>43405</v>
      </c>
    </row>
    <row r="77" spans="3:3" x14ac:dyDescent="0.3">
      <c r="C77" s="69">
        <v>43435</v>
      </c>
    </row>
    <row r="78" spans="3:3" x14ac:dyDescent="0.3">
      <c r="C78" s="69">
        <v>43466</v>
      </c>
    </row>
    <row r="79" spans="3:3" x14ac:dyDescent="0.3">
      <c r="C79" s="69">
        <v>43497</v>
      </c>
    </row>
    <row r="80" spans="3:3" x14ac:dyDescent="0.3">
      <c r="C80" s="69">
        <v>43525</v>
      </c>
    </row>
    <row r="82" spans="3:9" x14ac:dyDescent="0.3">
      <c r="C82" s="33">
        <v>4</v>
      </c>
      <c r="G82" s="70" cm="1">
        <f t="array" ref="G82">INDEX(C69:C80,C82)</f>
        <v>43282</v>
      </c>
      <c r="I82" s="27" t="str">
        <f ca="1">_xlfn.FORMULATEXT(G82)</f>
        <v>=INDEX(C69:C80,C82)</v>
      </c>
    </row>
    <row r="85" spans="3:9" x14ac:dyDescent="0.3">
      <c r="C85" s="21" t="s">
        <v>163</v>
      </c>
    </row>
    <row r="87" spans="3:9" x14ac:dyDescent="0.3">
      <c r="C87" s="71" t="s">
        <v>164</v>
      </c>
    </row>
    <row r="88" spans="3:9" x14ac:dyDescent="0.3">
      <c r="C88" s="71" t="s">
        <v>165</v>
      </c>
    </row>
    <row r="89" spans="3:9" x14ac:dyDescent="0.3">
      <c r="C89" s="71" t="s">
        <v>166</v>
      </c>
    </row>
    <row r="90" spans="3:9" x14ac:dyDescent="0.3">
      <c r="C90" s="71" t="s">
        <v>167</v>
      </c>
    </row>
    <row r="91" spans="3:9" x14ac:dyDescent="0.3">
      <c r="C91" s="71" t="s">
        <v>168</v>
      </c>
    </row>
    <row r="92" spans="3:9" x14ac:dyDescent="0.3">
      <c r="C92" s="71" t="s">
        <v>169</v>
      </c>
    </row>
    <row r="93" spans="3:9" x14ac:dyDescent="0.3">
      <c r="C93" s="71" t="s">
        <v>170</v>
      </c>
    </row>
    <row r="95" spans="3:9" x14ac:dyDescent="0.3">
      <c r="C95" s="33">
        <v>3</v>
      </c>
      <c r="G95" s="61" t="str">
        <f>INDEX(C87:C93,C95)</f>
        <v>Wednesday</v>
      </c>
      <c r="I95" s="27" t="str">
        <f ca="1">_xlfn.FORMULATEXT(G95)</f>
        <v>=@INDEX(C87:C93,C95)</v>
      </c>
    </row>
    <row r="98" spans="1:23" s="52" customFormat="1" ht="21" x14ac:dyDescent="0.5">
      <c r="A98" s="55"/>
      <c r="B98" s="56" t="s">
        <v>345</v>
      </c>
      <c r="C98" s="55"/>
      <c r="D98" s="55"/>
      <c r="E98" s="55"/>
      <c r="F98" s="57"/>
      <c r="G98" s="57"/>
      <c r="H98" s="57"/>
      <c r="I98" s="57"/>
      <c r="J98" s="57"/>
      <c r="K98" s="57"/>
      <c r="L98" s="57"/>
      <c r="M98" s="57"/>
      <c r="N98" s="57"/>
      <c r="O98" s="57"/>
      <c r="P98" s="57"/>
      <c r="Q98" s="57"/>
      <c r="R98" s="57"/>
      <c r="S98" s="57"/>
      <c r="T98" s="57"/>
      <c r="U98" s="57"/>
      <c r="V98" s="57"/>
      <c r="W98" s="57"/>
    </row>
    <row r="100" spans="1:23" x14ac:dyDescent="0.3">
      <c r="C100" s="21" t="s">
        <v>346</v>
      </c>
    </row>
    <row r="102" spans="1:23" x14ac:dyDescent="0.3">
      <c r="C102" s="21" t="s">
        <v>347</v>
      </c>
    </row>
    <row r="104" spans="1:23" x14ac:dyDescent="0.3">
      <c r="C104" s="21" t="s">
        <v>348</v>
      </c>
    </row>
    <row r="105" spans="1:23" x14ac:dyDescent="0.3">
      <c r="C105" s="71" t="s">
        <v>349</v>
      </c>
      <c r="D105" s="94">
        <v>1.4</v>
      </c>
    </row>
    <row r="106" spans="1:23" x14ac:dyDescent="0.3">
      <c r="C106" s="71" t="s">
        <v>350</v>
      </c>
      <c r="D106" s="94">
        <v>1.2</v>
      </c>
    </row>
    <row r="107" spans="1:23" x14ac:dyDescent="0.3">
      <c r="C107" s="71" t="s">
        <v>351</v>
      </c>
      <c r="D107" s="94">
        <v>0.9</v>
      </c>
    </row>
    <row r="108" spans="1:23" x14ac:dyDescent="0.3">
      <c r="C108" s="71" t="s">
        <v>352</v>
      </c>
      <c r="D108" s="94">
        <v>0.7</v>
      </c>
    </row>
    <row r="109" spans="1:23" x14ac:dyDescent="0.3">
      <c r="C109" s="71" t="s">
        <v>353</v>
      </c>
      <c r="D109" s="94">
        <v>0.6</v>
      </c>
    </row>
    <row r="110" spans="1:23" x14ac:dyDescent="0.3">
      <c r="C110" s="71" t="s">
        <v>354</v>
      </c>
      <c r="D110" s="94">
        <v>0.9</v>
      </c>
    </row>
    <row r="111" spans="1:23" x14ac:dyDescent="0.3">
      <c r="C111" s="71" t="s">
        <v>355</v>
      </c>
      <c r="D111" s="94">
        <v>1.5</v>
      </c>
    </row>
    <row r="112" spans="1:23" x14ac:dyDescent="0.3">
      <c r="C112" s="71" t="s">
        <v>356</v>
      </c>
      <c r="D112" s="94">
        <v>1.9</v>
      </c>
    </row>
    <row r="113" spans="3:23" x14ac:dyDescent="0.3">
      <c r="C113" s="71" t="s">
        <v>357</v>
      </c>
      <c r="D113" s="94">
        <v>1.5</v>
      </c>
    </row>
    <row r="114" spans="3:23" x14ac:dyDescent="0.3">
      <c r="C114" s="71" t="s">
        <v>358</v>
      </c>
      <c r="D114" s="94">
        <v>1.1000000000000001</v>
      </c>
    </row>
    <row r="115" spans="3:23" x14ac:dyDescent="0.3">
      <c r="C115" s="71" t="s">
        <v>359</v>
      </c>
      <c r="D115" s="94">
        <v>0.8</v>
      </c>
    </row>
    <row r="116" spans="3:23" x14ac:dyDescent="0.3">
      <c r="C116" s="71" t="s">
        <v>360</v>
      </c>
      <c r="D116" s="94">
        <v>0.9</v>
      </c>
    </row>
    <row r="119" spans="3:23" x14ac:dyDescent="0.3">
      <c r="C119" s="21" t="s">
        <v>364</v>
      </c>
    </row>
    <row r="122" spans="3:23" x14ac:dyDescent="0.3">
      <c r="J122" s="37" t="s">
        <v>361</v>
      </c>
      <c r="K122" s="37">
        <v>1</v>
      </c>
      <c r="L122" s="37">
        <v>2</v>
      </c>
      <c r="M122" s="37">
        <v>3</v>
      </c>
      <c r="N122" s="37">
        <v>4</v>
      </c>
      <c r="O122" s="37">
        <v>5</v>
      </c>
      <c r="P122" s="37">
        <v>6</v>
      </c>
      <c r="Q122" s="37">
        <v>7</v>
      </c>
      <c r="R122" s="37">
        <v>8</v>
      </c>
      <c r="S122" s="37">
        <v>9</v>
      </c>
      <c r="T122" s="37">
        <v>10</v>
      </c>
      <c r="U122" s="37">
        <v>11</v>
      </c>
      <c r="V122" s="37">
        <v>12</v>
      </c>
      <c r="W122" s="37">
        <v>13</v>
      </c>
    </row>
    <row r="123" spans="3:23" x14ac:dyDescent="0.3">
      <c r="J123" s="37" t="s">
        <v>362</v>
      </c>
      <c r="K123" s="95">
        <v>45292</v>
      </c>
      <c r="L123" s="95">
        <f>K124+1</f>
        <v>45323</v>
      </c>
      <c r="M123" s="95">
        <f t="shared" ref="M123:W123" si="0">L124+1</f>
        <v>45352</v>
      </c>
      <c r="N123" s="95">
        <f t="shared" si="0"/>
        <v>45383</v>
      </c>
      <c r="O123" s="95">
        <f t="shared" si="0"/>
        <v>45413</v>
      </c>
      <c r="P123" s="95">
        <f t="shared" si="0"/>
        <v>45444</v>
      </c>
      <c r="Q123" s="95">
        <f t="shared" si="0"/>
        <v>45474</v>
      </c>
      <c r="R123" s="95">
        <f t="shared" si="0"/>
        <v>45505</v>
      </c>
      <c r="S123" s="95">
        <f t="shared" si="0"/>
        <v>45536</v>
      </c>
      <c r="T123" s="95">
        <f t="shared" si="0"/>
        <v>45566</v>
      </c>
      <c r="U123" s="95">
        <f t="shared" si="0"/>
        <v>45597</v>
      </c>
      <c r="V123" s="95">
        <f t="shared" si="0"/>
        <v>45627</v>
      </c>
      <c r="W123" s="95">
        <f t="shared" si="0"/>
        <v>45658</v>
      </c>
    </row>
    <row r="124" spans="3:23" x14ac:dyDescent="0.3">
      <c r="J124" s="37" t="s">
        <v>363</v>
      </c>
      <c r="K124" s="95">
        <f>EOMONTH(K123,0)</f>
        <v>45322</v>
      </c>
      <c r="L124" s="95">
        <f t="shared" ref="L124:W124" si="1">EOMONTH(L123,0)</f>
        <v>45351</v>
      </c>
      <c r="M124" s="95">
        <f t="shared" si="1"/>
        <v>45382</v>
      </c>
      <c r="N124" s="95">
        <f t="shared" si="1"/>
        <v>45412</v>
      </c>
      <c r="O124" s="95">
        <f t="shared" si="1"/>
        <v>45443</v>
      </c>
      <c r="P124" s="95">
        <f t="shared" si="1"/>
        <v>45473</v>
      </c>
      <c r="Q124" s="95">
        <f t="shared" si="1"/>
        <v>45504</v>
      </c>
      <c r="R124" s="95">
        <f t="shared" si="1"/>
        <v>45535</v>
      </c>
      <c r="S124" s="95">
        <f t="shared" si="1"/>
        <v>45565</v>
      </c>
      <c r="T124" s="95">
        <f t="shared" si="1"/>
        <v>45596</v>
      </c>
      <c r="U124" s="95">
        <f t="shared" si="1"/>
        <v>45626</v>
      </c>
      <c r="V124" s="95">
        <f t="shared" si="1"/>
        <v>45657</v>
      </c>
      <c r="W124" s="95">
        <f t="shared" si="1"/>
        <v>45688</v>
      </c>
    </row>
    <row r="125" spans="3:23" x14ac:dyDescent="0.3">
      <c r="C125" s="21" t="s">
        <v>365</v>
      </c>
    </row>
    <row r="126" spans="3:23" x14ac:dyDescent="0.3">
      <c r="J126" s="21" t="s">
        <v>366</v>
      </c>
      <c r="K126" s="96">
        <f>MONTH(K123)</f>
        <v>1</v>
      </c>
      <c r="L126" s="96">
        <f t="shared" ref="L126:W126" si="2">MONTH(L123)</f>
        <v>2</v>
      </c>
      <c r="M126" s="96">
        <f t="shared" si="2"/>
        <v>3</v>
      </c>
      <c r="N126" s="96">
        <f t="shared" si="2"/>
        <v>4</v>
      </c>
      <c r="O126" s="96">
        <f t="shared" si="2"/>
        <v>5</v>
      </c>
      <c r="P126" s="96">
        <f t="shared" si="2"/>
        <v>6</v>
      </c>
      <c r="Q126" s="96">
        <f t="shared" si="2"/>
        <v>7</v>
      </c>
      <c r="R126" s="96">
        <f t="shared" si="2"/>
        <v>8</v>
      </c>
      <c r="S126" s="96">
        <f t="shared" si="2"/>
        <v>9</v>
      </c>
      <c r="T126" s="96">
        <f t="shared" si="2"/>
        <v>10</v>
      </c>
      <c r="U126" s="96">
        <f t="shared" si="2"/>
        <v>11</v>
      </c>
      <c r="V126" s="96">
        <f t="shared" si="2"/>
        <v>12</v>
      </c>
      <c r="W126" s="96">
        <f t="shared" si="2"/>
        <v>1</v>
      </c>
    </row>
    <row r="127" spans="3:23" x14ac:dyDescent="0.3">
      <c r="J127" s="21" t="s">
        <v>348</v>
      </c>
      <c r="K127" s="97" cm="1">
        <f t="array" ref="K127">INDEX($D$105:$D$116, K$126)</f>
        <v>1.4</v>
      </c>
      <c r="L127" s="97" cm="1">
        <f t="array" ref="L127">INDEX($D$105:$D$116, L$126)</f>
        <v>1.2</v>
      </c>
      <c r="M127" s="97" cm="1">
        <f t="array" ref="M127">INDEX($D$105:$D$116, M$126)</f>
        <v>0.9</v>
      </c>
      <c r="N127" s="97" cm="1">
        <f t="array" ref="N127">INDEX($D$105:$D$116, N$126)</f>
        <v>0.7</v>
      </c>
      <c r="O127" s="97" cm="1">
        <f t="array" ref="O127">INDEX($D$105:$D$116, O$126)</f>
        <v>0.6</v>
      </c>
      <c r="P127" s="97" cm="1">
        <f t="array" ref="P127">INDEX($D$105:$D$116, P$126)</f>
        <v>0.9</v>
      </c>
      <c r="Q127" s="97" cm="1">
        <f t="array" ref="Q127">INDEX($D$105:$D$116, Q$126)</f>
        <v>1.5</v>
      </c>
      <c r="R127" s="97" cm="1">
        <f t="array" ref="R127">INDEX($D$105:$D$116, R$126)</f>
        <v>1.9</v>
      </c>
      <c r="S127" s="97" cm="1">
        <f t="array" ref="S127">INDEX($D$105:$D$116, S$126)</f>
        <v>1.5</v>
      </c>
      <c r="T127" s="97" cm="1">
        <f t="array" ref="T127">INDEX($D$105:$D$116, T$126)</f>
        <v>1.1000000000000001</v>
      </c>
      <c r="U127" s="97" cm="1">
        <f t="array" ref="U127">INDEX($D$105:$D$116, U$126)</f>
        <v>0.8</v>
      </c>
      <c r="V127" s="97" cm="1">
        <f t="array" ref="V127">INDEX($D$105:$D$116, V$126)</f>
        <v>0.9</v>
      </c>
      <c r="W127" s="97" cm="1">
        <f t="array" ref="W127">INDEX($D$105:$D$116, W$126)</f>
        <v>1.4</v>
      </c>
    </row>
    <row r="129" spans="1:23" x14ac:dyDescent="0.3">
      <c r="C129" s="21" t="s">
        <v>367</v>
      </c>
    </row>
    <row r="130" spans="1:23" x14ac:dyDescent="0.3">
      <c r="C130" s="21" t="s">
        <v>1137</v>
      </c>
    </row>
    <row r="132" spans="1:23" s="52" customFormat="1" ht="21" x14ac:dyDescent="0.5">
      <c r="A132" s="55"/>
      <c r="B132" s="56" t="s">
        <v>0</v>
      </c>
      <c r="C132" s="55"/>
      <c r="D132" s="55"/>
      <c r="E132" s="55"/>
      <c r="F132" s="57"/>
      <c r="G132" s="57"/>
      <c r="H132" s="57"/>
      <c r="I132" s="57"/>
      <c r="J132" s="57"/>
      <c r="K132" s="57"/>
      <c r="L132" s="57"/>
      <c r="M132" s="57"/>
      <c r="N132" s="57"/>
      <c r="O132" s="57"/>
      <c r="P132" s="57"/>
      <c r="Q132" s="57"/>
      <c r="R132" s="57"/>
      <c r="S132" s="57"/>
      <c r="T132" s="57"/>
      <c r="U132" s="57"/>
      <c r="V132" s="57"/>
      <c r="W132" s="57"/>
    </row>
    <row r="135" spans="1:23" x14ac:dyDescent="0.3">
      <c r="C135" s="58" t="s">
        <v>171</v>
      </c>
      <c r="D135" s="58" t="s">
        <v>172</v>
      </c>
    </row>
    <row r="136" spans="1:23" x14ac:dyDescent="0.3">
      <c r="C136" s="25" t="s">
        <v>173</v>
      </c>
      <c r="D136" s="33" t="s">
        <v>174</v>
      </c>
    </row>
    <row r="137" spans="1:23" x14ac:dyDescent="0.3">
      <c r="C137" s="25" t="s">
        <v>175</v>
      </c>
      <c r="D137" s="33" t="s">
        <v>176</v>
      </c>
    </row>
    <row r="138" spans="1:23" x14ac:dyDescent="0.3">
      <c r="C138" s="25" t="s">
        <v>177</v>
      </c>
      <c r="D138" s="33" t="s">
        <v>178</v>
      </c>
    </row>
    <row r="139" spans="1:23" x14ac:dyDescent="0.3">
      <c r="C139" s="25" t="s">
        <v>179</v>
      </c>
      <c r="D139" s="33" t="s">
        <v>180</v>
      </c>
    </row>
    <row r="142" spans="1:23" x14ac:dyDescent="0.3">
      <c r="C142" s="21" t="s">
        <v>181</v>
      </c>
    </row>
    <row r="143" spans="1:23" x14ac:dyDescent="0.3">
      <c r="C143" s="21" t="s">
        <v>182</v>
      </c>
      <c r="D143" s="72">
        <v>2</v>
      </c>
    </row>
    <row r="144" spans="1:23" x14ac:dyDescent="0.3">
      <c r="C144" s="21" t="s">
        <v>183</v>
      </c>
      <c r="D144" s="73"/>
    </row>
    <row r="146" spans="1:23" s="52" customFormat="1" ht="21" x14ac:dyDescent="0.5">
      <c r="A146" s="55"/>
      <c r="B146" s="56" t="s">
        <v>184</v>
      </c>
      <c r="C146" s="55"/>
      <c r="D146" s="55"/>
      <c r="E146" s="55"/>
      <c r="F146" s="57"/>
      <c r="G146" s="57"/>
      <c r="H146" s="57"/>
      <c r="I146" s="57"/>
      <c r="J146" s="57"/>
      <c r="K146" s="57"/>
      <c r="L146" s="57"/>
      <c r="M146" s="57"/>
      <c r="N146" s="57"/>
      <c r="O146" s="57"/>
      <c r="P146" s="57"/>
      <c r="Q146" s="57"/>
      <c r="R146" s="57"/>
      <c r="S146" s="57"/>
      <c r="T146" s="57"/>
      <c r="U146" s="57"/>
      <c r="V146" s="57"/>
      <c r="W146" s="57"/>
    </row>
    <row r="148" spans="1:23" x14ac:dyDescent="0.3">
      <c r="B148" s="37" t="s">
        <v>185</v>
      </c>
    </row>
    <row r="149" spans="1:23" x14ac:dyDescent="0.3">
      <c r="B149" s="37"/>
    </row>
    <row r="150" spans="1:23" x14ac:dyDescent="0.3">
      <c r="C150" s="58" t="s">
        <v>171</v>
      </c>
      <c r="D150" s="58" t="s">
        <v>172</v>
      </c>
    </row>
    <row r="151" spans="1:23" x14ac:dyDescent="0.3">
      <c r="C151" s="25" t="s">
        <v>173</v>
      </c>
      <c r="D151" s="33" t="s">
        <v>174</v>
      </c>
    </row>
    <row r="152" spans="1:23" x14ac:dyDescent="0.3">
      <c r="C152" s="25" t="s">
        <v>175</v>
      </c>
      <c r="D152" s="33" t="s">
        <v>176</v>
      </c>
    </row>
    <row r="153" spans="1:23" x14ac:dyDescent="0.3">
      <c r="C153" s="25" t="s">
        <v>177</v>
      </c>
      <c r="D153" s="33" t="s">
        <v>178</v>
      </c>
    </row>
    <row r="154" spans="1:23" x14ac:dyDescent="0.3">
      <c r="C154" s="25" t="s">
        <v>179</v>
      </c>
      <c r="D154" s="33" t="s">
        <v>180</v>
      </c>
    </row>
    <row r="157" spans="1:23" x14ac:dyDescent="0.3">
      <c r="C157" s="21" t="s">
        <v>181</v>
      </c>
    </row>
    <row r="158" spans="1:23" x14ac:dyDescent="0.3">
      <c r="C158" s="21" t="s">
        <v>182</v>
      </c>
      <c r="D158" s="72">
        <v>2</v>
      </c>
    </row>
    <row r="159" spans="1:23" x14ac:dyDescent="0.3">
      <c r="C159" s="21" t="s">
        <v>183</v>
      </c>
      <c r="D159" s="73" t="str" cm="1">
        <f t="array" ref="D159">INDEX(D151:D154, D158)</f>
        <v>PD32 9WE</v>
      </c>
    </row>
    <row r="161" spans="1:23" s="52" customFormat="1" ht="21" x14ac:dyDescent="0.5">
      <c r="A161" s="55"/>
      <c r="B161" s="56" t="s">
        <v>186</v>
      </c>
      <c r="C161" s="55"/>
      <c r="D161" s="55"/>
      <c r="E161" s="55"/>
      <c r="F161" s="57"/>
      <c r="G161" s="57"/>
      <c r="H161" s="57"/>
      <c r="I161" s="57"/>
      <c r="J161" s="57"/>
      <c r="K161" s="57"/>
      <c r="L161" s="57"/>
      <c r="M161" s="57"/>
      <c r="N161" s="57"/>
      <c r="O161" s="57"/>
      <c r="P161" s="57"/>
      <c r="Q161" s="57"/>
      <c r="R161" s="57"/>
      <c r="S161" s="57"/>
      <c r="T161" s="57"/>
      <c r="U161" s="57"/>
      <c r="V161" s="57"/>
      <c r="W161" s="57"/>
    </row>
    <row r="163" spans="1:23" x14ac:dyDescent="0.3">
      <c r="C163" s="21" t="s">
        <v>187</v>
      </c>
    </row>
    <row r="165" spans="1:23" x14ac:dyDescent="0.3">
      <c r="C165" s="21" t="s">
        <v>188</v>
      </c>
      <c r="D165" s="61"/>
    </row>
    <row r="167" spans="1:23" x14ac:dyDescent="0.3">
      <c r="C167" s="58" t="s">
        <v>171</v>
      </c>
      <c r="D167" s="58" t="s">
        <v>189</v>
      </c>
    </row>
    <row r="168" spans="1:23" x14ac:dyDescent="0.3">
      <c r="C168" s="33" t="s">
        <v>190</v>
      </c>
      <c r="D168" s="33">
        <v>1500</v>
      </c>
    </row>
    <row r="169" spans="1:23" x14ac:dyDescent="0.3">
      <c r="C169" s="33" t="s">
        <v>191</v>
      </c>
      <c r="D169" s="33">
        <v>2700</v>
      </c>
    </row>
    <row r="170" spans="1:23" x14ac:dyDescent="0.3">
      <c r="C170" s="33" t="s">
        <v>192</v>
      </c>
      <c r="D170" s="33">
        <v>3600</v>
      </c>
    </row>
    <row r="171" spans="1:23" x14ac:dyDescent="0.3">
      <c r="C171" s="33" t="s">
        <v>193</v>
      </c>
      <c r="D171" s="33">
        <v>9000</v>
      </c>
    </row>
    <row r="172" spans="1:23" x14ac:dyDescent="0.3">
      <c r="C172" s="33" t="s">
        <v>194</v>
      </c>
      <c r="D172" s="33">
        <v>1500</v>
      </c>
    </row>
    <row r="173" spans="1:23" x14ac:dyDescent="0.3">
      <c r="C173" s="33" t="s">
        <v>195</v>
      </c>
      <c r="D173" s="33">
        <v>10000</v>
      </c>
    </row>
    <row r="174" spans="1:23" x14ac:dyDescent="0.3">
      <c r="C174" s="33" t="s">
        <v>196</v>
      </c>
      <c r="D174" s="33">
        <v>6750</v>
      </c>
    </row>
    <row r="175" spans="1:23" x14ac:dyDescent="0.3">
      <c r="C175" s="33" t="s">
        <v>197</v>
      </c>
      <c r="D175" s="33">
        <v>2000</v>
      </c>
    </row>
    <row r="176" spans="1:23" x14ac:dyDescent="0.3">
      <c r="C176" s="33" t="s">
        <v>198</v>
      </c>
      <c r="D176" s="33">
        <v>6000</v>
      </c>
    </row>
    <row r="177" spans="3:4" x14ac:dyDescent="0.3">
      <c r="C177" s="33" t="s">
        <v>199</v>
      </c>
      <c r="D177" s="33">
        <v>1500</v>
      </c>
    </row>
    <row r="178" spans="3:4" x14ac:dyDescent="0.3">
      <c r="C178" s="33" t="s">
        <v>200</v>
      </c>
      <c r="D178" s="33">
        <v>3600</v>
      </c>
    </row>
    <row r="179" spans="3:4" x14ac:dyDescent="0.3">
      <c r="C179" s="33" t="s">
        <v>201</v>
      </c>
      <c r="D179" s="33">
        <v>1500</v>
      </c>
    </row>
    <row r="180" spans="3:4" x14ac:dyDescent="0.3">
      <c r="C180" s="33" t="s">
        <v>202</v>
      </c>
      <c r="D180" s="33">
        <v>2250</v>
      </c>
    </row>
    <row r="181" spans="3:4" x14ac:dyDescent="0.3">
      <c r="C181" s="33" t="s">
        <v>203</v>
      </c>
      <c r="D181" s="33">
        <v>700</v>
      </c>
    </row>
    <row r="182" spans="3:4" x14ac:dyDescent="0.3">
      <c r="C182" s="33" t="s">
        <v>204</v>
      </c>
      <c r="D182" s="33">
        <v>5000</v>
      </c>
    </row>
    <row r="183" spans="3:4" x14ac:dyDescent="0.3">
      <c r="C183" s="33" t="s">
        <v>205</v>
      </c>
      <c r="D183" s="33">
        <v>500</v>
      </c>
    </row>
    <row r="184" spans="3:4" x14ac:dyDescent="0.3">
      <c r="C184" s="33" t="s">
        <v>206</v>
      </c>
      <c r="D184" s="33">
        <v>4500</v>
      </c>
    </row>
    <row r="185" spans="3:4" x14ac:dyDescent="0.3">
      <c r="C185" s="33" t="s">
        <v>207</v>
      </c>
      <c r="D185" s="33">
        <v>2000</v>
      </c>
    </row>
    <row r="186" spans="3:4" x14ac:dyDescent="0.3">
      <c r="C186" s="33" t="s">
        <v>208</v>
      </c>
      <c r="D186" s="33">
        <v>12500</v>
      </c>
    </row>
    <row r="187" spans="3:4" x14ac:dyDescent="0.3">
      <c r="C187" s="33" t="s">
        <v>209</v>
      </c>
      <c r="D187" s="33">
        <v>4500</v>
      </c>
    </row>
    <row r="188" spans="3:4" x14ac:dyDescent="0.3">
      <c r="C188" s="33" t="s">
        <v>210</v>
      </c>
      <c r="D188" s="33">
        <v>10000</v>
      </c>
    </row>
    <row r="189" spans="3:4" x14ac:dyDescent="0.3">
      <c r="C189" s="33" t="s">
        <v>211</v>
      </c>
      <c r="D189" s="33">
        <v>2700</v>
      </c>
    </row>
    <row r="190" spans="3:4" x14ac:dyDescent="0.3">
      <c r="C190" s="33" t="s">
        <v>212</v>
      </c>
      <c r="D190" s="33">
        <v>2000</v>
      </c>
    </row>
    <row r="191" spans="3:4" x14ac:dyDescent="0.3">
      <c r="C191" s="33" t="s">
        <v>213</v>
      </c>
      <c r="D191" s="33">
        <v>3500</v>
      </c>
    </row>
    <row r="192" spans="3:4" x14ac:dyDescent="0.3">
      <c r="C192" s="33" t="s">
        <v>214</v>
      </c>
      <c r="D192" s="33">
        <v>4000</v>
      </c>
    </row>
    <row r="193" spans="3:4" x14ac:dyDescent="0.3">
      <c r="C193" s="33" t="s">
        <v>215</v>
      </c>
      <c r="D193" s="33">
        <v>1000</v>
      </c>
    </row>
    <row r="194" spans="3:4" x14ac:dyDescent="0.3">
      <c r="C194" s="33" t="s">
        <v>216</v>
      </c>
      <c r="D194" s="33">
        <v>1800</v>
      </c>
    </row>
    <row r="195" spans="3:4" x14ac:dyDescent="0.3">
      <c r="C195" s="33" t="s">
        <v>217</v>
      </c>
      <c r="D195" s="33">
        <v>1800</v>
      </c>
    </row>
    <row r="196" spans="3:4" x14ac:dyDescent="0.3">
      <c r="C196" s="33" t="s">
        <v>218</v>
      </c>
      <c r="D196" s="33">
        <v>10000</v>
      </c>
    </row>
    <row r="197" spans="3:4" x14ac:dyDescent="0.3">
      <c r="C197" s="33" t="s">
        <v>219</v>
      </c>
      <c r="D197" s="33">
        <v>2000</v>
      </c>
    </row>
    <row r="198" spans="3:4" x14ac:dyDescent="0.3">
      <c r="C198" s="33" t="s">
        <v>220</v>
      </c>
      <c r="D198" s="33">
        <v>2500</v>
      </c>
    </row>
    <row r="200" spans="3:4" x14ac:dyDescent="0.3">
      <c r="C200" s="21" t="s">
        <v>221</v>
      </c>
    </row>
    <row r="201" spans="3:4" x14ac:dyDescent="0.3">
      <c r="C201" s="21" t="s">
        <v>1138</v>
      </c>
    </row>
  </sheetData>
  <phoneticPr fontId="2" type="noConversion"/>
  <dataValidations disablePrompts="1" count="1">
    <dataValidation type="list" allowBlank="1" showInputMessage="1" showErrorMessage="1" sqref="D59" xr:uid="{740102CB-550C-48F6-B19A-89BF183CEB28}">
      <formula1>"1, 2, 3, 4, 5"</formula1>
    </dataValidation>
  </dataValidations>
  <printOptions horizontalCentered="1"/>
  <pageMargins left="0.15748031496063" right="0.15748031496063" top="0.78740157480314998" bottom="0.78740157480314998" header="0.511811023622047" footer="0.511811023622047"/>
  <pageSetup paperSize="9" scale="17" orientation="landscape" r:id="rId1"/>
  <headerFooter alignWithMargins="0">
    <oddFooter xml:space="preserve">&amp;CClarity Consultancy Services Ltd   info@clarityconsultancyservices.co.uk
Registered in the UK (6619745). Registered Office:  Suite 6 Bourne Gate, Bourne Valley Rd, Poole, BH12 1DY
</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FC2F4-F45C-40BA-8B02-47431608C519}">
  <sheetPr>
    <pageSetUpPr fitToPage="1"/>
  </sheetPr>
  <dimension ref="A1:L131"/>
  <sheetViews>
    <sheetView showGridLines="0" zoomScaleNormal="100" workbookViewId="0">
      <pane ySplit="1" topLeftCell="A2" activePane="bottomLeft" state="frozen"/>
      <selection activeCell="A2" activeCellId="1" sqref="A4:XFD4 A2:XFD2"/>
      <selection pane="bottomLeft"/>
    </sheetView>
  </sheetViews>
  <sheetFormatPr defaultColWidth="0" defaultRowHeight="16.8" x14ac:dyDescent="0.3"/>
  <cols>
    <col min="1" max="2" width="3.6640625" style="21" customWidth="1"/>
    <col min="3" max="3" width="14.6640625" style="21" customWidth="1"/>
    <col min="4" max="4" width="15.44140625" style="21" customWidth="1"/>
    <col min="5" max="5" width="14.109375" style="21" customWidth="1"/>
    <col min="6" max="6" width="19.6640625" style="21" customWidth="1"/>
    <col min="7" max="8" width="14.109375" style="21" customWidth="1"/>
    <col min="9" max="9" width="28.77734375" style="21" customWidth="1"/>
    <col min="10" max="10" width="52.109375" style="21" customWidth="1"/>
    <col min="11" max="11" width="45.77734375" style="21" customWidth="1"/>
    <col min="12" max="12" width="33.77734375" style="21" hidden="1" customWidth="1"/>
    <col min="13" max="13" width="17.44140625" style="21" hidden="1" customWidth="1"/>
    <col min="14" max="16384" width="17.44140625" style="21" hidden="1"/>
  </cols>
  <sheetData>
    <row r="1" spans="1:11" s="52" customFormat="1" ht="49.95" customHeight="1" x14ac:dyDescent="0.3">
      <c r="A1" s="49"/>
      <c r="B1" s="50" t="s">
        <v>222</v>
      </c>
      <c r="C1" s="49"/>
      <c r="D1" s="49"/>
      <c r="E1" s="49"/>
      <c r="F1" s="51"/>
      <c r="G1" s="51"/>
      <c r="H1" s="51"/>
      <c r="I1" s="51"/>
      <c r="J1" s="51"/>
      <c r="K1" s="51"/>
    </row>
    <row r="2" spans="1:11" ht="12" customHeight="1" x14ac:dyDescent="0.3"/>
    <row r="3" spans="1:11" ht="21" x14ac:dyDescent="0.5">
      <c r="B3" s="53" t="s">
        <v>223</v>
      </c>
      <c r="C3" s="53"/>
    </row>
    <row r="4" spans="1:11" ht="12" customHeight="1" x14ac:dyDescent="0.5">
      <c r="B4" s="53"/>
      <c r="C4" s="53"/>
    </row>
    <row r="5" spans="1:11" ht="21" x14ac:dyDescent="0.5">
      <c r="B5" s="53"/>
      <c r="C5" s="53" t="s">
        <v>224</v>
      </c>
    </row>
    <row r="6" spans="1:11" ht="21" x14ac:dyDescent="0.5">
      <c r="B6" s="53"/>
      <c r="C6" s="53" t="s">
        <v>17</v>
      </c>
    </row>
    <row r="7" spans="1:11" ht="21" x14ac:dyDescent="0.5">
      <c r="B7" s="53"/>
      <c r="C7" s="53" t="s">
        <v>225</v>
      </c>
    </row>
    <row r="8" spans="1:11" x14ac:dyDescent="0.3">
      <c r="D8" s="54"/>
    </row>
    <row r="9" spans="1:11" s="52" customFormat="1" ht="21" x14ac:dyDescent="0.5">
      <c r="A9" s="55"/>
      <c r="B9" s="56" t="s">
        <v>7</v>
      </c>
      <c r="C9" s="55"/>
      <c r="D9" s="55"/>
      <c r="E9" s="55"/>
      <c r="F9" s="57"/>
      <c r="G9" s="57"/>
      <c r="H9" s="57"/>
      <c r="I9" s="57"/>
      <c r="J9" s="57"/>
      <c r="K9" s="57"/>
    </row>
    <row r="10" spans="1:11" s="20" customFormat="1" ht="19.95" customHeight="1" x14ac:dyDescent="0.25">
      <c r="C10" s="20" t="s">
        <v>226</v>
      </c>
    </row>
    <row r="11" spans="1:11" ht="19.95" customHeight="1" x14ac:dyDescent="0.3">
      <c r="C11" s="20" t="s">
        <v>227</v>
      </c>
    </row>
    <row r="12" spans="1:11" s="20" customFormat="1" ht="19.95" customHeight="1" x14ac:dyDescent="0.25">
      <c r="C12" s="20" t="s">
        <v>228</v>
      </c>
    </row>
    <row r="13" spans="1:11" ht="19.95" customHeight="1" x14ac:dyDescent="0.3">
      <c r="C13" s="21" t="s">
        <v>229</v>
      </c>
    </row>
    <row r="14" spans="1:11" ht="15.75" customHeight="1" x14ac:dyDescent="0.3"/>
    <row r="15" spans="1:11" s="52" customFormat="1" ht="21" x14ac:dyDescent="0.5">
      <c r="A15" s="55"/>
      <c r="B15" s="56" t="s">
        <v>8</v>
      </c>
      <c r="C15" s="55"/>
      <c r="D15" s="55"/>
      <c r="E15" s="55"/>
      <c r="F15" s="57"/>
      <c r="G15" s="57"/>
      <c r="H15" s="57"/>
      <c r="I15" s="57"/>
      <c r="J15" s="57"/>
      <c r="K15" s="57"/>
    </row>
    <row r="17" spans="3:9" x14ac:dyDescent="0.3">
      <c r="C17" s="21" t="s">
        <v>230</v>
      </c>
    </row>
    <row r="19" spans="3:9" x14ac:dyDescent="0.3">
      <c r="C19" s="21" t="s">
        <v>231</v>
      </c>
    </row>
    <row r="21" spans="3:9" x14ac:dyDescent="0.3">
      <c r="C21" s="58" t="s">
        <v>28</v>
      </c>
      <c r="D21" s="58" t="s">
        <v>29</v>
      </c>
    </row>
    <row r="22" spans="3:9" x14ac:dyDescent="0.3">
      <c r="C22" s="23" t="s">
        <v>30</v>
      </c>
      <c r="D22" s="59">
        <v>2.75</v>
      </c>
    </row>
    <row r="23" spans="3:9" x14ac:dyDescent="0.3">
      <c r="C23" s="23" t="s">
        <v>31</v>
      </c>
      <c r="D23" s="59">
        <v>3</v>
      </c>
    </row>
    <row r="24" spans="3:9" x14ac:dyDescent="0.3">
      <c r="C24" s="23" t="s">
        <v>32</v>
      </c>
      <c r="D24" s="59">
        <v>3.25</v>
      </c>
    </row>
    <row r="25" spans="3:9" x14ac:dyDescent="0.3">
      <c r="C25" s="23" t="s">
        <v>138</v>
      </c>
      <c r="D25" s="59">
        <v>3.15</v>
      </c>
    </row>
    <row r="28" spans="3:9" x14ac:dyDescent="0.3">
      <c r="C28" s="25" t="s">
        <v>31</v>
      </c>
      <c r="G28" s="61">
        <f>MATCH(C28, C22:C25, 0)</f>
        <v>2</v>
      </c>
      <c r="I28" s="27" t="str">
        <f ca="1">_xlfn.FORMULATEXT(G28)</f>
        <v>=MATCH(C28, C22:C25, 0)</v>
      </c>
    </row>
    <row r="30" spans="3:9" x14ac:dyDescent="0.3">
      <c r="C30" s="32" t="s">
        <v>34</v>
      </c>
    </row>
    <row r="31" spans="3:9" x14ac:dyDescent="0.3">
      <c r="C31" s="27" t="s">
        <v>232</v>
      </c>
    </row>
    <row r="33" spans="1:10" x14ac:dyDescent="0.3">
      <c r="C33" s="32" t="s">
        <v>233</v>
      </c>
    </row>
    <row r="34" spans="1:10" x14ac:dyDescent="0.3">
      <c r="C34" s="21" t="s">
        <v>234</v>
      </c>
    </row>
    <row r="36" spans="1:10" s="52" customFormat="1" ht="21" x14ac:dyDescent="0.5">
      <c r="A36" s="55"/>
      <c r="B36" s="56" t="s">
        <v>235</v>
      </c>
      <c r="C36" s="55"/>
      <c r="D36" s="55"/>
      <c r="E36" s="55"/>
      <c r="F36" s="57"/>
      <c r="G36" s="57"/>
      <c r="H36" s="57"/>
      <c r="I36" s="57"/>
      <c r="J36" s="57"/>
    </row>
    <row r="37" spans="1:10" ht="13.5" customHeight="1" x14ac:dyDescent="0.3"/>
    <row r="38" spans="1:10" x14ac:dyDescent="0.3">
      <c r="C38" s="21" t="s">
        <v>236</v>
      </c>
    </row>
    <row r="40" spans="1:10" x14ac:dyDescent="0.3">
      <c r="C40" s="74" t="s">
        <v>30</v>
      </c>
      <c r="D40" s="74" t="s">
        <v>31</v>
      </c>
      <c r="E40" s="74" t="s">
        <v>32</v>
      </c>
      <c r="F40" s="74" t="s">
        <v>138</v>
      </c>
    </row>
    <row r="42" spans="1:10" x14ac:dyDescent="0.3">
      <c r="C42" s="33" t="s">
        <v>31</v>
      </c>
      <c r="G42" s="61">
        <f>MATCH(C42, C40:F40, 0)</f>
        <v>2</v>
      </c>
      <c r="I42" s="27" t="str">
        <f ca="1">_xlfn.FORMULATEXT(G42)</f>
        <v>=MATCH(C42, C40:F40, 0)</v>
      </c>
    </row>
    <row r="43" spans="1:10" ht="16.2" customHeight="1" x14ac:dyDescent="0.3"/>
    <row r="44" spans="1:10" s="52" customFormat="1" ht="21" x14ac:dyDescent="0.5">
      <c r="A44" s="55"/>
      <c r="B44" s="56" t="s">
        <v>233</v>
      </c>
      <c r="C44" s="55"/>
      <c r="D44" s="55"/>
      <c r="E44" s="55"/>
      <c r="F44" s="57"/>
      <c r="G44" s="57"/>
      <c r="H44" s="57"/>
      <c r="I44" s="57"/>
      <c r="J44" s="57"/>
    </row>
    <row r="46" spans="1:10" x14ac:dyDescent="0.3">
      <c r="C46" s="21" t="s">
        <v>237</v>
      </c>
    </row>
    <row r="47" spans="1:10" x14ac:dyDescent="0.3">
      <c r="C47" s="75">
        <v>0</v>
      </c>
      <c r="D47" s="21" t="s">
        <v>238</v>
      </c>
    </row>
    <row r="48" spans="1:10" x14ac:dyDescent="0.3">
      <c r="C48" s="75" t="s">
        <v>239</v>
      </c>
      <c r="D48" s="21" t="s">
        <v>240</v>
      </c>
    </row>
    <row r="49" spans="3:5" x14ac:dyDescent="0.3">
      <c r="C49" s="75">
        <v>-1</v>
      </c>
      <c r="D49" s="21" t="s">
        <v>241</v>
      </c>
    </row>
    <row r="51" spans="3:5" x14ac:dyDescent="0.3">
      <c r="C51" s="21" t="s">
        <v>242</v>
      </c>
    </row>
    <row r="53" spans="3:5" x14ac:dyDescent="0.3">
      <c r="C53" s="21" t="s">
        <v>243</v>
      </c>
    </row>
    <row r="55" spans="3:5" x14ac:dyDescent="0.3">
      <c r="C55" s="21" t="s">
        <v>244</v>
      </c>
      <c r="E55" s="21" t="s">
        <v>1259</v>
      </c>
    </row>
    <row r="57" spans="3:5" x14ac:dyDescent="0.3">
      <c r="C57" s="58" t="s">
        <v>245</v>
      </c>
      <c r="E57" s="58" t="s">
        <v>245</v>
      </c>
    </row>
    <row r="58" spans="3:5" x14ac:dyDescent="0.3">
      <c r="C58" s="35">
        <v>0</v>
      </c>
      <c r="E58" s="35">
        <v>2000</v>
      </c>
    </row>
    <row r="59" spans="3:5" x14ac:dyDescent="0.3">
      <c r="C59" s="35">
        <v>250</v>
      </c>
      <c r="E59" s="35">
        <v>1750</v>
      </c>
    </row>
    <row r="60" spans="3:5" x14ac:dyDescent="0.3">
      <c r="C60" s="35">
        <v>500</v>
      </c>
      <c r="E60" s="35">
        <v>1500</v>
      </c>
    </row>
    <row r="61" spans="3:5" x14ac:dyDescent="0.3">
      <c r="C61" s="35">
        <v>750</v>
      </c>
      <c r="E61" s="35">
        <v>1250</v>
      </c>
    </row>
    <row r="62" spans="3:5" x14ac:dyDescent="0.3">
      <c r="C62" s="35">
        <v>1000</v>
      </c>
      <c r="E62" s="35">
        <v>1000</v>
      </c>
    </row>
    <row r="63" spans="3:5" x14ac:dyDescent="0.3">
      <c r="C63" s="35">
        <v>1250</v>
      </c>
      <c r="E63" s="35">
        <v>750</v>
      </c>
    </row>
    <row r="64" spans="3:5" x14ac:dyDescent="0.3">
      <c r="C64" s="35">
        <v>1500</v>
      </c>
      <c r="E64" s="35">
        <v>500</v>
      </c>
    </row>
    <row r="65" spans="1:11" x14ac:dyDescent="0.3">
      <c r="C65" s="35">
        <v>1750</v>
      </c>
      <c r="E65" s="35">
        <v>250</v>
      </c>
    </row>
    <row r="66" spans="1:11" x14ac:dyDescent="0.3">
      <c r="C66" s="35">
        <v>2000</v>
      </c>
      <c r="E66" s="35">
        <v>0</v>
      </c>
    </row>
    <row r="68" spans="1:11" x14ac:dyDescent="0.3">
      <c r="C68" s="21" t="s">
        <v>246</v>
      </c>
      <c r="E68" s="35">
        <v>275</v>
      </c>
    </row>
    <row r="70" spans="1:11" x14ac:dyDescent="0.3">
      <c r="C70" s="21" t="s">
        <v>247</v>
      </c>
      <c r="G70" s="61" t="e">
        <f>MATCH(E68, C58:C66, 0)</f>
        <v>#N/A</v>
      </c>
      <c r="I70" s="27" t="str">
        <f ca="1">_xlfn.FORMULATEXT(G70)</f>
        <v>=MATCH(E68, C58:C66, 0)</v>
      </c>
    </row>
    <row r="72" spans="1:11" x14ac:dyDescent="0.3">
      <c r="C72" s="21" t="s">
        <v>248</v>
      </c>
      <c r="G72" s="61">
        <f>MATCH(E68, C58:C66, 1)</f>
        <v>2</v>
      </c>
      <c r="I72" s="27" t="str">
        <f ca="1">_xlfn.FORMULATEXT(G72)</f>
        <v>=MATCH(E68, C58:C66, 1)</v>
      </c>
    </row>
    <row r="74" spans="1:11" x14ac:dyDescent="0.3">
      <c r="C74" s="21" t="s">
        <v>249</v>
      </c>
      <c r="G74" s="61">
        <f>MATCH(E68, C58:C66)</f>
        <v>2</v>
      </c>
      <c r="I74" s="27" t="str">
        <f ca="1">_xlfn.FORMULATEXT(G74)</f>
        <v>=MATCH(E68, C58:C66)</v>
      </c>
    </row>
    <row r="76" spans="1:11" x14ac:dyDescent="0.3">
      <c r="C76" s="21" t="s">
        <v>250</v>
      </c>
      <c r="G76" s="61">
        <f>MATCH(E68, E58:E66, -1)</f>
        <v>7</v>
      </c>
      <c r="I76" s="27" t="str">
        <f ca="1">_xlfn.FORMULATEXT(G76)</f>
        <v>=MATCH(E68, E58:E66, -1)</v>
      </c>
    </row>
    <row r="79" spans="1:11" s="52" customFormat="1" ht="21" x14ac:dyDescent="0.5">
      <c r="A79" s="55"/>
      <c r="B79" s="56" t="s">
        <v>114</v>
      </c>
      <c r="C79" s="55"/>
      <c r="D79" s="55"/>
      <c r="E79" s="55"/>
      <c r="F79" s="57"/>
      <c r="G79" s="57"/>
      <c r="H79" s="57"/>
      <c r="I79" s="57"/>
      <c r="J79" s="57"/>
      <c r="K79" s="57"/>
    </row>
    <row r="81" spans="3:3" x14ac:dyDescent="0.3">
      <c r="C81" s="21" t="s">
        <v>251</v>
      </c>
    </row>
    <row r="83" spans="3:3" x14ac:dyDescent="0.3">
      <c r="C83" s="21" t="s">
        <v>252</v>
      </c>
    </row>
    <row r="85" spans="3:3" x14ac:dyDescent="0.3">
      <c r="C85" s="21" t="s">
        <v>253</v>
      </c>
    </row>
    <row r="87" spans="3:3" x14ac:dyDescent="0.3">
      <c r="C87" s="58" t="s">
        <v>172</v>
      </c>
    </row>
    <row r="88" spans="3:3" x14ac:dyDescent="0.3">
      <c r="C88" s="33" t="s">
        <v>174</v>
      </c>
    </row>
    <row r="89" spans="3:3" x14ac:dyDescent="0.3">
      <c r="C89" s="33" t="s">
        <v>178</v>
      </c>
    </row>
    <row r="90" spans="3:3" x14ac:dyDescent="0.3">
      <c r="C90" s="33" t="s">
        <v>180</v>
      </c>
    </row>
    <row r="91" spans="3:3" x14ac:dyDescent="0.3">
      <c r="C91" s="33" t="s">
        <v>176</v>
      </c>
    </row>
    <row r="92" spans="3:3" x14ac:dyDescent="0.3">
      <c r="C92" s="33" t="s">
        <v>254</v>
      </c>
    </row>
    <row r="93" spans="3:3" x14ac:dyDescent="0.3">
      <c r="C93" s="33" t="s">
        <v>255</v>
      </c>
    </row>
    <row r="94" spans="3:3" x14ac:dyDescent="0.3">
      <c r="C94" s="33" t="s">
        <v>256</v>
      </c>
    </row>
    <row r="95" spans="3:3" x14ac:dyDescent="0.3">
      <c r="C95" s="33" t="s">
        <v>257</v>
      </c>
    </row>
    <row r="96" spans="3:3" x14ac:dyDescent="0.3">
      <c r="C96" s="33" t="s">
        <v>258</v>
      </c>
    </row>
    <row r="97" spans="1:11" x14ac:dyDescent="0.3">
      <c r="C97" s="33" t="s">
        <v>259</v>
      </c>
    </row>
    <row r="99" spans="1:11" x14ac:dyDescent="0.3">
      <c r="C99" s="33" t="s">
        <v>254</v>
      </c>
      <c r="G99" s="61">
        <f>MATCH(C99, $C$88:$C$97,0)</f>
        <v>5</v>
      </c>
      <c r="I99" s="27" t="str">
        <f ca="1">_xlfn.FORMULATEXT(G99)</f>
        <v>=MATCH(C99, $C$88:$C$97,0)</v>
      </c>
    </row>
    <row r="100" spans="1:11" x14ac:dyDescent="0.3">
      <c r="C100" s="33" t="s">
        <v>260</v>
      </c>
      <c r="G100" s="61" t="e">
        <f>MATCH(C100, $C$88:$C$97,0)</f>
        <v>#N/A</v>
      </c>
      <c r="I100" s="27" t="str">
        <f ca="1">_xlfn.FORMULATEXT(G100)</f>
        <v>=MATCH(C100, $C$88:$C$97,0)</v>
      </c>
    </row>
    <row r="102" spans="1:11" x14ac:dyDescent="0.3">
      <c r="C102" s="21" t="s">
        <v>261</v>
      </c>
    </row>
    <row r="103" spans="1:11" x14ac:dyDescent="0.3">
      <c r="C103" s="21" t="s">
        <v>262</v>
      </c>
    </row>
    <row r="105" spans="1:11" x14ac:dyDescent="0.3">
      <c r="C105" s="21" t="s">
        <v>263</v>
      </c>
    </row>
    <row r="107" spans="1:11" s="52" customFormat="1" ht="21" x14ac:dyDescent="0.5">
      <c r="A107" s="55"/>
      <c r="B107" s="56" t="s">
        <v>0</v>
      </c>
      <c r="C107" s="55"/>
      <c r="D107" s="55"/>
      <c r="E107" s="55"/>
      <c r="F107" s="57"/>
      <c r="G107" s="57"/>
      <c r="H107" s="57"/>
      <c r="I107" s="57"/>
      <c r="J107" s="57"/>
      <c r="K107" s="57"/>
    </row>
    <row r="109" spans="1:11" x14ac:dyDescent="0.3">
      <c r="B109" s="37" t="s">
        <v>264</v>
      </c>
    </row>
    <row r="111" spans="1:11" x14ac:dyDescent="0.3">
      <c r="C111" s="58" t="s">
        <v>171</v>
      </c>
      <c r="D111" s="58" t="s">
        <v>172</v>
      </c>
    </row>
    <row r="112" spans="1:11" x14ac:dyDescent="0.3">
      <c r="C112" s="25" t="s">
        <v>173</v>
      </c>
      <c r="D112" s="33" t="s">
        <v>174</v>
      </c>
    </row>
    <row r="113" spans="1:11" x14ac:dyDescent="0.3">
      <c r="C113" s="25" t="s">
        <v>177</v>
      </c>
      <c r="D113" s="33" t="s">
        <v>178</v>
      </c>
    </row>
    <row r="114" spans="1:11" x14ac:dyDescent="0.3">
      <c r="C114" s="25" t="s">
        <v>179</v>
      </c>
      <c r="D114" s="33" t="s">
        <v>180</v>
      </c>
    </row>
    <row r="115" spans="1:11" x14ac:dyDescent="0.3">
      <c r="C115" s="25" t="s">
        <v>175</v>
      </c>
      <c r="D115" s="33" t="s">
        <v>176</v>
      </c>
    </row>
    <row r="117" spans="1:11" x14ac:dyDescent="0.3">
      <c r="C117" s="21" t="s">
        <v>265</v>
      </c>
    </row>
    <row r="118" spans="1:11" x14ac:dyDescent="0.3">
      <c r="C118" s="21" t="s">
        <v>266</v>
      </c>
      <c r="D118" s="33"/>
      <c r="G118" s="61"/>
    </row>
    <row r="120" spans="1:11" s="52" customFormat="1" ht="21" x14ac:dyDescent="0.5">
      <c r="A120" s="55"/>
      <c r="B120" s="56" t="s">
        <v>184</v>
      </c>
      <c r="C120" s="55"/>
      <c r="D120" s="55"/>
      <c r="E120" s="55"/>
      <c r="F120" s="57"/>
      <c r="G120" s="57"/>
      <c r="H120" s="57"/>
      <c r="I120" s="57"/>
      <c r="J120" s="57"/>
      <c r="K120" s="57"/>
    </row>
    <row r="122" spans="1:11" x14ac:dyDescent="0.3">
      <c r="B122" s="37" t="s">
        <v>264</v>
      </c>
    </row>
    <row r="124" spans="1:11" x14ac:dyDescent="0.3">
      <c r="C124" s="58" t="s">
        <v>171</v>
      </c>
      <c r="D124" s="58" t="s">
        <v>172</v>
      </c>
    </row>
    <row r="125" spans="1:11" x14ac:dyDescent="0.3">
      <c r="C125" s="25" t="s">
        <v>173</v>
      </c>
      <c r="D125" s="33" t="s">
        <v>174</v>
      </c>
    </row>
    <row r="126" spans="1:11" x14ac:dyDescent="0.3">
      <c r="C126" s="25" t="s">
        <v>177</v>
      </c>
      <c r="D126" s="33" t="s">
        <v>178</v>
      </c>
    </row>
    <row r="127" spans="1:11" x14ac:dyDescent="0.3">
      <c r="C127" s="25" t="s">
        <v>179</v>
      </c>
      <c r="D127" s="33" t="s">
        <v>180</v>
      </c>
    </row>
    <row r="128" spans="1:11" x14ac:dyDescent="0.3">
      <c r="C128" s="25" t="s">
        <v>175</v>
      </c>
      <c r="D128" s="33" t="s">
        <v>176</v>
      </c>
    </row>
    <row r="130" spans="3:7" x14ac:dyDescent="0.3">
      <c r="C130" s="21" t="s">
        <v>265</v>
      </c>
    </row>
    <row r="131" spans="3:7" x14ac:dyDescent="0.3">
      <c r="C131" s="21" t="s">
        <v>266</v>
      </c>
      <c r="D131" s="25" t="s">
        <v>175</v>
      </c>
      <c r="G131" s="61">
        <f>MATCH(D131, C125:C128, 0)</f>
        <v>4</v>
      </c>
    </row>
  </sheetData>
  <dataValidations count="2">
    <dataValidation type="list" allowBlank="1" showInputMessage="1" showErrorMessage="1" sqref="C42" xr:uid="{D1D5C557-856E-447C-A29E-891E847CDE4C}">
      <formula1>$C$40:$F$40</formula1>
    </dataValidation>
    <dataValidation type="list" allowBlank="1" showInputMessage="1" showErrorMessage="1" sqref="C28" xr:uid="{9026452B-D49E-467F-B7DF-85C94B14DD8B}">
      <formula1>$C$22:$C$25</formula1>
    </dataValidation>
  </dataValidations>
  <printOptions horizontalCentered="1"/>
  <pageMargins left="0.15748031496062992" right="0.15748031496062992" top="0.78740157480314965" bottom="0.78740157480314965" header="0.51181102362204722" footer="0.51181102362204722"/>
  <pageSetup paperSize="9" scale="33" orientation="portrait" r:id="rId1"/>
  <headerFooter alignWithMargins="0">
    <oddFooter xml:space="preserve">&amp;CClarity Consultancy Services Ltd   info@clarityconsultancyservices.co.uk
Registered in the UK (6619745). Registered Office:  Suite 6 Bourne Gate, Bourne Valley Rd, Poole, BH12 1DY
</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7B56C-62FF-4072-BD36-6D66CC2D754C}">
  <sheetPr>
    <pageSetUpPr fitToPage="1"/>
  </sheetPr>
  <dimension ref="A1:AK193"/>
  <sheetViews>
    <sheetView showGridLines="0" zoomScaleNormal="100" workbookViewId="0">
      <pane ySplit="1" topLeftCell="A2" activePane="bottomLeft" state="frozen"/>
      <selection activeCell="A2" activeCellId="1" sqref="A4:XFD4 A2:XFD2"/>
      <selection pane="bottomLeft"/>
    </sheetView>
  </sheetViews>
  <sheetFormatPr defaultColWidth="0" defaultRowHeight="16.8" x14ac:dyDescent="0.3"/>
  <cols>
    <col min="1" max="2" width="3.6640625" style="21" customWidth="1"/>
    <col min="3" max="3" width="23.77734375" style="21" customWidth="1"/>
    <col min="4" max="4" width="13.77734375" style="21" bestFit="1" customWidth="1"/>
    <col min="5" max="5" width="14.109375" style="21" customWidth="1"/>
    <col min="6" max="6" width="15.77734375" style="21" customWidth="1"/>
    <col min="7" max="7" width="13.44140625" style="21" customWidth="1"/>
    <col min="8" max="8" width="10.44140625" style="21" bestFit="1" customWidth="1"/>
    <col min="9" max="9" width="12.33203125" style="21" customWidth="1"/>
    <col min="10" max="10" width="14.109375" style="21" customWidth="1"/>
    <col min="11" max="11" width="12.109375" style="21" customWidth="1"/>
    <col min="12" max="12" width="11.6640625" style="21" customWidth="1"/>
    <col min="13" max="13" width="10.6640625" style="21" customWidth="1"/>
    <col min="14" max="14" width="23.33203125" style="21" customWidth="1"/>
    <col min="15" max="37" width="9.109375" style="21" hidden="1" customWidth="1"/>
    <col min="38" max="16384" width="0" style="21" hidden="1"/>
  </cols>
  <sheetData>
    <row r="1" spans="1:14" s="52" customFormat="1" ht="49.95" customHeight="1" x14ac:dyDescent="0.3">
      <c r="A1" s="49"/>
      <c r="B1" s="50" t="s">
        <v>267</v>
      </c>
      <c r="C1" s="49"/>
      <c r="D1" s="49"/>
      <c r="E1" s="49"/>
      <c r="F1" s="51"/>
      <c r="G1" s="51"/>
      <c r="H1" s="51"/>
      <c r="I1" s="51"/>
      <c r="J1" s="51"/>
      <c r="K1" s="51"/>
      <c r="L1" s="51"/>
      <c r="M1" s="51"/>
      <c r="N1" s="51"/>
    </row>
    <row r="2" spans="1:14" ht="12" customHeight="1" x14ac:dyDescent="0.3"/>
    <row r="3" spans="1:14" ht="21" x14ac:dyDescent="0.5">
      <c r="B3" s="53" t="s">
        <v>268</v>
      </c>
      <c r="C3" s="53"/>
    </row>
    <row r="4" spans="1:14" ht="12" customHeight="1" x14ac:dyDescent="0.3">
      <c r="D4" s="54"/>
    </row>
    <row r="5" spans="1:14" s="52" customFormat="1" ht="21" x14ac:dyDescent="0.5">
      <c r="A5" s="55"/>
      <c r="B5" s="56" t="s">
        <v>7</v>
      </c>
      <c r="C5" s="55"/>
      <c r="D5" s="55"/>
      <c r="E5" s="55"/>
      <c r="F5" s="57"/>
      <c r="G5" s="57"/>
      <c r="H5" s="57"/>
      <c r="I5" s="57"/>
      <c r="J5" s="57"/>
      <c r="K5" s="57"/>
      <c r="L5" s="57"/>
      <c r="M5" s="57"/>
      <c r="N5" s="57"/>
    </row>
    <row r="6" spans="1:14" s="20" customFormat="1" ht="19.95" customHeight="1" x14ac:dyDescent="0.25">
      <c r="C6" s="20" t="s">
        <v>269</v>
      </c>
    </row>
    <row r="7" spans="1:14" s="20" customFormat="1" ht="19.95" customHeight="1" x14ac:dyDescent="0.25">
      <c r="C7" s="20" t="s">
        <v>270</v>
      </c>
    </row>
    <row r="8" spans="1:14" ht="15.75" customHeight="1" x14ac:dyDescent="0.3"/>
    <row r="9" spans="1:14" s="52" customFormat="1" ht="21" x14ac:dyDescent="0.5">
      <c r="A9" s="55"/>
      <c r="B9" s="56" t="s">
        <v>8</v>
      </c>
      <c r="C9" s="55"/>
      <c r="D9" s="55"/>
      <c r="E9" s="55"/>
      <c r="F9" s="57"/>
      <c r="G9" s="57"/>
      <c r="H9" s="57"/>
      <c r="I9" s="57"/>
      <c r="J9" s="57"/>
      <c r="K9" s="57"/>
      <c r="L9" s="57"/>
      <c r="M9" s="57"/>
      <c r="N9" s="57"/>
    </row>
    <row r="10" spans="1:14" ht="15.75" customHeight="1" x14ac:dyDescent="0.3"/>
    <row r="11" spans="1:14" ht="19.95" customHeight="1" x14ac:dyDescent="0.3">
      <c r="C11" s="21" t="s">
        <v>271</v>
      </c>
    </row>
    <row r="12" spans="1:14" ht="19.95" customHeight="1" x14ac:dyDescent="0.3">
      <c r="C12" s="21" t="s">
        <v>272</v>
      </c>
    </row>
    <row r="14" spans="1:14" x14ac:dyDescent="0.3">
      <c r="C14" s="58" t="s">
        <v>28</v>
      </c>
      <c r="D14" s="58" t="s">
        <v>29</v>
      </c>
    </row>
    <row r="15" spans="1:14" x14ac:dyDescent="0.3">
      <c r="C15" s="23" t="s">
        <v>30</v>
      </c>
      <c r="D15" s="59">
        <v>2.75</v>
      </c>
    </row>
    <row r="16" spans="1:14" x14ac:dyDescent="0.3">
      <c r="C16" s="23" t="s">
        <v>31</v>
      </c>
      <c r="D16" s="59">
        <v>3</v>
      </c>
    </row>
    <row r="17" spans="3:9" x14ac:dyDescent="0.3">
      <c r="C17" s="23" t="s">
        <v>32</v>
      </c>
      <c r="D17" s="59">
        <v>3.25</v>
      </c>
    </row>
    <row r="18" spans="3:9" x14ac:dyDescent="0.3">
      <c r="C18" s="23" t="s">
        <v>138</v>
      </c>
      <c r="D18" s="59">
        <v>3.15</v>
      </c>
    </row>
    <row r="20" spans="3:9" x14ac:dyDescent="0.3">
      <c r="C20" s="25" t="s">
        <v>31</v>
      </c>
      <c r="G20" s="63">
        <f>INDEX(D15:D18, MATCH(C20, C15:C18, 0))</f>
        <v>3</v>
      </c>
      <c r="I20" s="27" t="str">
        <f ca="1">_xlfn.FORMULATEXT(G20)</f>
        <v>=INDEX(D15:D18, MATCH(C20, C15:C18, 0))</v>
      </c>
    </row>
    <row r="22" spans="3:9" x14ac:dyDescent="0.3">
      <c r="C22" s="32" t="s">
        <v>34</v>
      </c>
    </row>
    <row r="23" spans="3:9" x14ac:dyDescent="0.3">
      <c r="C23" s="27" t="str">
        <f>"INDEX and MATCH return the price of "&amp;C20&amp;" from the table"</f>
        <v>INDEX and MATCH return the price of Lamb Pie from the table</v>
      </c>
    </row>
    <row r="26" spans="3:9" x14ac:dyDescent="0.3">
      <c r="C26" s="21" t="s">
        <v>273</v>
      </c>
    </row>
    <row r="28" spans="3:9" x14ac:dyDescent="0.3">
      <c r="C28" s="27" t="str">
        <f>"What is the position of "&amp; C20 &amp; " in the range C15 to C18"</f>
        <v>What is the position of Lamb Pie in the range C15 to C18</v>
      </c>
      <c r="G28" s="36">
        <f>MATCH(C20, C15:C18, 0)</f>
        <v>2</v>
      </c>
      <c r="I28" s="27" t="str">
        <f ca="1">_xlfn.FORMULATEXT(G28)</f>
        <v>=MATCH(C20, C15:C18, 0)</v>
      </c>
    </row>
    <row r="30" spans="3:9" x14ac:dyDescent="0.3">
      <c r="C30" s="21" t="str">
        <f>"Return the item in position " &amp; G28 &amp; " from the range D15 to D18"</f>
        <v>Return the item in position 2 from the range D15 to D18</v>
      </c>
      <c r="G30" s="63" cm="1">
        <f t="array" ref="G30">INDEX(D15:D18, G28)</f>
        <v>3</v>
      </c>
      <c r="I30" s="27" t="str">
        <f ca="1">_xlfn.FORMULATEXT(G30)</f>
        <v>=INDEX(D15:D18, G28)</v>
      </c>
    </row>
    <row r="33" spans="1:14" x14ac:dyDescent="0.3">
      <c r="C33" s="21" t="s">
        <v>274</v>
      </c>
    </row>
    <row r="36" spans="1:14" s="52" customFormat="1" ht="21" x14ac:dyDescent="0.5">
      <c r="A36" s="55"/>
      <c r="B36" s="56" t="s">
        <v>114</v>
      </c>
      <c r="C36" s="55"/>
      <c r="D36" s="55"/>
      <c r="E36" s="55"/>
      <c r="F36" s="57"/>
      <c r="G36" s="57"/>
      <c r="H36" s="57"/>
      <c r="I36" s="57"/>
      <c r="J36" s="57"/>
      <c r="K36" s="57"/>
      <c r="L36" s="57"/>
      <c r="M36" s="57"/>
      <c r="N36" s="57"/>
    </row>
    <row r="38" spans="1:14" x14ac:dyDescent="0.3">
      <c r="C38" s="21" t="s">
        <v>115</v>
      </c>
    </row>
    <row r="40" spans="1:14" x14ac:dyDescent="0.3">
      <c r="C40" s="21" t="s">
        <v>116</v>
      </c>
    </row>
    <row r="42" spans="1:14" x14ac:dyDescent="0.3">
      <c r="C42" s="37" t="s">
        <v>117</v>
      </c>
      <c r="G42" s="37" t="s">
        <v>118</v>
      </c>
    </row>
    <row r="44" spans="1:14" x14ac:dyDescent="0.3">
      <c r="C44" s="58" t="s">
        <v>119</v>
      </c>
      <c r="D44" s="58" t="s">
        <v>28</v>
      </c>
      <c r="E44" s="58" t="s">
        <v>113</v>
      </c>
      <c r="G44" s="58" t="s">
        <v>28</v>
      </c>
      <c r="H44" s="58" t="s">
        <v>120</v>
      </c>
      <c r="I44" s="58" t="s">
        <v>121</v>
      </c>
      <c r="J44" s="58" t="s">
        <v>122</v>
      </c>
    </row>
    <row r="45" spans="1:14" x14ac:dyDescent="0.3">
      <c r="C45" s="76">
        <v>43102</v>
      </c>
      <c r="D45" s="33" t="s">
        <v>123</v>
      </c>
      <c r="E45" s="33">
        <v>171</v>
      </c>
      <c r="G45" s="33" t="s">
        <v>123</v>
      </c>
      <c r="H45" s="59">
        <v>8</v>
      </c>
      <c r="I45" s="59">
        <v>1.2</v>
      </c>
      <c r="J45" s="33" t="s">
        <v>124</v>
      </c>
    </row>
    <row r="46" spans="1:14" x14ac:dyDescent="0.3">
      <c r="C46" s="76">
        <v>43102</v>
      </c>
      <c r="D46" s="33" t="s">
        <v>125</v>
      </c>
      <c r="E46" s="33">
        <v>72</v>
      </c>
      <c r="G46" s="33" t="s">
        <v>125</v>
      </c>
      <c r="H46" s="59">
        <v>8.5</v>
      </c>
      <c r="I46" s="59">
        <v>1.95</v>
      </c>
      <c r="J46" s="33" t="s">
        <v>124</v>
      </c>
    </row>
    <row r="47" spans="1:14" x14ac:dyDescent="0.3">
      <c r="C47" s="76">
        <v>43102</v>
      </c>
      <c r="D47" s="33" t="s">
        <v>126</v>
      </c>
      <c r="E47" s="33">
        <v>29</v>
      </c>
      <c r="G47" s="33" t="s">
        <v>126</v>
      </c>
      <c r="H47" s="59">
        <v>7.5</v>
      </c>
      <c r="I47" s="59">
        <v>1</v>
      </c>
      <c r="J47" s="33" t="s">
        <v>127</v>
      </c>
    </row>
    <row r="48" spans="1:14" x14ac:dyDescent="0.3">
      <c r="C48" s="76">
        <v>43104</v>
      </c>
      <c r="D48" s="33" t="s">
        <v>123</v>
      </c>
      <c r="E48" s="33">
        <v>178</v>
      </c>
    </row>
    <row r="49" spans="3:13" x14ac:dyDescent="0.3">
      <c r="C49" s="76">
        <v>43104</v>
      </c>
      <c r="D49" s="33" t="s">
        <v>125</v>
      </c>
      <c r="E49" s="33">
        <v>72</v>
      </c>
    </row>
    <row r="50" spans="3:13" x14ac:dyDescent="0.3">
      <c r="C50" s="76">
        <v>43104</v>
      </c>
      <c r="D50" s="33" t="s">
        <v>126</v>
      </c>
      <c r="E50" s="33">
        <v>24</v>
      </c>
    </row>
    <row r="51" spans="3:13" x14ac:dyDescent="0.3">
      <c r="C51" s="76">
        <v>43106</v>
      </c>
      <c r="D51" s="33" t="s">
        <v>123</v>
      </c>
      <c r="E51" s="33">
        <v>175</v>
      </c>
    </row>
    <row r="52" spans="3:13" x14ac:dyDescent="0.3">
      <c r="C52" s="76">
        <v>43106</v>
      </c>
      <c r="D52" s="33" t="s">
        <v>125</v>
      </c>
      <c r="E52" s="33">
        <v>67</v>
      </c>
    </row>
    <row r="53" spans="3:13" x14ac:dyDescent="0.3">
      <c r="C53" s="76">
        <v>43106</v>
      </c>
      <c r="D53" s="33" t="s">
        <v>126</v>
      </c>
      <c r="E53" s="33">
        <v>28</v>
      </c>
    </row>
    <row r="54" spans="3:13" x14ac:dyDescent="0.3">
      <c r="C54" s="76">
        <v>43109</v>
      </c>
      <c r="D54" s="33" t="s">
        <v>123</v>
      </c>
      <c r="E54" s="33">
        <v>179</v>
      </c>
    </row>
    <row r="55" spans="3:13" x14ac:dyDescent="0.3">
      <c r="C55" s="76">
        <v>43109</v>
      </c>
      <c r="D55" s="33" t="s">
        <v>125</v>
      </c>
      <c r="E55" s="33">
        <v>72</v>
      </c>
    </row>
    <row r="58" spans="3:13" x14ac:dyDescent="0.3">
      <c r="C58" s="37" t="s">
        <v>128</v>
      </c>
      <c r="K58" s="21" t="s">
        <v>275</v>
      </c>
    </row>
    <row r="60" spans="3:13" x14ac:dyDescent="0.3">
      <c r="C60" s="58" t="s">
        <v>119</v>
      </c>
      <c r="D60" s="58" t="s">
        <v>28</v>
      </c>
      <c r="E60" s="58" t="s">
        <v>113</v>
      </c>
      <c r="F60" s="58" t="s">
        <v>276</v>
      </c>
      <c r="G60" s="58" t="s">
        <v>122</v>
      </c>
      <c r="H60" s="58" t="s">
        <v>120</v>
      </c>
      <c r="I60" s="58" t="s">
        <v>121</v>
      </c>
      <c r="K60" s="58" t="s">
        <v>122</v>
      </c>
      <c r="L60" s="58" t="s">
        <v>120</v>
      </c>
      <c r="M60" s="58" t="s">
        <v>121</v>
      </c>
    </row>
    <row r="61" spans="3:13" x14ac:dyDescent="0.3">
      <c r="C61" s="76">
        <v>43102</v>
      </c>
      <c r="D61" s="33" t="s">
        <v>123</v>
      </c>
      <c r="E61" s="40">
        <v>171</v>
      </c>
      <c r="F61" s="61">
        <f>MATCH(D61, $G$45:$G$47, 0)</f>
        <v>1</v>
      </c>
      <c r="G61" s="61" t="str" cm="1">
        <f t="array" ref="G61">INDEX($J$45:$J$47, $F61)</f>
        <v>Meat Pie</v>
      </c>
      <c r="H61" s="77" cm="1">
        <f t="array" ref="H61">INDEX($H$45:$H$47, $F61)</f>
        <v>8</v>
      </c>
      <c r="I61" s="77" cm="1">
        <f t="array" ref="I61">INDEX($I$45:$I$47, $F61)</f>
        <v>1.2</v>
      </c>
      <c r="K61" s="61" t="str">
        <f>INDEX($J$45:$J$47,MATCH($D61,$G$45:$G$47,0))</f>
        <v>Meat Pie</v>
      </c>
      <c r="L61" s="77">
        <f>INDEX($H$45:$H$47,MATCH($D61,$G$45:$G$47,0))</f>
        <v>8</v>
      </c>
      <c r="M61" s="77">
        <f>INDEX($I$45:$I$47,MATCH($D61,$G$45:$G$47,0))</f>
        <v>1.2</v>
      </c>
    </row>
    <row r="62" spans="3:13" x14ac:dyDescent="0.3">
      <c r="C62" s="76">
        <v>43102</v>
      </c>
      <c r="D62" s="33" t="s">
        <v>125</v>
      </c>
      <c r="E62" s="40">
        <v>72</v>
      </c>
      <c r="F62" s="61">
        <f t="shared" ref="F62:F71" si="0">MATCH(D62, $G$45:$G$47, 0)</f>
        <v>2</v>
      </c>
      <c r="G62" s="61" t="str" cm="1">
        <f t="array" ref="G62">INDEX($J$45:$J$47, $F62)</f>
        <v>Meat Pie</v>
      </c>
      <c r="H62" s="77" cm="1">
        <f t="array" ref="H62">INDEX($H$45:$H$47, $F62)</f>
        <v>8.5</v>
      </c>
      <c r="I62" s="77" cm="1">
        <f t="array" ref="I62">INDEX($I$45:$I$47, $F62)</f>
        <v>1.95</v>
      </c>
      <c r="K62" s="61" t="str">
        <f t="shared" ref="K62:K71" si="1">INDEX($J$45:$J$47,MATCH($D62,$G$45:$G$47,0))</f>
        <v>Meat Pie</v>
      </c>
      <c r="L62" s="77">
        <f t="shared" ref="L62:L71" si="2">INDEX($H$45:$H$47,MATCH($D62,$G$45:$G$47,0))</f>
        <v>8.5</v>
      </c>
      <c r="M62" s="77">
        <f t="shared" ref="M62:M71" si="3">INDEX($I$45:$I$47,MATCH($D62,$G$45:$G$47,0))</f>
        <v>1.95</v>
      </c>
    </row>
    <row r="63" spans="3:13" x14ac:dyDescent="0.3">
      <c r="C63" s="76">
        <v>43102</v>
      </c>
      <c r="D63" s="33" t="s">
        <v>126</v>
      </c>
      <c r="E63" s="40">
        <v>29</v>
      </c>
      <c r="F63" s="61">
        <f t="shared" si="0"/>
        <v>3</v>
      </c>
      <c r="G63" s="61" t="str" cm="1">
        <f t="array" ref="G63">INDEX($J$45:$J$47, $F63)</f>
        <v>Veggie Pie</v>
      </c>
      <c r="H63" s="77" cm="1">
        <f t="array" ref="H63">INDEX($H$45:$H$47, $F63)</f>
        <v>7.5</v>
      </c>
      <c r="I63" s="77" cm="1">
        <f t="array" ref="I63">INDEX($I$45:$I$47, $F63)</f>
        <v>1</v>
      </c>
      <c r="K63" s="61" t="str">
        <f t="shared" si="1"/>
        <v>Veggie Pie</v>
      </c>
      <c r="L63" s="77">
        <f t="shared" si="2"/>
        <v>7.5</v>
      </c>
      <c r="M63" s="77">
        <f t="shared" si="3"/>
        <v>1</v>
      </c>
    </row>
    <row r="64" spans="3:13" x14ac:dyDescent="0.3">
      <c r="C64" s="76">
        <v>43104</v>
      </c>
      <c r="D64" s="33" t="s">
        <v>123</v>
      </c>
      <c r="E64" s="40">
        <v>178</v>
      </c>
      <c r="F64" s="61">
        <f t="shared" si="0"/>
        <v>1</v>
      </c>
      <c r="G64" s="61" t="str" cm="1">
        <f t="array" ref="G64">INDEX($J$45:$J$47, $F64)</f>
        <v>Meat Pie</v>
      </c>
      <c r="H64" s="77" cm="1">
        <f t="array" ref="H64">INDEX($H$45:$H$47, $F64)</f>
        <v>8</v>
      </c>
      <c r="I64" s="77" cm="1">
        <f t="array" ref="I64">INDEX($I$45:$I$47, $F64)</f>
        <v>1.2</v>
      </c>
      <c r="K64" s="61" t="str">
        <f t="shared" si="1"/>
        <v>Meat Pie</v>
      </c>
      <c r="L64" s="77">
        <f t="shared" si="2"/>
        <v>8</v>
      </c>
      <c r="M64" s="77">
        <f t="shared" si="3"/>
        <v>1.2</v>
      </c>
    </row>
    <row r="65" spans="1:14" x14ac:dyDescent="0.3">
      <c r="C65" s="76">
        <v>43104</v>
      </c>
      <c r="D65" s="33" t="s">
        <v>125</v>
      </c>
      <c r="E65" s="40">
        <v>72</v>
      </c>
      <c r="F65" s="61">
        <f t="shared" si="0"/>
        <v>2</v>
      </c>
      <c r="G65" s="61" t="str" cm="1">
        <f t="array" ref="G65">INDEX($J$45:$J$47, $F65)</f>
        <v>Meat Pie</v>
      </c>
      <c r="H65" s="77" cm="1">
        <f t="array" ref="H65">INDEX($H$45:$H$47, $F65)</f>
        <v>8.5</v>
      </c>
      <c r="I65" s="77" cm="1">
        <f t="array" ref="I65">INDEX($I$45:$I$47, $F65)</f>
        <v>1.95</v>
      </c>
      <c r="K65" s="61" t="str">
        <f t="shared" si="1"/>
        <v>Meat Pie</v>
      </c>
      <c r="L65" s="77">
        <f t="shared" si="2"/>
        <v>8.5</v>
      </c>
      <c r="M65" s="77">
        <f t="shared" si="3"/>
        <v>1.95</v>
      </c>
    </row>
    <row r="66" spans="1:14" x14ac:dyDescent="0.3">
      <c r="C66" s="76">
        <v>43104</v>
      </c>
      <c r="D66" s="33" t="s">
        <v>126</v>
      </c>
      <c r="E66" s="40">
        <v>24</v>
      </c>
      <c r="F66" s="61">
        <f t="shared" si="0"/>
        <v>3</v>
      </c>
      <c r="G66" s="61" t="str" cm="1">
        <f t="array" ref="G66">INDEX($J$45:$J$47, $F66)</f>
        <v>Veggie Pie</v>
      </c>
      <c r="H66" s="77" cm="1">
        <f t="array" ref="H66">INDEX($H$45:$H$47, $F66)</f>
        <v>7.5</v>
      </c>
      <c r="I66" s="77" cm="1">
        <f t="array" ref="I66">INDEX($I$45:$I$47, $F66)</f>
        <v>1</v>
      </c>
      <c r="K66" s="61" t="str">
        <f t="shared" si="1"/>
        <v>Veggie Pie</v>
      </c>
      <c r="L66" s="77">
        <f t="shared" si="2"/>
        <v>7.5</v>
      </c>
      <c r="M66" s="77">
        <f t="shared" si="3"/>
        <v>1</v>
      </c>
    </row>
    <row r="67" spans="1:14" x14ac:dyDescent="0.3">
      <c r="C67" s="76">
        <v>43106</v>
      </c>
      <c r="D67" s="33" t="s">
        <v>123</v>
      </c>
      <c r="E67" s="40">
        <v>175</v>
      </c>
      <c r="F67" s="61">
        <f t="shared" si="0"/>
        <v>1</v>
      </c>
      <c r="G67" s="61" t="str" cm="1">
        <f t="array" ref="G67">INDEX($J$45:$J$47, $F67)</f>
        <v>Meat Pie</v>
      </c>
      <c r="H67" s="77" cm="1">
        <f t="array" ref="H67">INDEX($H$45:$H$47, $F67)</f>
        <v>8</v>
      </c>
      <c r="I67" s="77" cm="1">
        <f t="array" ref="I67">INDEX($I$45:$I$47, $F67)</f>
        <v>1.2</v>
      </c>
      <c r="K67" s="61" t="str">
        <f t="shared" si="1"/>
        <v>Meat Pie</v>
      </c>
      <c r="L67" s="77">
        <f t="shared" si="2"/>
        <v>8</v>
      </c>
      <c r="M67" s="77">
        <f t="shared" si="3"/>
        <v>1.2</v>
      </c>
    </row>
    <row r="68" spans="1:14" x14ac:dyDescent="0.3">
      <c r="C68" s="76">
        <v>43106</v>
      </c>
      <c r="D68" s="33" t="s">
        <v>125</v>
      </c>
      <c r="E68" s="40">
        <v>67</v>
      </c>
      <c r="F68" s="61">
        <f t="shared" si="0"/>
        <v>2</v>
      </c>
      <c r="G68" s="61" t="str" cm="1">
        <f t="array" ref="G68">INDEX($J$45:$J$47, $F68)</f>
        <v>Meat Pie</v>
      </c>
      <c r="H68" s="77" cm="1">
        <f t="array" ref="H68">INDEX($H$45:$H$47, $F68)</f>
        <v>8.5</v>
      </c>
      <c r="I68" s="77" cm="1">
        <f t="array" ref="I68">INDEX($I$45:$I$47, $F68)</f>
        <v>1.95</v>
      </c>
      <c r="K68" s="61" t="str">
        <f t="shared" si="1"/>
        <v>Meat Pie</v>
      </c>
      <c r="L68" s="77">
        <f t="shared" si="2"/>
        <v>8.5</v>
      </c>
      <c r="M68" s="77">
        <f t="shared" si="3"/>
        <v>1.95</v>
      </c>
    </row>
    <row r="69" spans="1:14" x14ac:dyDescent="0.3">
      <c r="C69" s="76">
        <v>43106</v>
      </c>
      <c r="D69" s="33" t="s">
        <v>126</v>
      </c>
      <c r="E69" s="40">
        <v>28</v>
      </c>
      <c r="F69" s="61">
        <f t="shared" si="0"/>
        <v>3</v>
      </c>
      <c r="G69" s="61" t="str" cm="1">
        <f t="array" ref="G69">INDEX($J$45:$J$47, $F69)</f>
        <v>Veggie Pie</v>
      </c>
      <c r="H69" s="77" cm="1">
        <f t="array" ref="H69">INDEX($H$45:$H$47, $F69)</f>
        <v>7.5</v>
      </c>
      <c r="I69" s="77" cm="1">
        <f t="array" ref="I69">INDEX($I$45:$I$47, $F69)</f>
        <v>1</v>
      </c>
      <c r="K69" s="61" t="str">
        <f t="shared" si="1"/>
        <v>Veggie Pie</v>
      </c>
      <c r="L69" s="77">
        <f t="shared" si="2"/>
        <v>7.5</v>
      </c>
      <c r="M69" s="77">
        <f t="shared" si="3"/>
        <v>1</v>
      </c>
    </row>
    <row r="70" spans="1:14" x14ac:dyDescent="0.3">
      <c r="C70" s="76">
        <v>43109</v>
      </c>
      <c r="D70" s="33" t="s">
        <v>123</v>
      </c>
      <c r="E70" s="40">
        <v>179</v>
      </c>
      <c r="F70" s="61">
        <f t="shared" si="0"/>
        <v>1</v>
      </c>
      <c r="G70" s="61" t="str" cm="1">
        <f t="array" ref="G70">INDEX($J$45:$J$47, $F70)</f>
        <v>Meat Pie</v>
      </c>
      <c r="H70" s="77" cm="1">
        <f t="array" ref="H70">INDEX($H$45:$H$47, $F70)</f>
        <v>8</v>
      </c>
      <c r="I70" s="77" cm="1">
        <f t="array" ref="I70">INDEX($I$45:$I$47, $F70)</f>
        <v>1.2</v>
      </c>
      <c r="K70" s="61" t="str">
        <f t="shared" si="1"/>
        <v>Meat Pie</v>
      </c>
      <c r="L70" s="77">
        <f t="shared" si="2"/>
        <v>8</v>
      </c>
      <c r="M70" s="77">
        <f t="shared" si="3"/>
        <v>1.2</v>
      </c>
    </row>
    <row r="71" spans="1:14" x14ac:dyDescent="0.3">
      <c r="C71" s="76">
        <v>43109</v>
      </c>
      <c r="D71" s="33" t="s">
        <v>125</v>
      </c>
      <c r="E71" s="40">
        <v>72</v>
      </c>
      <c r="F71" s="61">
        <f t="shared" si="0"/>
        <v>2</v>
      </c>
      <c r="G71" s="61" t="str" cm="1">
        <f t="array" ref="G71">INDEX($J$45:$J$47, $F71)</f>
        <v>Meat Pie</v>
      </c>
      <c r="H71" s="77" cm="1">
        <f t="array" ref="H71">INDEX($H$45:$H$47, $F71)</f>
        <v>8.5</v>
      </c>
      <c r="I71" s="77" cm="1">
        <f t="array" ref="I71">INDEX($I$45:$I$47, $F71)</f>
        <v>1.95</v>
      </c>
      <c r="K71" s="61" t="str">
        <f t="shared" si="1"/>
        <v>Meat Pie</v>
      </c>
      <c r="L71" s="77">
        <f t="shared" si="2"/>
        <v>8.5</v>
      </c>
      <c r="M71" s="77">
        <f t="shared" si="3"/>
        <v>1.95</v>
      </c>
    </row>
    <row r="73" spans="1:14" x14ac:dyDescent="0.3">
      <c r="C73" s="21" t="s">
        <v>277</v>
      </c>
    </row>
    <row r="74" spans="1:14" x14ac:dyDescent="0.3">
      <c r="C74" s="21" t="s">
        <v>278</v>
      </c>
    </row>
    <row r="77" spans="1:14" s="52" customFormat="1" ht="21" x14ac:dyDescent="0.5">
      <c r="A77" s="55"/>
      <c r="B77" s="56" t="s">
        <v>0</v>
      </c>
      <c r="C77" s="55"/>
      <c r="D77" s="55"/>
      <c r="E77" s="55"/>
      <c r="F77" s="57"/>
      <c r="G77" s="57"/>
      <c r="H77" s="57"/>
      <c r="I77" s="57"/>
      <c r="J77" s="57"/>
      <c r="K77" s="57"/>
      <c r="L77" s="57"/>
      <c r="M77" s="57"/>
      <c r="N77" s="57"/>
    </row>
    <row r="79" spans="1:14" x14ac:dyDescent="0.3">
      <c r="B79" s="37" t="s">
        <v>279</v>
      </c>
    </row>
    <row r="81" spans="3:7" x14ac:dyDescent="0.3">
      <c r="C81" s="58" t="s">
        <v>171</v>
      </c>
      <c r="D81" s="58" t="s">
        <v>172</v>
      </c>
    </row>
    <row r="82" spans="3:7" x14ac:dyDescent="0.3">
      <c r="C82" s="25" t="s">
        <v>173</v>
      </c>
      <c r="D82" s="33" t="s">
        <v>174</v>
      </c>
    </row>
    <row r="83" spans="3:7" x14ac:dyDescent="0.3">
      <c r="C83" s="25" t="s">
        <v>177</v>
      </c>
      <c r="D83" s="33" t="s">
        <v>178</v>
      </c>
    </row>
    <row r="84" spans="3:7" x14ac:dyDescent="0.3">
      <c r="C84" s="25" t="s">
        <v>179</v>
      </c>
      <c r="D84" s="33" t="s">
        <v>180</v>
      </c>
    </row>
    <row r="85" spans="3:7" x14ac:dyDescent="0.3">
      <c r="C85" s="25" t="s">
        <v>175</v>
      </c>
      <c r="D85" s="33" t="s">
        <v>176</v>
      </c>
    </row>
    <row r="87" spans="3:7" x14ac:dyDescent="0.3">
      <c r="C87" s="21" t="s">
        <v>280</v>
      </c>
    </row>
    <row r="88" spans="3:7" x14ac:dyDescent="0.3">
      <c r="C88" s="21" t="s">
        <v>266</v>
      </c>
      <c r="D88" s="33" t="s">
        <v>175</v>
      </c>
    </row>
    <row r="89" spans="3:7" x14ac:dyDescent="0.3">
      <c r="C89" s="21" t="s">
        <v>281</v>
      </c>
      <c r="G89" s="61"/>
    </row>
    <row r="90" spans="3:7" x14ac:dyDescent="0.3">
      <c r="C90" s="21" t="s">
        <v>282</v>
      </c>
      <c r="G90" s="61"/>
    </row>
    <row r="92" spans="3:7" x14ac:dyDescent="0.3">
      <c r="C92" s="21" t="s">
        <v>283</v>
      </c>
      <c r="G92" s="61"/>
    </row>
    <row r="96" spans="3:7" x14ac:dyDescent="0.3">
      <c r="C96" s="21" t="s">
        <v>284</v>
      </c>
    </row>
    <row r="98" spans="3:7" x14ac:dyDescent="0.3">
      <c r="C98" s="21" t="s">
        <v>266</v>
      </c>
      <c r="D98" s="72" t="s">
        <v>216</v>
      </c>
      <c r="E98" s="78" t="s">
        <v>285</v>
      </c>
      <c r="F98" s="21" t="s">
        <v>281</v>
      </c>
      <c r="G98" s="61"/>
    </row>
    <row r="99" spans="3:7" x14ac:dyDescent="0.3">
      <c r="C99" s="21" t="s">
        <v>286</v>
      </c>
      <c r="D99" s="61"/>
      <c r="F99" s="21" t="s">
        <v>188</v>
      </c>
      <c r="G99" s="61"/>
    </row>
    <row r="101" spans="3:7" x14ac:dyDescent="0.3">
      <c r="C101" s="58" t="s">
        <v>171</v>
      </c>
      <c r="D101" s="58" t="s">
        <v>189</v>
      </c>
    </row>
    <row r="102" spans="3:7" x14ac:dyDescent="0.3">
      <c r="C102" s="33" t="s">
        <v>190</v>
      </c>
      <c r="D102" s="79">
        <v>1500</v>
      </c>
    </row>
    <row r="103" spans="3:7" x14ac:dyDescent="0.3">
      <c r="C103" s="33" t="s">
        <v>191</v>
      </c>
      <c r="D103" s="79">
        <v>2700</v>
      </c>
    </row>
    <row r="104" spans="3:7" x14ac:dyDescent="0.3">
      <c r="C104" s="33" t="s">
        <v>192</v>
      </c>
      <c r="D104" s="79">
        <v>3600</v>
      </c>
    </row>
    <row r="105" spans="3:7" x14ac:dyDescent="0.3">
      <c r="C105" s="33" t="s">
        <v>193</v>
      </c>
      <c r="D105" s="79">
        <v>9000</v>
      </c>
    </row>
    <row r="106" spans="3:7" x14ac:dyDescent="0.3">
      <c r="C106" s="33" t="s">
        <v>194</v>
      </c>
      <c r="D106" s="79">
        <v>1500</v>
      </c>
    </row>
    <row r="107" spans="3:7" x14ac:dyDescent="0.3">
      <c r="C107" s="33" t="s">
        <v>195</v>
      </c>
      <c r="D107" s="79">
        <v>10000</v>
      </c>
    </row>
    <row r="108" spans="3:7" x14ac:dyDescent="0.3">
      <c r="C108" s="33" t="s">
        <v>196</v>
      </c>
      <c r="D108" s="79">
        <v>6750</v>
      </c>
    </row>
    <row r="109" spans="3:7" x14ac:dyDescent="0.3">
      <c r="C109" s="33" t="s">
        <v>197</v>
      </c>
      <c r="D109" s="79">
        <v>2000</v>
      </c>
    </row>
    <row r="110" spans="3:7" x14ac:dyDescent="0.3">
      <c r="C110" s="33" t="s">
        <v>198</v>
      </c>
      <c r="D110" s="79">
        <v>6000</v>
      </c>
    </row>
    <row r="111" spans="3:7" x14ac:dyDescent="0.3">
      <c r="C111" s="33" t="s">
        <v>199</v>
      </c>
      <c r="D111" s="79">
        <v>1500</v>
      </c>
    </row>
    <row r="112" spans="3:7" x14ac:dyDescent="0.3">
      <c r="C112" s="33" t="s">
        <v>200</v>
      </c>
      <c r="D112" s="79">
        <v>3600</v>
      </c>
    </row>
    <row r="113" spans="3:4" x14ac:dyDescent="0.3">
      <c r="C113" s="33" t="s">
        <v>201</v>
      </c>
      <c r="D113" s="79">
        <v>1500</v>
      </c>
    </row>
    <row r="114" spans="3:4" x14ac:dyDescent="0.3">
      <c r="C114" s="33" t="s">
        <v>202</v>
      </c>
      <c r="D114" s="79">
        <v>2250</v>
      </c>
    </row>
    <row r="115" spans="3:4" x14ac:dyDescent="0.3">
      <c r="C115" s="33" t="s">
        <v>203</v>
      </c>
      <c r="D115" s="79">
        <v>700</v>
      </c>
    </row>
    <row r="116" spans="3:4" x14ac:dyDescent="0.3">
      <c r="C116" s="33" t="s">
        <v>204</v>
      </c>
      <c r="D116" s="79">
        <v>5000</v>
      </c>
    </row>
    <row r="117" spans="3:4" x14ac:dyDescent="0.3">
      <c r="C117" s="33" t="s">
        <v>205</v>
      </c>
      <c r="D117" s="79">
        <v>500</v>
      </c>
    </row>
    <row r="118" spans="3:4" x14ac:dyDescent="0.3">
      <c r="C118" s="33" t="s">
        <v>206</v>
      </c>
      <c r="D118" s="79">
        <v>4500</v>
      </c>
    </row>
    <row r="119" spans="3:4" x14ac:dyDescent="0.3">
      <c r="C119" s="33" t="s">
        <v>207</v>
      </c>
      <c r="D119" s="79">
        <v>2000</v>
      </c>
    </row>
    <row r="120" spans="3:4" x14ac:dyDescent="0.3">
      <c r="C120" s="33" t="s">
        <v>208</v>
      </c>
      <c r="D120" s="79">
        <v>12500</v>
      </c>
    </row>
    <row r="121" spans="3:4" x14ac:dyDescent="0.3">
      <c r="C121" s="33" t="s">
        <v>209</v>
      </c>
      <c r="D121" s="79">
        <v>4500</v>
      </c>
    </row>
    <row r="122" spans="3:4" x14ac:dyDescent="0.3">
      <c r="C122" s="33" t="s">
        <v>210</v>
      </c>
      <c r="D122" s="79">
        <v>10000</v>
      </c>
    </row>
    <row r="123" spans="3:4" x14ac:dyDescent="0.3">
      <c r="C123" s="33" t="s">
        <v>211</v>
      </c>
      <c r="D123" s="79">
        <v>2700</v>
      </c>
    </row>
    <row r="124" spans="3:4" x14ac:dyDescent="0.3">
      <c r="C124" s="33" t="s">
        <v>212</v>
      </c>
      <c r="D124" s="79">
        <v>2000</v>
      </c>
    </row>
    <row r="125" spans="3:4" x14ac:dyDescent="0.3">
      <c r="C125" s="33" t="s">
        <v>213</v>
      </c>
      <c r="D125" s="79">
        <v>3500</v>
      </c>
    </row>
    <row r="126" spans="3:4" x14ac:dyDescent="0.3">
      <c r="C126" s="33" t="s">
        <v>214</v>
      </c>
      <c r="D126" s="79">
        <v>4000</v>
      </c>
    </row>
    <row r="127" spans="3:4" x14ac:dyDescent="0.3">
      <c r="C127" s="33" t="s">
        <v>215</v>
      </c>
      <c r="D127" s="79">
        <v>1000</v>
      </c>
    </row>
    <row r="128" spans="3:4" x14ac:dyDescent="0.3">
      <c r="C128" s="33" t="s">
        <v>216</v>
      </c>
      <c r="D128" s="79">
        <v>1800</v>
      </c>
    </row>
    <row r="129" spans="1:14" x14ac:dyDescent="0.3">
      <c r="C129" s="33" t="s">
        <v>217</v>
      </c>
      <c r="D129" s="79">
        <v>1800</v>
      </c>
    </row>
    <row r="130" spans="1:14" x14ac:dyDescent="0.3">
      <c r="C130" s="33" t="s">
        <v>218</v>
      </c>
      <c r="D130" s="79">
        <v>10000</v>
      </c>
    </row>
    <row r="131" spans="1:14" x14ac:dyDescent="0.3">
      <c r="C131" s="33" t="s">
        <v>219</v>
      </c>
      <c r="D131" s="79">
        <v>2000</v>
      </c>
    </row>
    <row r="132" spans="1:14" x14ac:dyDescent="0.3">
      <c r="C132" s="33" t="s">
        <v>220</v>
      </c>
      <c r="D132" s="79">
        <v>2500</v>
      </c>
    </row>
    <row r="138" spans="1:14" s="52" customFormat="1" ht="21" x14ac:dyDescent="0.5">
      <c r="A138" s="55"/>
      <c r="B138" s="56" t="s">
        <v>184</v>
      </c>
      <c r="C138" s="55"/>
      <c r="D138" s="55"/>
      <c r="E138" s="55"/>
      <c r="F138" s="57"/>
      <c r="G138" s="57"/>
      <c r="H138" s="57"/>
      <c r="I138" s="57"/>
      <c r="J138" s="57"/>
      <c r="K138" s="57"/>
      <c r="L138" s="57"/>
      <c r="M138" s="57"/>
      <c r="N138" s="57"/>
    </row>
    <row r="140" spans="1:14" x14ac:dyDescent="0.3">
      <c r="B140" s="37" t="s">
        <v>279</v>
      </c>
    </row>
    <row r="142" spans="1:14" x14ac:dyDescent="0.3">
      <c r="C142" s="58" t="s">
        <v>171</v>
      </c>
      <c r="D142" s="58" t="s">
        <v>172</v>
      </c>
    </row>
    <row r="143" spans="1:14" x14ac:dyDescent="0.3">
      <c r="C143" s="25" t="s">
        <v>173</v>
      </c>
      <c r="D143" s="33" t="s">
        <v>174</v>
      </c>
    </row>
    <row r="144" spans="1:14" x14ac:dyDescent="0.3">
      <c r="C144" s="25" t="s">
        <v>177</v>
      </c>
      <c r="D144" s="33" t="s">
        <v>178</v>
      </c>
    </row>
    <row r="145" spans="3:7" x14ac:dyDescent="0.3">
      <c r="C145" s="25" t="s">
        <v>179</v>
      </c>
      <c r="D145" s="33" t="s">
        <v>180</v>
      </c>
    </row>
    <row r="146" spans="3:7" x14ac:dyDescent="0.3">
      <c r="C146" s="25" t="s">
        <v>175</v>
      </c>
      <c r="D146" s="33" t="s">
        <v>176</v>
      </c>
    </row>
    <row r="148" spans="3:7" x14ac:dyDescent="0.3">
      <c r="C148" s="21" t="s">
        <v>280</v>
      </c>
    </row>
    <row r="149" spans="3:7" x14ac:dyDescent="0.3">
      <c r="C149" s="21" t="s">
        <v>266</v>
      </c>
      <c r="D149" s="33" t="s">
        <v>175</v>
      </c>
    </row>
    <row r="150" spans="3:7" x14ac:dyDescent="0.3">
      <c r="C150" s="21" t="s">
        <v>281</v>
      </c>
      <c r="G150" s="80">
        <f>MATCH( $D$149, $C$143:$C$146, 0)</f>
        <v>4</v>
      </c>
    </row>
    <row r="151" spans="3:7" x14ac:dyDescent="0.3">
      <c r="C151" s="21" t="s">
        <v>282</v>
      </c>
      <c r="G151" s="61" t="str" cm="1">
        <f t="array" ref="G151">INDEX(D143:D146, G150)</f>
        <v>PD32 9WE</v>
      </c>
    </row>
    <row r="153" spans="3:7" x14ac:dyDescent="0.3">
      <c r="C153" s="21" t="s">
        <v>283</v>
      </c>
      <c r="G153" s="61" t="str">
        <f>INDEX(D143:D146, MATCH(D149, C143:C146, 0))</f>
        <v>PD32 9WE</v>
      </c>
    </row>
    <row r="157" spans="3:7" x14ac:dyDescent="0.3">
      <c r="C157" s="21" t="s">
        <v>284</v>
      </c>
    </row>
    <row r="159" spans="3:7" x14ac:dyDescent="0.3">
      <c r="C159" s="21" t="s">
        <v>266</v>
      </c>
      <c r="D159" s="72" t="s">
        <v>216</v>
      </c>
      <c r="E159" s="78" t="s">
        <v>285</v>
      </c>
      <c r="F159" s="21" t="s">
        <v>281</v>
      </c>
      <c r="G159" s="61">
        <f>MATCH(D159,C163:C193,0)</f>
        <v>27</v>
      </c>
    </row>
    <row r="160" spans="3:7" x14ac:dyDescent="0.3">
      <c r="C160" s="21" t="s">
        <v>286</v>
      </c>
      <c r="D160" s="61">
        <f>INDEX(D163:D193, MATCH(D159, C163:C193, 0))</f>
        <v>1800</v>
      </c>
      <c r="F160" s="21" t="s">
        <v>188</v>
      </c>
      <c r="G160" s="61" cm="1">
        <f t="array" ref="G160">INDEX(D163:D193, G159)</f>
        <v>1800</v>
      </c>
    </row>
    <row r="162" spans="3:4" x14ac:dyDescent="0.3">
      <c r="C162" s="58" t="s">
        <v>171</v>
      </c>
      <c r="D162" s="58" t="s">
        <v>189</v>
      </c>
    </row>
    <row r="163" spans="3:4" x14ac:dyDescent="0.3">
      <c r="C163" s="33" t="s">
        <v>190</v>
      </c>
      <c r="D163" s="79">
        <v>1500</v>
      </c>
    </row>
    <row r="164" spans="3:4" x14ac:dyDescent="0.3">
      <c r="C164" s="33" t="s">
        <v>191</v>
      </c>
      <c r="D164" s="79">
        <v>2700</v>
      </c>
    </row>
    <row r="165" spans="3:4" x14ac:dyDescent="0.3">
      <c r="C165" s="33" t="s">
        <v>192</v>
      </c>
      <c r="D165" s="79">
        <v>3600</v>
      </c>
    </row>
    <row r="166" spans="3:4" x14ac:dyDescent="0.3">
      <c r="C166" s="33" t="s">
        <v>193</v>
      </c>
      <c r="D166" s="79">
        <v>9000</v>
      </c>
    </row>
    <row r="167" spans="3:4" x14ac:dyDescent="0.3">
      <c r="C167" s="33" t="s">
        <v>194</v>
      </c>
      <c r="D167" s="79">
        <v>1500</v>
      </c>
    </row>
    <row r="168" spans="3:4" x14ac:dyDescent="0.3">
      <c r="C168" s="33" t="s">
        <v>195</v>
      </c>
      <c r="D168" s="79">
        <v>10000</v>
      </c>
    </row>
    <row r="169" spans="3:4" x14ac:dyDescent="0.3">
      <c r="C169" s="33" t="s">
        <v>196</v>
      </c>
      <c r="D169" s="79">
        <v>6750</v>
      </c>
    </row>
    <row r="170" spans="3:4" x14ac:dyDescent="0.3">
      <c r="C170" s="33" t="s">
        <v>197</v>
      </c>
      <c r="D170" s="79">
        <v>2000</v>
      </c>
    </row>
    <row r="171" spans="3:4" x14ac:dyDescent="0.3">
      <c r="C171" s="33" t="s">
        <v>198</v>
      </c>
      <c r="D171" s="79">
        <v>6000</v>
      </c>
    </row>
    <row r="172" spans="3:4" x14ac:dyDescent="0.3">
      <c r="C172" s="33" t="s">
        <v>199</v>
      </c>
      <c r="D172" s="79">
        <v>1500</v>
      </c>
    </row>
    <row r="173" spans="3:4" x14ac:dyDescent="0.3">
      <c r="C173" s="33" t="s">
        <v>200</v>
      </c>
      <c r="D173" s="79">
        <v>3600</v>
      </c>
    </row>
    <row r="174" spans="3:4" x14ac:dyDescent="0.3">
      <c r="C174" s="33" t="s">
        <v>201</v>
      </c>
      <c r="D174" s="79">
        <v>1500</v>
      </c>
    </row>
    <row r="175" spans="3:4" x14ac:dyDescent="0.3">
      <c r="C175" s="33" t="s">
        <v>202</v>
      </c>
      <c r="D175" s="79">
        <v>2250</v>
      </c>
    </row>
    <row r="176" spans="3:4" x14ac:dyDescent="0.3">
      <c r="C176" s="33" t="s">
        <v>203</v>
      </c>
      <c r="D176" s="79">
        <v>700</v>
      </c>
    </row>
    <row r="177" spans="3:4" x14ac:dyDescent="0.3">
      <c r="C177" s="33" t="s">
        <v>204</v>
      </c>
      <c r="D177" s="79">
        <v>5000</v>
      </c>
    </row>
    <row r="178" spans="3:4" x14ac:dyDescent="0.3">
      <c r="C178" s="33" t="s">
        <v>205</v>
      </c>
      <c r="D178" s="79">
        <v>500</v>
      </c>
    </row>
    <row r="179" spans="3:4" x14ac:dyDescent="0.3">
      <c r="C179" s="33" t="s">
        <v>206</v>
      </c>
      <c r="D179" s="79">
        <v>4500</v>
      </c>
    </row>
    <row r="180" spans="3:4" x14ac:dyDescent="0.3">
      <c r="C180" s="33" t="s">
        <v>207</v>
      </c>
      <c r="D180" s="79">
        <v>2000</v>
      </c>
    </row>
    <row r="181" spans="3:4" x14ac:dyDescent="0.3">
      <c r="C181" s="33" t="s">
        <v>208</v>
      </c>
      <c r="D181" s="79">
        <v>12500</v>
      </c>
    </row>
    <row r="182" spans="3:4" x14ac:dyDescent="0.3">
      <c r="C182" s="33" t="s">
        <v>209</v>
      </c>
      <c r="D182" s="79">
        <v>4500</v>
      </c>
    </row>
    <row r="183" spans="3:4" x14ac:dyDescent="0.3">
      <c r="C183" s="33" t="s">
        <v>210</v>
      </c>
      <c r="D183" s="79">
        <v>10000</v>
      </c>
    </row>
    <row r="184" spans="3:4" x14ac:dyDescent="0.3">
      <c r="C184" s="33" t="s">
        <v>211</v>
      </c>
      <c r="D184" s="79">
        <v>2700</v>
      </c>
    </row>
    <row r="185" spans="3:4" x14ac:dyDescent="0.3">
      <c r="C185" s="33" t="s">
        <v>212</v>
      </c>
      <c r="D185" s="79">
        <v>2000</v>
      </c>
    </row>
    <row r="186" spans="3:4" x14ac:dyDescent="0.3">
      <c r="C186" s="33" t="s">
        <v>213</v>
      </c>
      <c r="D186" s="79">
        <v>3500</v>
      </c>
    </row>
    <row r="187" spans="3:4" x14ac:dyDescent="0.3">
      <c r="C187" s="33" t="s">
        <v>214</v>
      </c>
      <c r="D187" s="79">
        <v>4000</v>
      </c>
    </row>
    <row r="188" spans="3:4" x14ac:dyDescent="0.3">
      <c r="C188" s="33" t="s">
        <v>215</v>
      </c>
      <c r="D188" s="79">
        <v>1000</v>
      </c>
    </row>
    <row r="189" spans="3:4" x14ac:dyDescent="0.3">
      <c r="C189" s="33" t="s">
        <v>216</v>
      </c>
      <c r="D189" s="79">
        <v>1800</v>
      </c>
    </row>
    <row r="190" spans="3:4" x14ac:dyDescent="0.3">
      <c r="C190" s="33" t="s">
        <v>217</v>
      </c>
      <c r="D190" s="79">
        <v>1800</v>
      </c>
    </row>
    <row r="191" spans="3:4" x14ac:dyDescent="0.3">
      <c r="C191" s="33" t="s">
        <v>218</v>
      </c>
      <c r="D191" s="79">
        <v>10000</v>
      </c>
    </row>
    <row r="192" spans="3:4" x14ac:dyDescent="0.3">
      <c r="C192" s="33" t="s">
        <v>219</v>
      </c>
      <c r="D192" s="79">
        <v>2000</v>
      </c>
    </row>
    <row r="193" spans="3:4" x14ac:dyDescent="0.3">
      <c r="C193" s="33" t="s">
        <v>220</v>
      </c>
      <c r="D193" s="79">
        <v>2500</v>
      </c>
    </row>
  </sheetData>
  <dataValidations count="2">
    <dataValidation type="list" allowBlank="1" showInputMessage="1" showErrorMessage="1" sqref="D149 D88" xr:uid="{D58130BB-A7CC-483F-B8EC-60799F5CE506}">
      <formula1>"Customer 1, Customer 2, Customer 3, Customer 4"</formula1>
    </dataValidation>
    <dataValidation type="list" allowBlank="1" showInputMessage="1" showErrorMessage="1" sqref="C20" xr:uid="{1F814FF9-B2EE-4F60-979E-A44FF1D889EE}">
      <formula1>$C$15:$C$18</formula1>
    </dataValidation>
  </dataValidations>
  <printOptions horizontalCentered="1"/>
  <pageMargins left="0.15748031496063" right="0.15748031496063" top="0.78740157480314998" bottom="0.78740157480314998" header="0.511811023622047" footer="0.511811023622047"/>
  <pageSetup paperSize="9" scale="15" orientation="landscape" r:id="rId1"/>
  <headerFooter alignWithMargins="0">
    <oddFooter xml:space="preserve">&amp;CClarity Consultancy Services Ltd   info@clarityconsultancyservices.co.uk
Registered in the UK (6619745). Registered Office:  Suite 6 Bourne Gate, Bourne Valley Rd, Poole, BH12 1DY
</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04371-1E20-4BF8-9547-22A3AB13CB3F}">
  <sheetPr>
    <pageSetUpPr fitToPage="1"/>
  </sheetPr>
  <dimension ref="A1:J65"/>
  <sheetViews>
    <sheetView showGridLines="0" zoomScaleNormal="100" workbookViewId="0">
      <pane ySplit="1" topLeftCell="A2" activePane="bottomLeft" state="frozen"/>
      <selection activeCell="A2" activeCellId="1" sqref="A4:XFD4 A2:XFD2"/>
      <selection pane="bottomLeft"/>
    </sheetView>
  </sheetViews>
  <sheetFormatPr defaultColWidth="0" defaultRowHeight="16.8" x14ac:dyDescent="0.3"/>
  <cols>
    <col min="1" max="2" width="3.6640625" style="21" customWidth="1"/>
    <col min="3" max="3" width="17.33203125" style="21" customWidth="1"/>
    <col min="4" max="6" width="11" style="21" customWidth="1"/>
    <col min="7" max="8" width="9.109375" style="21" customWidth="1"/>
    <col min="9" max="9" width="28.6640625" style="21" customWidth="1"/>
    <col min="10" max="10" width="57.77734375" style="21" customWidth="1"/>
    <col min="11" max="37" width="0" style="21" hidden="1" customWidth="1"/>
    <col min="38" max="16384" width="0" style="21" hidden="1"/>
  </cols>
  <sheetData>
    <row r="1" spans="1:10" s="52" customFormat="1" ht="49.95" customHeight="1" x14ac:dyDescent="0.3">
      <c r="A1" s="49"/>
      <c r="B1" s="50" t="s">
        <v>287</v>
      </c>
      <c r="C1" s="49"/>
      <c r="D1" s="49"/>
      <c r="E1" s="49"/>
      <c r="F1" s="51"/>
      <c r="G1" s="51"/>
      <c r="H1" s="51"/>
      <c r="I1" s="51"/>
      <c r="J1" s="51"/>
    </row>
    <row r="2" spans="1:10" ht="12" customHeight="1" x14ac:dyDescent="0.3">
      <c r="C2" s="20"/>
    </row>
    <row r="3" spans="1:10" ht="21" x14ac:dyDescent="0.5">
      <c r="B3" s="53" t="s">
        <v>131</v>
      </c>
      <c r="C3" s="53"/>
    </row>
    <row r="4" spans="1:10" ht="12" customHeight="1" x14ac:dyDescent="0.5">
      <c r="B4" s="53"/>
      <c r="C4" s="53"/>
    </row>
    <row r="5" spans="1:10" ht="21" x14ac:dyDescent="0.5">
      <c r="B5" s="53"/>
      <c r="C5" s="53" t="s">
        <v>288</v>
      </c>
    </row>
    <row r="6" spans="1:10" ht="21" x14ac:dyDescent="0.5">
      <c r="B6" s="53"/>
      <c r="C6" s="53" t="s">
        <v>289</v>
      </c>
    </row>
    <row r="7" spans="1:10" ht="21" x14ac:dyDescent="0.5">
      <c r="B7" s="53"/>
      <c r="C7" s="53" t="s">
        <v>290</v>
      </c>
    </row>
    <row r="8" spans="1:10" x14ac:dyDescent="0.3">
      <c r="D8" s="54"/>
    </row>
    <row r="9" spans="1:10" s="52" customFormat="1" ht="21" x14ac:dyDescent="0.5">
      <c r="A9" s="55"/>
      <c r="B9" s="56" t="s">
        <v>7</v>
      </c>
      <c r="C9" s="55"/>
      <c r="D9" s="55"/>
      <c r="E9" s="55"/>
      <c r="F9" s="57"/>
      <c r="G9" s="57"/>
      <c r="H9" s="57"/>
      <c r="I9" s="57"/>
      <c r="J9" s="57"/>
    </row>
    <row r="10" spans="1:10" ht="19.95" customHeight="1" x14ac:dyDescent="0.3">
      <c r="C10" s="21" t="s">
        <v>291</v>
      </c>
    </row>
    <row r="11" spans="1:10" ht="19.95" customHeight="1" x14ac:dyDescent="0.3">
      <c r="C11" s="21" t="s">
        <v>292</v>
      </c>
    </row>
    <row r="12" spans="1:10" ht="15.75" customHeight="1" x14ac:dyDescent="0.3"/>
    <row r="13" spans="1:10" s="52" customFormat="1" ht="21" x14ac:dyDescent="0.5">
      <c r="A13" s="55"/>
      <c r="B13" s="56" t="s">
        <v>8</v>
      </c>
      <c r="C13" s="55"/>
      <c r="D13" s="55"/>
      <c r="E13" s="55"/>
      <c r="F13" s="57"/>
      <c r="G13" s="57"/>
      <c r="H13" s="57"/>
      <c r="I13" s="57"/>
      <c r="J13" s="57"/>
    </row>
    <row r="14" spans="1:10" ht="15.75" customHeight="1" x14ac:dyDescent="0.3"/>
    <row r="15" spans="1:10" ht="15.75" customHeight="1" x14ac:dyDescent="0.3">
      <c r="C15" s="21" t="s">
        <v>293</v>
      </c>
    </row>
    <row r="17" spans="3:9" s="37" customFormat="1" x14ac:dyDescent="0.3">
      <c r="C17" s="58" t="s">
        <v>28</v>
      </c>
      <c r="D17" s="58" t="s">
        <v>294</v>
      </c>
      <c r="E17" s="58" t="s">
        <v>295</v>
      </c>
      <c r="F17" s="58" t="s">
        <v>296</v>
      </c>
    </row>
    <row r="18" spans="3:9" ht="17.399999999999999" thickBot="1" x14ac:dyDescent="0.35">
      <c r="C18" s="23" t="s">
        <v>30</v>
      </c>
      <c r="D18" s="33">
        <v>20</v>
      </c>
      <c r="E18" s="33">
        <v>25</v>
      </c>
      <c r="F18" s="72">
        <v>30</v>
      </c>
    </row>
    <row r="19" spans="3:9" ht="17.399999999999999" thickBot="1" x14ac:dyDescent="0.35">
      <c r="C19" s="23" t="s">
        <v>31</v>
      </c>
      <c r="D19" s="33">
        <v>70</v>
      </c>
      <c r="E19" s="40">
        <v>10</v>
      </c>
      <c r="F19" s="81">
        <v>60</v>
      </c>
    </row>
    <row r="20" spans="3:9" x14ac:dyDescent="0.3">
      <c r="C20" s="23" t="s">
        <v>32</v>
      </c>
      <c r="D20" s="33">
        <v>40</v>
      </c>
      <c r="E20" s="33">
        <v>35</v>
      </c>
      <c r="F20" s="82">
        <v>30</v>
      </c>
    </row>
    <row r="21" spans="3:9" x14ac:dyDescent="0.3">
      <c r="C21" s="23" t="s">
        <v>138</v>
      </c>
      <c r="D21" s="33">
        <v>50</v>
      </c>
      <c r="E21" s="33">
        <v>40</v>
      </c>
      <c r="F21" s="33">
        <v>20</v>
      </c>
    </row>
    <row r="23" spans="3:9" x14ac:dyDescent="0.3">
      <c r="C23" s="21" t="s">
        <v>297</v>
      </c>
    </row>
    <row r="24" spans="3:9" x14ac:dyDescent="0.3">
      <c r="C24" s="60"/>
    </row>
    <row r="25" spans="3:9" x14ac:dyDescent="0.3">
      <c r="G25" s="61">
        <f>INDEX(D18:F21, 2, 3)</f>
        <v>60</v>
      </c>
      <c r="I25" s="27" t="str">
        <f ca="1">_xlfn.FORMULATEXT(G25)</f>
        <v>=INDEX(D18:F21, 2, 3)</v>
      </c>
    </row>
    <row r="26" spans="3:9" x14ac:dyDescent="0.3">
      <c r="C26" s="60"/>
    </row>
    <row r="27" spans="3:9" x14ac:dyDescent="0.3">
      <c r="C27" s="32" t="s">
        <v>34</v>
      </c>
    </row>
    <row r="28" spans="3:9" x14ac:dyDescent="0.3">
      <c r="C28" s="21" t="s">
        <v>298</v>
      </c>
    </row>
    <row r="29" spans="3:9" x14ac:dyDescent="0.3">
      <c r="C29" s="60"/>
    </row>
    <row r="30" spans="3:9" x14ac:dyDescent="0.3">
      <c r="C30" s="60"/>
    </row>
    <row r="31" spans="3:9" x14ac:dyDescent="0.3">
      <c r="C31" s="21" t="s">
        <v>299</v>
      </c>
    </row>
    <row r="33" spans="1:10" x14ac:dyDescent="0.3">
      <c r="C33" s="62" t="s">
        <v>143</v>
      </c>
      <c r="D33" s="33">
        <v>0</v>
      </c>
    </row>
    <row r="34" spans="1:10" x14ac:dyDescent="0.3">
      <c r="C34" s="62" t="s">
        <v>147</v>
      </c>
      <c r="D34" s="33">
        <v>3</v>
      </c>
      <c r="G34" s="83"/>
    </row>
    <row r="36" spans="1:10" x14ac:dyDescent="0.3">
      <c r="G36" s="61" cm="1">
        <f t="array" ref="G36:G39">INDEX(D18:F21,D33,D34)</f>
        <v>30</v>
      </c>
      <c r="I36" s="27" t="str">
        <f ca="1">_xlfn.FORMULATEXT(G36)</f>
        <v>=INDEX(D18:F21,D33,D34)</v>
      </c>
    </row>
    <row r="37" spans="1:10" x14ac:dyDescent="0.3">
      <c r="G37" s="21">
        <v>60</v>
      </c>
      <c r="J37" s="84"/>
    </row>
    <row r="38" spans="1:10" x14ac:dyDescent="0.3">
      <c r="C38" s="21" t="s">
        <v>300</v>
      </c>
      <c r="G38" s="21">
        <v>30</v>
      </c>
    </row>
    <row r="39" spans="1:10" x14ac:dyDescent="0.3">
      <c r="C39" s="21" t="s">
        <v>301</v>
      </c>
      <c r="G39" s="21">
        <v>20</v>
      </c>
    </row>
    <row r="43" spans="1:10" s="52" customFormat="1" ht="21" x14ac:dyDescent="0.5">
      <c r="A43" s="55"/>
      <c r="B43" s="56" t="s">
        <v>1232</v>
      </c>
      <c r="C43" s="55"/>
      <c r="D43" s="55"/>
      <c r="E43" s="55"/>
      <c r="F43" s="57"/>
      <c r="G43" s="57"/>
      <c r="H43" s="57"/>
      <c r="I43" s="57"/>
      <c r="J43" s="57"/>
    </row>
    <row r="45" spans="1:10" x14ac:dyDescent="0.3">
      <c r="C45" s="21" t="s">
        <v>1236</v>
      </c>
    </row>
    <row r="47" spans="1:10" x14ac:dyDescent="0.3">
      <c r="D47" s="96" cm="1">
        <f t="array" ref="D47:F50">INDEX(D18:F21, 0, 0)</f>
        <v>20</v>
      </c>
      <c r="E47" s="21">
        <v>25</v>
      </c>
      <c r="F47" s="21">
        <v>30</v>
      </c>
      <c r="I47" s="27" t="str">
        <f ca="1">_xlfn.FORMULATEXT(D47)</f>
        <v>=INDEX(D18:F21, 0, 0)</v>
      </c>
    </row>
    <row r="48" spans="1:10" x14ac:dyDescent="0.3">
      <c r="D48" s="21">
        <v>70</v>
      </c>
      <c r="E48" s="21">
        <v>10</v>
      </c>
      <c r="F48" s="21">
        <v>60</v>
      </c>
    </row>
    <row r="49" spans="3:9" x14ac:dyDescent="0.3">
      <c r="D49" s="21">
        <v>40</v>
      </c>
      <c r="E49" s="21">
        <v>35</v>
      </c>
      <c r="F49" s="21">
        <v>30</v>
      </c>
    </row>
    <row r="50" spans="3:9" x14ac:dyDescent="0.3">
      <c r="D50" s="21">
        <v>50</v>
      </c>
      <c r="E50" s="21">
        <v>40</v>
      </c>
      <c r="F50" s="21">
        <v>20</v>
      </c>
    </row>
    <row r="52" spans="3:9" x14ac:dyDescent="0.3">
      <c r="C52" s="21" t="s">
        <v>1233</v>
      </c>
    </row>
    <row r="53" spans="3:9" x14ac:dyDescent="0.3">
      <c r="C53" s="21" t="s">
        <v>1234</v>
      </c>
    </row>
    <row r="55" spans="3:9" x14ac:dyDescent="0.3">
      <c r="D55" s="96" cm="1">
        <f t="array" ref="D55:D58">INDEX(D18:F21, 0, 2)</f>
        <v>25</v>
      </c>
      <c r="I55" s="27" t="str">
        <f ca="1">_xlfn.FORMULATEXT(D55)</f>
        <v>=INDEX(D18:F21, 0, 2)</v>
      </c>
    </row>
    <row r="56" spans="3:9" x14ac:dyDescent="0.3">
      <c r="D56" s="21">
        <v>10</v>
      </c>
    </row>
    <row r="57" spans="3:9" x14ac:dyDescent="0.3">
      <c r="D57" s="21">
        <v>35</v>
      </c>
    </row>
    <row r="58" spans="3:9" x14ac:dyDescent="0.3">
      <c r="D58" s="21">
        <v>40</v>
      </c>
    </row>
    <row r="60" spans="3:9" x14ac:dyDescent="0.3">
      <c r="C60" s="21" t="s">
        <v>1235</v>
      </c>
    </row>
    <row r="62" spans="3:9" x14ac:dyDescent="0.3">
      <c r="D62" s="96" cm="1">
        <f t="array" ref="D62:D65">_xlfn.CHOOSECOLS(D18:F21,2)</f>
        <v>25</v>
      </c>
      <c r="I62" s="27" t="str">
        <f ca="1">_xlfn.FORMULATEXT(D62)</f>
        <v>=CHOOSECOLS(D18:F21,2)</v>
      </c>
    </row>
    <row r="63" spans="3:9" x14ac:dyDescent="0.3">
      <c r="D63" s="21">
        <v>10</v>
      </c>
    </row>
    <row r="64" spans="3:9" x14ac:dyDescent="0.3">
      <c r="D64" s="21">
        <v>35</v>
      </c>
    </row>
    <row r="65" spans="4:4" x14ac:dyDescent="0.3">
      <c r="D65" s="21">
        <v>40</v>
      </c>
    </row>
  </sheetData>
  <printOptions horizontalCentered="1"/>
  <pageMargins left="0.15748031496063" right="0.15748031496063" top="0.78740157480314998" bottom="0.78740157480314998" header="0.511811023622047" footer="0.511811023622047"/>
  <pageSetup paperSize="9" scale="72" orientation="landscape" r:id="rId1"/>
  <headerFooter alignWithMargins="0">
    <oddFooter xml:space="preserve">&amp;CClarity Consultancy Services Ltd   info@clarityconsultancyservices.co.uk
Registered in the UK (6619745). Registered Office:  Suite 6 Bourne Gate, Bourne Valley Rd, Poole, BH12 1DY
</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83DC3-0901-47C6-B3C7-5E78AB41DC10}">
  <sheetPr>
    <pageSetUpPr fitToPage="1"/>
  </sheetPr>
  <dimension ref="A1:XFC67"/>
  <sheetViews>
    <sheetView showGridLines="0" zoomScaleNormal="100" workbookViewId="0">
      <pane ySplit="1" topLeftCell="A2" activePane="bottomLeft" state="frozen"/>
      <selection activeCell="A2" activeCellId="1" sqref="A4:XFD4 A2:XFD2"/>
      <selection pane="bottomLeft"/>
    </sheetView>
  </sheetViews>
  <sheetFormatPr defaultColWidth="0" defaultRowHeight="16.8" x14ac:dyDescent="0.3"/>
  <cols>
    <col min="1" max="2" width="3.6640625" style="21" customWidth="1"/>
    <col min="3" max="3" width="16.109375" style="21" customWidth="1"/>
    <col min="4" max="7" width="11.109375" style="21" customWidth="1"/>
    <col min="8" max="8" width="3" style="21" customWidth="1"/>
    <col min="9" max="9" width="11.109375" style="21" customWidth="1"/>
    <col min="10" max="10" width="16.109375" style="21" customWidth="1"/>
    <col min="11" max="11" width="96.33203125" style="21" customWidth="1"/>
    <col min="12" max="12" width="36.6640625" style="21" customWidth="1"/>
    <col min="13" max="16383" width="9.109375" style="21" hidden="1"/>
    <col min="16384" max="16384" width="21.109375" style="21" hidden="1" customWidth="1"/>
  </cols>
  <sheetData>
    <row r="1" spans="1:12" s="52" customFormat="1" ht="49.95" customHeight="1" x14ac:dyDescent="0.3">
      <c r="A1" s="49"/>
      <c r="B1" s="50" t="s">
        <v>302</v>
      </c>
      <c r="C1" s="49"/>
      <c r="D1" s="49"/>
      <c r="E1" s="49"/>
      <c r="F1" s="51"/>
      <c r="G1" s="51"/>
      <c r="H1" s="51"/>
      <c r="I1" s="51"/>
      <c r="J1" s="51"/>
      <c r="K1" s="51"/>
      <c r="L1" s="51"/>
    </row>
    <row r="2" spans="1:12" ht="12" customHeight="1" x14ac:dyDescent="0.3">
      <c r="C2" s="20"/>
    </row>
    <row r="3" spans="1:12" ht="21" x14ac:dyDescent="0.5">
      <c r="B3" s="53" t="s">
        <v>303</v>
      </c>
    </row>
    <row r="4" spans="1:12" ht="12" customHeight="1" x14ac:dyDescent="0.3">
      <c r="D4" s="54"/>
    </row>
    <row r="5" spans="1:12" s="52" customFormat="1" ht="21" x14ac:dyDescent="0.5">
      <c r="A5" s="55"/>
      <c r="B5" s="56" t="s">
        <v>7</v>
      </c>
      <c r="C5" s="55"/>
      <c r="D5" s="55"/>
      <c r="E5" s="55"/>
      <c r="F5" s="57"/>
      <c r="G5" s="57"/>
      <c r="H5" s="57"/>
      <c r="I5" s="57"/>
      <c r="J5" s="57"/>
      <c r="K5" s="57"/>
      <c r="L5" s="57"/>
    </row>
    <row r="6" spans="1:12" ht="19.95" customHeight="1" x14ac:dyDescent="0.3">
      <c r="C6" s="21" t="s">
        <v>304</v>
      </c>
    </row>
    <row r="7" spans="1:12" ht="19.95" customHeight="1" x14ac:dyDescent="0.3">
      <c r="C7" s="21" t="s">
        <v>305</v>
      </c>
    </row>
    <row r="8" spans="1:12" ht="19.95" customHeight="1" x14ac:dyDescent="0.3">
      <c r="C8" s="21" t="s">
        <v>1331</v>
      </c>
    </row>
    <row r="9" spans="1:12" ht="15.75" customHeight="1" x14ac:dyDescent="0.3"/>
    <row r="10" spans="1:12" s="52" customFormat="1" ht="21" x14ac:dyDescent="0.5">
      <c r="A10" s="55"/>
      <c r="B10" s="56" t="s">
        <v>8</v>
      </c>
      <c r="C10" s="55"/>
      <c r="D10" s="55"/>
      <c r="E10" s="55"/>
      <c r="F10" s="57"/>
      <c r="G10" s="57"/>
      <c r="H10" s="57"/>
      <c r="I10" s="57"/>
      <c r="J10" s="57"/>
      <c r="K10" s="57"/>
      <c r="L10" s="57"/>
    </row>
    <row r="11" spans="1:12" ht="15.75" customHeight="1" x14ac:dyDescent="0.3"/>
    <row r="12" spans="1:12" x14ac:dyDescent="0.3">
      <c r="C12" s="21" t="s">
        <v>306</v>
      </c>
    </row>
    <row r="14" spans="1:12" s="37" customFormat="1" x14ac:dyDescent="0.3">
      <c r="C14" s="58" t="s">
        <v>28</v>
      </c>
      <c r="D14" s="58" t="s">
        <v>294</v>
      </c>
      <c r="E14" s="58" t="s">
        <v>295</v>
      </c>
      <c r="F14" s="58" t="s">
        <v>296</v>
      </c>
    </row>
    <row r="15" spans="1:12" x14ac:dyDescent="0.3">
      <c r="C15" s="23" t="s">
        <v>30</v>
      </c>
      <c r="D15" s="33">
        <v>20</v>
      </c>
      <c r="E15" s="33">
        <v>25</v>
      </c>
      <c r="F15" s="33">
        <v>30</v>
      </c>
    </row>
    <row r="16" spans="1:12" x14ac:dyDescent="0.3">
      <c r="C16" s="23" t="s">
        <v>31</v>
      </c>
      <c r="D16" s="33">
        <v>70</v>
      </c>
      <c r="E16" s="33">
        <v>10</v>
      </c>
      <c r="F16" s="33">
        <v>60</v>
      </c>
    </row>
    <row r="17" spans="3:11" x14ac:dyDescent="0.3">
      <c r="C17" s="23" t="s">
        <v>32</v>
      </c>
      <c r="D17" s="33">
        <v>40</v>
      </c>
      <c r="E17" s="33">
        <v>35</v>
      </c>
      <c r="F17" s="33">
        <v>30</v>
      </c>
    </row>
    <row r="18" spans="3:11" x14ac:dyDescent="0.3">
      <c r="C18" s="23" t="s">
        <v>138</v>
      </c>
      <c r="D18" s="33">
        <v>50</v>
      </c>
      <c r="E18" s="33">
        <v>40</v>
      </c>
      <c r="F18" s="33">
        <v>20</v>
      </c>
    </row>
    <row r="21" spans="3:11" x14ac:dyDescent="0.3">
      <c r="C21" s="21" t="s">
        <v>307</v>
      </c>
    </row>
    <row r="23" spans="3:11" x14ac:dyDescent="0.3">
      <c r="C23" s="25" t="s">
        <v>31</v>
      </c>
      <c r="D23" s="25" t="s">
        <v>294</v>
      </c>
      <c r="I23" s="61">
        <f>INDEX($D$15:$F$18, MATCH(C23, $C$15:$C$18, 0), MATCH(D23, $D$14:$F$14, 0))</f>
        <v>70</v>
      </c>
      <c r="K23" s="27" t="str">
        <f ca="1">_xlfn.FORMULATEXT(I23)</f>
        <v>=INDEX($D$15:$F$18, MATCH(C23, $C$15:$C$18, 0), MATCH(D23, $D$14:$F$14, 0))</v>
      </c>
    </row>
    <row r="25" spans="3:11" x14ac:dyDescent="0.3">
      <c r="C25" s="21" t="s">
        <v>308</v>
      </c>
    </row>
    <row r="27" spans="3:11" x14ac:dyDescent="0.3">
      <c r="C27" s="32" t="s">
        <v>34</v>
      </c>
    </row>
    <row r="28" spans="3:11" x14ac:dyDescent="0.3">
      <c r="C28" s="21" t="str">
        <f>"Return the quantity of " &amp; C23 &amp; " sold in " &amp; D23 &amp; " from the table range refered to"</f>
        <v>Return the quantity of Lamb Pie sold in January from the table range refered to</v>
      </c>
    </row>
    <row r="31" spans="3:11" x14ac:dyDescent="0.3">
      <c r="C31" s="21" t="s">
        <v>309</v>
      </c>
    </row>
    <row r="33" spans="1:12" x14ac:dyDescent="0.3">
      <c r="C33" s="58" t="s">
        <v>28</v>
      </c>
      <c r="D33" s="58" t="s">
        <v>310</v>
      </c>
      <c r="E33" s="58" t="s">
        <v>311</v>
      </c>
      <c r="F33" s="58" t="s">
        <v>312</v>
      </c>
      <c r="G33" s="58" t="s">
        <v>313</v>
      </c>
      <c r="I33" s="58" t="s">
        <v>128</v>
      </c>
    </row>
    <row r="34" spans="1:12" x14ac:dyDescent="0.3">
      <c r="C34" s="25" t="s">
        <v>31</v>
      </c>
      <c r="D34" s="85" t="s">
        <v>294</v>
      </c>
      <c r="E34" s="61">
        <f>MATCH(C34,$C$15:$C$18,0)</f>
        <v>2</v>
      </c>
      <c r="F34" s="61">
        <f>MATCH(D34,$D$14:$F$14,0)</f>
        <v>1</v>
      </c>
      <c r="G34" s="61" cm="1">
        <f t="array" ref="G34">INDEX($D$15:$F$18,E34,F34)</f>
        <v>70</v>
      </c>
      <c r="I34" s="61">
        <f>INDEX($D$15:$F$18, MATCH(C34, $C$15:$C$18, 0), MATCH(D34, $D$14:$F$14, 0))</f>
        <v>70</v>
      </c>
      <c r="K34" s="27" t="str">
        <f ca="1">_xlfn.FORMULATEXT(I34)</f>
        <v>=INDEX($D$15:$F$18, MATCH(C34, $C$15:$C$18, 0), MATCH(D34, $D$14:$F$14, 0))</v>
      </c>
    </row>
    <row r="35" spans="1:12" x14ac:dyDescent="0.3">
      <c r="C35" s="25" t="s">
        <v>32</v>
      </c>
      <c r="D35" s="85" t="s">
        <v>295</v>
      </c>
      <c r="E35" s="61">
        <f>MATCH(C35,$C$15:$C$18,0)</f>
        <v>3</v>
      </c>
      <c r="F35" s="61">
        <f>MATCH(D35,$D$14:$F$14,0)</f>
        <v>2</v>
      </c>
      <c r="G35" s="61" cm="1">
        <f t="array" ref="G35">INDEX($D$15:$F$18,E35,F35)</f>
        <v>35</v>
      </c>
      <c r="I35" s="61">
        <f>INDEX($D$15:$F$18, MATCH(C35, $C$15:$C$18, 0), MATCH(D35, $D$14:$F$14, 0))</f>
        <v>35</v>
      </c>
      <c r="K35" s="27" t="str">
        <f ca="1">_xlfn.FORMULATEXT(I35)</f>
        <v>=INDEX($D$15:$F$18, MATCH(C35, $C$15:$C$18, 0), MATCH(D35, $D$14:$F$14, 0))</v>
      </c>
    </row>
    <row r="36" spans="1:12" x14ac:dyDescent="0.3">
      <c r="C36" s="25" t="s">
        <v>30</v>
      </c>
      <c r="D36" s="85" t="s">
        <v>294</v>
      </c>
      <c r="E36" s="61">
        <f>MATCH(C36,$C$15:$C$18,0)</f>
        <v>1</v>
      </c>
      <c r="F36" s="61">
        <f>MATCH(D36,$D$14:$F$14,0)</f>
        <v>1</v>
      </c>
      <c r="G36" s="61" cm="1">
        <f t="array" ref="G36">INDEX($D$15:$F$18,E36,F36)</f>
        <v>20</v>
      </c>
      <c r="I36" s="61">
        <f>INDEX($D$15:$F$18, MATCH(C36, $C$15:$C$18, 0), MATCH(D36, $D$14:$F$14, 0))</f>
        <v>20</v>
      </c>
      <c r="K36" s="27" t="str">
        <f ca="1">_xlfn.FORMULATEXT(I36)</f>
        <v>=INDEX($D$15:$F$18, MATCH(C36, $C$15:$C$18, 0), MATCH(D36, $D$14:$F$14, 0))</v>
      </c>
    </row>
    <row r="38" spans="1:12" s="52" customFormat="1" ht="21" x14ac:dyDescent="0.5">
      <c r="A38" s="55"/>
      <c r="B38" s="56" t="s">
        <v>10</v>
      </c>
      <c r="C38" s="55"/>
      <c r="D38" s="55"/>
      <c r="E38" s="55"/>
      <c r="F38" s="57"/>
      <c r="G38" s="57"/>
      <c r="H38" s="57"/>
      <c r="I38" s="57"/>
      <c r="J38" s="57"/>
      <c r="K38" s="57"/>
      <c r="L38" s="57"/>
    </row>
    <row r="40" spans="1:12" x14ac:dyDescent="0.3">
      <c r="C40" s="21" t="s">
        <v>314</v>
      </c>
    </row>
    <row r="42" spans="1:12" s="37" customFormat="1" x14ac:dyDescent="0.3">
      <c r="C42" s="58" t="s">
        <v>28</v>
      </c>
      <c r="D42" s="58" t="s">
        <v>294</v>
      </c>
      <c r="E42" s="58" t="s">
        <v>295</v>
      </c>
      <c r="F42" s="58" t="s">
        <v>296</v>
      </c>
    </row>
    <row r="43" spans="1:12" x14ac:dyDescent="0.3">
      <c r="C43" s="23" t="s">
        <v>30</v>
      </c>
      <c r="D43" s="33">
        <v>20</v>
      </c>
      <c r="E43" s="33">
        <v>25</v>
      </c>
      <c r="F43" s="33">
        <v>30</v>
      </c>
    </row>
    <row r="44" spans="1:12" x14ac:dyDescent="0.3">
      <c r="C44" s="23" t="s">
        <v>31</v>
      </c>
      <c r="D44" s="33">
        <v>70</v>
      </c>
      <c r="E44" s="33">
        <v>10</v>
      </c>
      <c r="F44" s="33">
        <v>60</v>
      </c>
    </row>
    <row r="45" spans="1:12" x14ac:dyDescent="0.3">
      <c r="C45" s="23" t="s">
        <v>32</v>
      </c>
      <c r="D45" s="33">
        <v>40</v>
      </c>
      <c r="E45" s="33">
        <v>35</v>
      </c>
      <c r="F45" s="33">
        <v>30</v>
      </c>
    </row>
    <row r="46" spans="1:12" x14ac:dyDescent="0.3">
      <c r="C46" s="23" t="s">
        <v>138</v>
      </c>
      <c r="D46" s="33">
        <v>50</v>
      </c>
      <c r="E46" s="33">
        <v>40</v>
      </c>
      <c r="F46" s="33">
        <v>20</v>
      </c>
    </row>
    <row r="49" spans="1:12" x14ac:dyDescent="0.3">
      <c r="C49" s="58" t="s">
        <v>28</v>
      </c>
      <c r="D49" s="58" t="s">
        <v>310</v>
      </c>
      <c r="E49" s="58" t="s">
        <v>311</v>
      </c>
      <c r="F49" s="58" t="s">
        <v>312</v>
      </c>
      <c r="G49" s="58" t="s">
        <v>313</v>
      </c>
      <c r="I49" s="58" t="s">
        <v>128</v>
      </c>
    </row>
    <row r="50" spans="1:12" x14ac:dyDescent="0.3">
      <c r="C50" s="25" t="s">
        <v>138</v>
      </c>
      <c r="D50" s="85" t="s">
        <v>296</v>
      </c>
      <c r="E50" s="61"/>
      <c r="F50" s="61"/>
      <c r="G50" s="61"/>
      <c r="I50" s="61"/>
      <c r="J50" s="84"/>
    </row>
    <row r="53" spans="1:12" s="52" customFormat="1" ht="21" x14ac:dyDescent="0.5">
      <c r="A53" s="55"/>
      <c r="B53" s="56" t="s">
        <v>9</v>
      </c>
      <c r="C53" s="55"/>
      <c r="D53" s="55"/>
      <c r="E53" s="55"/>
      <c r="F53" s="57"/>
      <c r="G53" s="57"/>
      <c r="H53" s="57"/>
      <c r="I53" s="57"/>
      <c r="J53" s="57"/>
      <c r="K53" s="57"/>
      <c r="L53" s="57"/>
    </row>
    <row r="55" spans="1:12" x14ac:dyDescent="0.3">
      <c r="C55" s="21" t="s">
        <v>314</v>
      </c>
    </row>
    <row r="57" spans="1:12" s="37" customFormat="1" x14ac:dyDescent="0.3">
      <c r="C57" s="58" t="s">
        <v>28</v>
      </c>
      <c r="D57" s="58" t="s">
        <v>294</v>
      </c>
      <c r="E57" s="58" t="s">
        <v>295</v>
      </c>
      <c r="F57" s="58" t="s">
        <v>296</v>
      </c>
    </row>
    <row r="58" spans="1:12" x14ac:dyDescent="0.3">
      <c r="C58" s="23" t="s">
        <v>30</v>
      </c>
      <c r="D58" s="33">
        <v>20</v>
      </c>
      <c r="E58" s="33">
        <v>25</v>
      </c>
      <c r="F58" s="33">
        <v>30</v>
      </c>
    </row>
    <row r="59" spans="1:12" x14ac:dyDescent="0.3">
      <c r="C59" s="23" t="s">
        <v>31</v>
      </c>
      <c r="D59" s="33">
        <v>70</v>
      </c>
      <c r="E59" s="33">
        <v>10</v>
      </c>
      <c r="F59" s="33">
        <v>60</v>
      </c>
    </row>
    <row r="60" spans="1:12" x14ac:dyDescent="0.3">
      <c r="C60" s="23" t="s">
        <v>32</v>
      </c>
      <c r="D60" s="33">
        <v>40</v>
      </c>
      <c r="E60" s="33">
        <v>35</v>
      </c>
      <c r="F60" s="33">
        <v>30</v>
      </c>
    </row>
    <row r="61" spans="1:12" x14ac:dyDescent="0.3">
      <c r="C61" s="23" t="s">
        <v>138</v>
      </c>
      <c r="D61" s="33">
        <v>50</v>
      </c>
      <c r="E61" s="33">
        <v>40</v>
      </c>
      <c r="F61" s="33">
        <v>20</v>
      </c>
    </row>
    <row r="64" spans="1:12" x14ac:dyDescent="0.3">
      <c r="C64" s="58" t="s">
        <v>28</v>
      </c>
      <c r="D64" s="58" t="s">
        <v>310</v>
      </c>
      <c r="E64" s="58" t="s">
        <v>311</v>
      </c>
      <c r="F64" s="58" t="s">
        <v>312</v>
      </c>
      <c r="G64" s="58" t="s">
        <v>313</v>
      </c>
      <c r="I64" s="58" t="s">
        <v>128</v>
      </c>
    </row>
    <row r="65" spans="3:10" x14ac:dyDescent="0.3">
      <c r="C65" s="25" t="s">
        <v>138</v>
      </c>
      <c r="D65" s="85" t="s">
        <v>296</v>
      </c>
      <c r="E65" s="61">
        <f>MATCH(C65, C58:C61, 0)</f>
        <v>4</v>
      </c>
      <c r="F65" s="61">
        <f>MATCH(D65, D57:F57, 0)</f>
        <v>3</v>
      </c>
      <c r="G65" s="61" cm="1">
        <f t="array" ref="G65">INDEX(D58:F61, E65, F65)</f>
        <v>20</v>
      </c>
      <c r="I65" s="61">
        <f>INDEX(D58:F61, MATCH(C65, C58:C61, 0), MATCH(D65, D57:F57, 0))</f>
        <v>20</v>
      </c>
      <c r="J65" s="84"/>
    </row>
    <row r="67" spans="3:10" x14ac:dyDescent="0.3">
      <c r="C67" s="21" t="s">
        <v>1332</v>
      </c>
    </row>
  </sheetData>
  <dataValidations count="2">
    <dataValidation type="list" allowBlank="1" showInputMessage="1" showErrorMessage="1" sqref="D23 D34:D36 D50 D65" xr:uid="{265B7E1A-32F1-496E-B002-C01C2FAC4463}">
      <formula1>$D$14:$F$14</formula1>
    </dataValidation>
    <dataValidation type="list" allowBlank="1" showInputMessage="1" showErrorMessage="1" sqref="C23 C34:C36" xr:uid="{9570AA46-2EE3-46CC-AF2C-013540937D56}">
      <formula1>$C$15:$C$18</formula1>
    </dataValidation>
  </dataValidations>
  <printOptions horizontalCentered="1"/>
  <pageMargins left="0.15748031496063" right="0.15748031496063" top="0.78740157480314998" bottom="0.78740157480314998" header="0.511811023622047" footer="0.511811023622047"/>
  <pageSetup paperSize="9" scale="44" orientation="landscape" r:id="rId1"/>
  <headerFooter alignWithMargins="0">
    <oddFooter xml:space="preserve">&amp;CClarity Consultancy Services Ltd   info@clarityconsultancyservices.co.uk
Registered in the UK (6619745). Registered Office:  Suite 6 Bourne Gate, Bourne Valley Rd, Poole, BH12 1DY
</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01971-C6F0-4752-8E2E-6570BD87C4A4}">
  <sheetPr>
    <tabColor rgb="FF002060"/>
  </sheetPr>
  <dimension ref="A1:N243"/>
  <sheetViews>
    <sheetView showGridLines="0" zoomScaleNormal="100" workbookViewId="0">
      <pane ySplit="8" topLeftCell="A9" activePane="bottomLeft" state="frozen"/>
      <selection pane="bottomLeft"/>
    </sheetView>
  </sheetViews>
  <sheetFormatPr defaultColWidth="0" defaultRowHeight="16.8" x14ac:dyDescent="0.3"/>
  <cols>
    <col min="1" max="1" width="3" style="21" customWidth="1"/>
    <col min="2" max="2" width="12.109375" style="21" customWidth="1"/>
    <col min="3" max="3" width="15" style="21" customWidth="1"/>
    <col min="4" max="4" width="25.44140625" style="21" customWidth="1"/>
    <col min="5" max="5" width="17.6640625" style="21" bestFit="1" customWidth="1"/>
    <col min="6" max="6" width="12.77734375" style="21" bestFit="1" customWidth="1"/>
    <col min="7" max="13" width="19.109375" style="21" customWidth="1"/>
    <col min="14" max="14" width="5.77734375" style="21" customWidth="1"/>
    <col min="15" max="16384" width="8.77734375" style="21" hidden="1"/>
  </cols>
  <sheetData>
    <row r="1" spans="1:14" s="52" customFormat="1" ht="49.95" customHeight="1" x14ac:dyDescent="0.3">
      <c r="A1" s="49"/>
      <c r="B1" s="50" t="s">
        <v>944</v>
      </c>
      <c r="C1" s="49"/>
      <c r="D1" s="49"/>
      <c r="E1" s="49"/>
      <c r="F1" s="51"/>
      <c r="G1" s="51"/>
      <c r="H1" s="51"/>
      <c r="I1" s="51"/>
      <c r="J1" s="51"/>
      <c r="K1" s="51"/>
      <c r="L1" s="51"/>
      <c r="M1" s="51"/>
      <c r="N1" s="51"/>
    </row>
    <row r="3" spans="1:14" ht="19.95" customHeight="1" x14ac:dyDescent="0.3">
      <c r="B3" s="21" t="s">
        <v>1139</v>
      </c>
    </row>
    <row r="4" spans="1:14" ht="19.95" customHeight="1" x14ac:dyDescent="0.3">
      <c r="B4" s="21" t="s">
        <v>1140</v>
      </c>
    </row>
    <row r="5" spans="1:14" ht="19.95" customHeight="1" x14ac:dyDescent="0.3">
      <c r="B5" s="21" t="s">
        <v>560</v>
      </c>
    </row>
    <row r="6" spans="1:14" ht="19.95" customHeight="1" x14ac:dyDescent="0.3"/>
    <row r="8" spans="1:14" x14ac:dyDescent="0.3">
      <c r="B8" s="58" t="s">
        <v>119</v>
      </c>
      <c r="C8" s="58" t="s">
        <v>84</v>
      </c>
      <c r="D8" s="58" t="s">
        <v>28</v>
      </c>
      <c r="E8" s="58" t="s">
        <v>112</v>
      </c>
      <c r="F8" s="58" t="s">
        <v>113</v>
      </c>
      <c r="G8" s="58" t="s">
        <v>276</v>
      </c>
      <c r="H8" s="58" t="s">
        <v>122</v>
      </c>
      <c r="I8" s="58" t="s">
        <v>120</v>
      </c>
      <c r="J8" s="58" t="s">
        <v>121</v>
      </c>
      <c r="K8" s="58" t="s">
        <v>146</v>
      </c>
      <c r="L8" s="58" t="s">
        <v>339</v>
      </c>
      <c r="M8" s="58" t="s">
        <v>340</v>
      </c>
    </row>
    <row r="9" spans="1:14" x14ac:dyDescent="0.3">
      <c r="B9" s="76">
        <v>43102</v>
      </c>
      <c r="C9" s="33" t="s">
        <v>341</v>
      </c>
      <c r="D9" s="33" t="s">
        <v>123</v>
      </c>
      <c r="E9" s="33">
        <v>180</v>
      </c>
      <c r="F9" s="33">
        <v>171</v>
      </c>
      <c r="G9" s="87"/>
      <c r="H9" s="87"/>
      <c r="I9" s="88"/>
      <c r="J9" s="88"/>
      <c r="K9" s="88"/>
      <c r="L9" s="88"/>
      <c r="M9" s="88"/>
    </row>
    <row r="10" spans="1:14" x14ac:dyDescent="0.3">
      <c r="B10" s="76">
        <v>43102</v>
      </c>
      <c r="C10" s="33" t="s">
        <v>341</v>
      </c>
      <c r="D10" s="33" t="s">
        <v>125</v>
      </c>
      <c r="E10" s="33">
        <v>75</v>
      </c>
      <c r="F10" s="33">
        <v>72</v>
      </c>
      <c r="G10" s="87"/>
      <c r="H10" s="87"/>
      <c r="I10" s="88"/>
      <c r="J10" s="88"/>
      <c r="K10" s="88"/>
      <c r="L10" s="88"/>
      <c r="M10" s="88"/>
    </row>
    <row r="11" spans="1:14" x14ac:dyDescent="0.3">
      <c r="B11" s="76">
        <v>43102</v>
      </c>
      <c r="C11" s="33" t="s">
        <v>341</v>
      </c>
      <c r="D11" s="33" t="s">
        <v>126</v>
      </c>
      <c r="E11" s="33">
        <v>30</v>
      </c>
      <c r="F11" s="33">
        <v>29</v>
      </c>
      <c r="G11" s="87"/>
      <c r="H11" s="87"/>
      <c r="I11" s="88"/>
      <c r="J11" s="88"/>
      <c r="K11" s="88"/>
      <c r="L11" s="88"/>
      <c r="M11" s="88"/>
    </row>
    <row r="12" spans="1:14" x14ac:dyDescent="0.3">
      <c r="B12" s="76">
        <v>43104</v>
      </c>
      <c r="C12" s="33" t="s">
        <v>341</v>
      </c>
      <c r="D12" s="33" t="s">
        <v>123</v>
      </c>
      <c r="E12" s="33">
        <v>180</v>
      </c>
      <c r="F12" s="33">
        <v>178</v>
      </c>
      <c r="G12" s="87"/>
      <c r="H12" s="87"/>
      <c r="I12" s="88"/>
      <c r="J12" s="88"/>
      <c r="K12" s="88"/>
      <c r="L12" s="88"/>
      <c r="M12" s="88"/>
    </row>
    <row r="13" spans="1:14" x14ac:dyDescent="0.3">
      <c r="B13" s="76">
        <v>43104</v>
      </c>
      <c r="C13" s="33" t="s">
        <v>341</v>
      </c>
      <c r="D13" s="33" t="s">
        <v>125</v>
      </c>
      <c r="E13" s="33">
        <v>75</v>
      </c>
      <c r="F13" s="33">
        <v>72</v>
      </c>
      <c r="G13" s="87"/>
      <c r="H13" s="87"/>
      <c r="I13" s="88"/>
      <c r="J13" s="88"/>
      <c r="K13" s="88"/>
      <c r="L13" s="88"/>
      <c r="M13" s="88"/>
    </row>
    <row r="14" spans="1:14" x14ac:dyDescent="0.3">
      <c r="B14" s="76">
        <v>43104</v>
      </c>
      <c r="C14" s="33" t="s">
        <v>341</v>
      </c>
      <c r="D14" s="33" t="s">
        <v>126</v>
      </c>
      <c r="E14" s="33">
        <v>30</v>
      </c>
      <c r="F14" s="33">
        <v>24</v>
      </c>
      <c r="G14" s="87"/>
      <c r="H14" s="87"/>
      <c r="I14" s="88"/>
      <c r="J14" s="88"/>
      <c r="K14" s="88"/>
      <c r="L14" s="88"/>
      <c r="M14" s="88"/>
    </row>
    <row r="15" spans="1:14" x14ac:dyDescent="0.3">
      <c r="B15" s="76">
        <v>43106</v>
      </c>
      <c r="C15" s="33" t="s">
        <v>341</v>
      </c>
      <c r="D15" s="33" t="s">
        <v>123</v>
      </c>
      <c r="E15" s="33">
        <v>180</v>
      </c>
      <c r="F15" s="33">
        <v>175</v>
      </c>
      <c r="G15" s="87"/>
      <c r="H15" s="87"/>
      <c r="I15" s="88"/>
      <c r="J15" s="88"/>
      <c r="K15" s="88"/>
      <c r="L15" s="88"/>
      <c r="M15" s="88"/>
    </row>
    <row r="16" spans="1:14" x14ac:dyDescent="0.3">
      <c r="B16" s="76">
        <v>43106</v>
      </c>
      <c r="C16" s="33" t="s">
        <v>341</v>
      </c>
      <c r="D16" s="33" t="s">
        <v>125</v>
      </c>
      <c r="E16" s="33">
        <v>75</v>
      </c>
      <c r="F16" s="33">
        <v>67</v>
      </c>
      <c r="G16" s="87"/>
      <c r="H16" s="87"/>
      <c r="I16" s="88"/>
      <c r="J16" s="88"/>
      <c r="K16" s="88"/>
      <c r="L16" s="88"/>
      <c r="M16" s="88"/>
    </row>
    <row r="17" spans="2:13" x14ac:dyDescent="0.3">
      <c r="B17" s="76">
        <v>43106</v>
      </c>
      <c r="C17" s="33" t="s">
        <v>341</v>
      </c>
      <c r="D17" s="33" t="s">
        <v>126</v>
      </c>
      <c r="E17" s="33">
        <v>30</v>
      </c>
      <c r="F17" s="33">
        <v>28</v>
      </c>
      <c r="G17" s="87"/>
      <c r="H17" s="87"/>
      <c r="I17" s="88"/>
      <c r="J17" s="88"/>
      <c r="K17" s="88"/>
      <c r="L17" s="88"/>
      <c r="M17" s="88"/>
    </row>
    <row r="18" spans="2:13" x14ac:dyDescent="0.3">
      <c r="B18" s="76">
        <v>43109</v>
      </c>
      <c r="C18" s="33" t="s">
        <v>341</v>
      </c>
      <c r="D18" s="33" t="s">
        <v>123</v>
      </c>
      <c r="E18" s="33">
        <v>180</v>
      </c>
      <c r="F18" s="33">
        <v>179</v>
      </c>
      <c r="G18" s="87"/>
      <c r="H18" s="87"/>
      <c r="I18" s="88"/>
      <c r="J18" s="88"/>
      <c r="K18" s="88"/>
      <c r="L18" s="88"/>
      <c r="M18" s="88"/>
    </row>
    <row r="19" spans="2:13" x14ac:dyDescent="0.3">
      <c r="B19" s="76">
        <v>43109</v>
      </c>
      <c r="C19" s="33" t="s">
        <v>341</v>
      </c>
      <c r="D19" s="33" t="s">
        <v>125</v>
      </c>
      <c r="E19" s="33">
        <v>75</v>
      </c>
      <c r="F19" s="33">
        <v>72</v>
      </c>
      <c r="G19" s="87"/>
      <c r="H19" s="87"/>
      <c r="I19" s="88"/>
      <c r="J19" s="88"/>
      <c r="K19" s="88"/>
      <c r="L19" s="88"/>
      <c r="M19" s="88"/>
    </row>
    <row r="20" spans="2:13" x14ac:dyDescent="0.3">
      <c r="B20" s="76">
        <v>43109</v>
      </c>
      <c r="C20" s="33" t="s">
        <v>341</v>
      </c>
      <c r="D20" s="33" t="s">
        <v>126</v>
      </c>
      <c r="E20" s="33">
        <v>30</v>
      </c>
      <c r="F20" s="33">
        <v>28</v>
      </c>
      <c r="G20" s="87"/>
      <c r="H20" s="87"/>
      <c r="I20" s="88"/>
      <c r="J20" s="88"/>
      <c r="K20" s="88"/>
      <c r="L20" s="88"/>
      <c r="M20" s="88"/>
    </row>
    <row r="21" spans="2:13" x14ac:dyDescent="0.3">
      <c r="B21" s="76">
        <v>43111</v>
      </c>
      <c r="C21" s="33" t="s">
        <v>341</v>
      </c>
      <c r="D21" s="33" t="s">
        <v>123</v>
      </c>
      <c r="E21" s="33">
        <v>180</v>
      </c>
      <c r="F21" s="33">
        <v>172</v>
      </c>
      <c r="G21" s="87"/>
      <c r="H21" s="87"/>
      <c r="I21" s="88"/>
      <c r="J21" s="88"/>
      <c r="K21" s="88"/>
      <c r="L21" s="88"/>
      <c r="M21" s="88"/>
    </row>
    <row r="22" spans="2:13" x14ac:dyDescent="0.3">
      <c r="B22" s="76">
        <v>43111</v>
      </c>
      <c r="C22" s="33" t="s">
        <v>341</v>
      </c>
      <c r="D22" s="33" t="s">
        <v>125</v>
      </c>
      <c r="E22" s="33">
        <v>75</v>
      </c>
      <c r="F22" s="33">
        <v>62</v>
      </c>
      <c r="G22" s="87"/>
      <c r="H22" s="87"/>
      <c r="I22" s="88"/>
      <c r="J22" s="88"/>
      <c r="K22" s="88"/>
      <c r="L22" s="88"/>
      <c r="M22" s="88"/>
    </row>
    <row r="23" spans="2:13" x14ac:dyDescent="0.3">
      <c r="B23" s="76">
        <v>43111</v>
      </c>
      <c r="C23" s="33" t="s">
        <v>341</v>
      </c>
      <c r="D23" s="33" t="s">
        <v>126</v>
      </c>
      <c r="E23" s="33">
        <v>30</v>
      </c>
      <c r="F23" s="33">
        <v>29</v>
      </c>
      <c r="G23" s="87"/>
      <c r="H23" s="87"/>
      <c r="I23" s="88"/>
      <c r="J23" s="88"/>
      <c r="K23" s="88"/>
      <c r="L23" s="88"/>
      <c r="M23" s="88"/>
    </row>
    <row r="24" spans="2:13" x14ac:dyDescent="0.3">
      <c r="B24" s="76">
        <v>43113</v>
      </c>
      <c r="C24" s="33" t="s">
        <v>341</v>
      </c>
      <c r="D24" s="33" t="s">
        <v>123</v>
      </c>
      <c r="E24" s="33">
        <v>180</v>
      </c>
      <c r="F24" s="33">
        <v>179</v>
      </c>
      <c r="G24" s="87"/>
      <c r="H24" s="87"/>
      <c r="I24" s="88"/>
      <c r="J24" s="88"/>
      <c r="K24" s="88"/>
      <c r="L24" s="88"/>
      <c r="M24" s="88"/>
    </row>
    <row r="25" spans="2:13" x14ac:dyDescent="0.3">
      <c r="B25" s="76">
        <v>43113</v>
      </c>
      <c r="C25" s="33" t="s">
        <v>341</v>
      </c>
      <c r="D25" s="33" t="s">
        <v>125</v>
      </c>
      <c r="E25" s="33">
        <v>75</v>
      </c>
      <c r="F25" s="33">
        <v>74</v>
      </c>
      <c r="G25" s="87"/>
      <c r="H25" s="87"/>
      <c r="I25" s="88"/>
      <c r="J25" s="88"/>
      <c r="K25" s="88"/>
      <c r="L25" s="88"/>
      <c r="M25" s="88"/>
    </row>
    <row r="26" spans="2:13" x14ac:dyDescent="0.3">
      <c r="B26" s="76">
        <v>43113</v>
      </c>
      <c r="C26" s="33" t="s">
        <v>341</v>
      </c>
      <c r="D26" s="33" t="s">
        <v>126</v>
      </c>
      <c r="E26" s="33">
        <v>30</v>
      </c>
      <c r="F26" s="33">
        <v>27</v>
      </c>
      <c r="G26" s="87"/>
      <c r="H26" s="87"/>
      <c r="I26" s="88"/>
      <c r="J26" s="88"/>
      <c r="K26" s="88"/>
      <c r="L26" s="88"/>
      <c r="M26" s="88"/>
    </row>
    <row r="27" spans="2:13" x14ac:dyDescent="0.3">
      <c r="B27" s="76">
        <v>43116</v>
      </c>
      <c r="C27" s="33" t="s">
        <v>341</v>
      </c>
      <c r="D27" s="33" t="s">
        <v>123</v>
      </c>
      <c r="E27" s="33">
        <v>180</v>
      </c>
      <c r="F27" s="33">
        <v>180</v>
      </c>
      <c r="G27" s="87"/>
      <c r="H27" s="87"/>
      <c r="I27" s="88"/>
      <c r="J27" s="88"/>
      <c r="K27" s="88"/>
      <c r="L27" s="88"/>
      <c r="M27" s="88"/>
    </row>
    <row r="28" spans="2:13" x14ac:dyDescent="0.3">
      <c r="B28" s="76">
        <v>43116</v>
      </c>
      <c r="C28" s="33" t="s">
        <v>341</v>
      </c>
      <c r="D28" s="33" t="s">
        <v>125</v>
      </c>
      <c r="E28" s="33">
        <v>75</v>
      </c>
      <c r="F28" s="33">
        <v>73</v>
      </c>
      <c r="G28" s="87"/>
      <c r="H28" s="87"/>
      <c r="I28" s="88"/>
      <c r="J28" s="88"/>
      <c r="K28" s="88"/>
      <c r="L28" s="88"/>
      <c r="M28" s="88"/>
    </row>
    <row r="29" spans="2:13" x14ac:dyDescent="0.3">
      <c r="B29" s="76">
        <v>43116</v>
      </c>
      <c r="C29" s="33" t="s">
        <v>341</v>
      </c>
      <c r="D29" s="33" t="s">
        <v>126</v>
      </c>
      <c r="E29" s="33">
        <v>30</v>
      </c>
      <c r="F29" s="33">
        <v>29</v>
      </c>
      <c r="G29" s="87"/>
      <c r="H29" s="87"/>
      <c r="I29" s="88"/>
      <c r="J29" s="88"/>
      <c r="K29" s="88"/>
      <c r="L29" s="88"/>
      <c r="M29" s="88"/>
    </row>
    <row r="30" spans="2:13" x14ac:dyDescent="0.3">
      <c r="B30" s="76">
        <v>43118</v>
      </c>
      <c r="C30" s="33" t="s">
        <v>341</v>
      </c>
      <c r="D30" s="33" t="s">
        <v>123</v>
      </c>
      <c r="E30" s="33">
        <v>180</v>
      </c>
      <c r="F30" s="33">
        <v>178</v>
      </c>
      <c r="G30" s="87"/>
      <c r="H30" s="87"/>
      <c r="I30" s="88"/>
      <c r="J30" s="88"/>
      <c r="K30" s="88"/>
      <c r="L30" s="88"/>
      <c r="M30" s="88"/>
    </row>
    <row r="31" spans="2:13" x14ac:dyDescent="0.3">
      <c r="B31" s="76">
        <v>43118</v>
      </c>
      <c r="C31" s="33" t="s">
        <v>341</v>
      </c>
      <c r="D31" s="33" t="s">
        <v>125</v>
      </c>
      <c r="E31" s="33">
        <v>75</v>
      </c>
      <c r="F31" s="33">
        <v>72</v>
      </c>
      <c r="G31" s="87"/>
      <c r="H31" s="87"/>
      <c r="I31" s="88"/>
      <c r="J31" s="88"/>
      <c r="K31" s="88"/>
      <c r="L31" s="88"/>
      <c r="M31" s="88"/>
    </row>
    <row r="32" spans="2:13" x14ac:dyDescent="0.3">
      <c r="B32" s="76">
        <v>43118</v>
      </c>
      <c r="C32" s="33" t="s">
        <v>341</v>
      </c>
      <c r="D32" s="33" t="s">
        <v>126</v>
      </c>
      <c r="E32" s="33">
        <v>30</v>
      </c>
      <c r="F32" s="33">
        <v>28</v>
      </c>
      <c r="G32" s="87"/>
      <c r="H32" s="87"/>
      <c r="I32" s="88"/>
      <c r="J32" s="88"/>
      <c r="K32" s="88"/>
      <c r="L32" s="88"/>
      <c r="M32" s="88"/>
    </row>
    <row r="33" spans="2:13" x14ac:dyDescent="0.3">
      <c r="B33" s="76">
        <v>43120</v>
      </c>
      <c r="C33" s="33" t="s">
        <v>341</v>
      </c>
      <c r="D33" s="33" t="s">
        <v>123</v>
      </c>
      <c r="E33" s="33">
        <v>180</v>
      </c>
      <c r="F33" s="33">
        <v>180</v>
      </c>
      <c r="G33" s="87"/>
      <c r="H33" s="87"/>
      <c r="I33" s="88"/>
      <c r="J33" s="88"/>
      <c r="K33" s="88"/>
      <c r="L33" s="88"/>
      <c r="M33" s="88"/>
    </row>
    <row r="34" spans="2:13" x14ac:dyDescent="0.3">
      <c r="B34" s="76">
        <v>43120</v>
      </c>
      <c r="C34" s="33" t="s">
        <v>341</v>
      </c>
      <c r="D34" s="33" t="s">
        <v>125</v>
      </c>
      <c r="E34" s="33">
        <v>75</v>
      </c>
      <c r="F34" s="33">
        <v>75</v>
      </c>
      <c r="G34" s="87"/>
      <c r="H34" s="87"/>
      <c r="I34" s="88"/>
      <c r="J34" s="88"/>
      <c r="K34" s="88"/>
      <c r="L34" s="88"/>
      <c r="M34" s="88"/>
    </row>
    <row r="35" spans="2:13" x14ac:dyDescent="0.3">
      <c r="B35" s="76">
        <v>43120</v>
      </c>
      <c r="C35" s="33" t="s">
        <v>341</v>
      </c>
      <c r="D35" s="33" t="s">
        <v>126</v>
      </c>
      <c r="E35" s="33">
        <v>30</v>
      </c>
      <c r="F35" s="33">
        <v>30</v>
      </c>
      <c r="G35" s="87"/>
      <c r="H35" s="87"/>
      <c r="I35" s="88"/>
      <c r="J35" s="88"/>
      <c r="K35" s="88"/>
      <c r="L35" s="88"/>
      <c r="M35" s="88"/>
    </row>
    <row r="36" spans="2:13" x14ac:dyDescent="0.3">
      <c r="B36" s="76">
        <v>43123</v>
      </c>
      <c r="C36" s="33" t="s">
        <v>341</v>
      </c>
      <c r="D36" s="33" t="s">
        <v>123</v>
      </c>
      <c r="E36" s="33">
        <v>180</v>
      </c>
      <c r="F36" s="33">
        <v>173</v>
      </c>
      <c r="G36" s="87"/>
      <c r="H36" s="87"/>
      <c r="I36" s="88"/>
      <c r="J36" s="88"/>
      <c r="K36" s="88"/>
      <c r="L36" s="88"/>
      <c r="M36" s="88"/>
    </row>
    <row r="37" spans="2:13" x14ac:dyDescent="0.3">
      <c r="B37" s="76">
        <v>43123</v>
      </c>
      <c r="C37" s="33" t="s">
        <v>341</v>
      </c>
      <c r="D37" s="33" t="s">
        <v>125</v>
      </c>
      <c r="E37" s="33">
        <v>75</v>
      </c>
      <c r="F37" s="33">
        <v>67</v>
      </c>
      <c r="G37" s="87"/>
      <c r="H37" s="87"/>
      <c r="I37" s="88"/>
      <c r="J37" s="88"/>
      <c r="K37" s="88"/>
      <c r="L37" s="88"/>
      <c r="M37" s="88"/>
    </row>
    <row r="38" spans="2:13" x14ac:dyDescent="0.3">
      <c r="B38" s="76">
        <v>43123</v>
      </c>
      <c r="C38" s="33" t="s">
        <v>341</v>
      </c>
      <c r="D38" s="33" t="s">
        <v>126</v>
      </c>
      <c r="E38" s="33">
        <v>30</v>
      </c>
      <c r="F38" s="33">
        <v>26</v>
      </c>
      <c r="G38" s="87"/>
      <c r="H38" s="87"/>
      <c r="I38" s="88"/>
      <c r="J38" s="88"/>
      <c r="K38" s="88"/>
      <c r="L38" s="88"/>
      <c r="M38" s="88"/>
    </row>
    <row r="39" spans="2:13" x14ac:dyDescent="0.3">
      <c r="B39" s="76">
        <v>43125</v>
      </c>
      <c r="C39" s="33" t="s">
        <v>341</v>
      </c>
      <c r="D39" s="33" t="s">
        <v>123</v>
      </c>
      <c r="E39" s="33">
        <v>180</v>
      </c>
      <c r="F39" s="33">
        <v>180</v>
      </c>
      <c r="G39" s="87"/>
      <c r="H39" s="87"/>
      <c r="I39" s="88"/>
      <c r="J39" s="88"/>
      <c r="K39" s="88"/>
      <c r="L39" s="88"/>
      <c r="M39" s="88"/>
    </row>
    <row r="40" spans="2:13" x14ac:dyDescent="0.3">
      <c r="B40" s="76">
        <v>43125</v>
      </c>
      <c r="C40" s="33" t="s">
        <v>341</v>
      </c>
      <c r="D40" s="33" t="s">
        <v>125</v>
      </c>
      <c r="E40" s="33">
        <v>75</v>
      </c>
      <c r="F40" s="33">
        <v>74</v>
      </c>
      <c r="G40" s="87"/>
      <c r="H40" s="87"/>
      <c r="I40" s="88"/>
      <c r="J40" s="88"/>
      <c r="K40" s="88"/>
      <c r="L40" s="88"/>
      <c r="M40" s="88"/>
    </row>
    <row r="41" spans="2:13" x14ac:dyDescent="0.3">
      <c r="B41" s="76">
        <v>43125</v>
      </c>
      <c r="C41" s="33" t="s">
        <v>341</v>
      </c>
      <c r="D41" s="33" t="s">
        <v>126</v>
      </c>
      <c r="E41" s="33">
        <v>30</v>
      </c>
      <c r="F41" s="33">
        <v>29</v>
      </c>
      <c r="G41" s="87"/>
      <c r="H41" s="87"/>
      <c r="I41" s="88"/>
      <c r="J41" s="88"/>
      <c r="K41" s="88"/>
      <c r="L41" s="88"/>
      <c r="M41" s="88"/>
    </row>
    <row r="42" spans="2:13" x14ac:dyDescent="0.3">
      <c r="B42" s="76">
        <v>43127</v>
      </c>
      <c r="C42" s="33" t="s">
        <v>341</v>
      </c>
      <c r="D42" s="33" t="s">
        <v>123</v>
      </c>
      <c r="E42" s="33">
        <v>180</v>
      </c>
      <c r="F42" s="33">
        <v>180</v>
      </c>
      <c r="G42" s="87"/>
      <c r="H42" s="87"/>
      <c r="I42" s="88"/>
      <c r="J42" s="88"/>
      <c r="K42" s="88"/>
      <c r="L42" s="88"/>
      <c r="M42" s="88"/>
    </row>
    <row r="43" spans="2:13" x14ac:dyDescent="0.3">
      <c r="B43" s="76">
        <v>43127</v>
      </c>
      <c r="C43" s="33" t="s">
        <v>341</v>
      </c>
      <c r="D43" s="33" t="s">
        <v>125</v>
      </c>
      <c r="E43" s="33">
        <v>75</v>
      </c>
      <c r="F43" s="33">
        <v>75</v>
      </c>
      <c r="G43" s="87"/>
      <c r="H43" s="87"/>
      <c r="I43" s="88"/>
      <c r="J43" s="88"/>
      <c r="K43" s="88"/>
      <c r="L43" s="88"/>
      <c r="M43" s="88"/>
    </row>
    <row r="44" spans="2:13" x14ac:dyDescent="0.3">
      <c r="B44" s="76">
        <v>43127</v>
      </c>
      <c r="C44" s="33" t="s">
        <v>341</v>
      </c>
      <c r="D44" s="33" t="s">
        <v>126</v>
      </c>
      <c r="E44" s="33">
        <v>30</v>
      </c>
      <c r="F44" s="33">
        <v>26</v>
      </c>
      <c r="G44" s="87"/>
      <c r="H44" s="87"/>
      <c r="I44" s="88"/>
      <c r="J44" s="88"/>
      <c r="K44" s="88"/>
      <c r="L44" s="88"/>
      <c r="M44" s="88"/>
    </row>
    <row r="45" spans="2:13" x14ac:dyDescent="0.3">
      <c r="B45" s="76">
        <v>43130</v>
      </c>
      <c r="C45" s="33" t="s">
        <v>341</v>
      </c>
      <c r="D45" s="33" t="s">
        <v>123</v>
      </c>
      <c r="E45" s="33">
        <v>180</v>
      </c>
      <c r="F45" s="33">
        <v>168</v>
      </c>
      <c r="G45" s="87"/>
      <c r="H45" s="87"/>
      <c r="I45" s="88"/>
      <c r="J45" s="88"/>
      <c r="K45" s="88"/>
      <c r="L45" s="88"/>
      <c r="M45" s="88"/>
    </row>
    <row r="46" spans="2:13" x14ac:dyDescent="0.3">
      <c r="B46" s="76">
        <v>43130</v>
      </c>
      <c r="C46" s="33" t="s">
        <v>341</v>
      </c>
      <c r="D46" s="33" t="s">
        <v>125</v>
      </c>
      <c r="E46" s="33">
        <v>75</v>
      </c>
      <c r="F46" s="33">
        <v>73</v>
      </c>
      <c r="G46" s="87"/>
      <c r="H46" s="87"/>
      <c r="I46" s="88"/>
      <c r="J46" s="88"/>
      <c r="K46" s="88"/>
      <c r="L46" s="88"/>
      <c r="M46" s="88"/>
    </row>
    <row r="47" spans="2:13" x14ac:dyDescent="0.3">
      <c r="B47" s="76">
        <v>43130</v>
      </c>
      <c r="C47" s="33" t="s">
        <v>341</v>
      </c>
      <c r="D47" s="33" t="s">
        <v>126</v>
      </c>
      <c r="E47" s="33">
        <v>30</v>
      </c>
      <c r="F47" s="33">
        <v>24</v>
      </c>
      <c r="G47" s="87"/>
      <c r="H47" s="87"/>
      <c r="I47" s="88"/>
      <c r="J47" s="88"/>
      <c r="K47" s="88"/>
      <c r="L47" s="88"/>
      <c r="M47" s="88"/>
    </row>
    <row r="48" spans="2:13" x14ac:dyDescent="0.3">
      <c r="B48" s="76">
        <v>43132</v>
      </c>
      <c r="C48" s="33" t="s">
        <v>341</v>
      </c>
      <c r="D48" s="33" t="s">
        <v>123</v>
      </c>
      <c r="E48" s="33">
        <v>180</v>
      </c>
      <c r="F48" s="33">
        <v>179</v>
      </c>
      <c r="G48" s="87"/>
      <c r="H48" s="87"/>
      <c r="I48" s="88"/>
      <c r="J48" s="88"/>
      <c r="K48" s="88"/>
      <c r="L48" s="88"/>
      <c r="M48" s="88"/>
    </row>
    <row r="49" spans="2:13" x14ac:dyDescent="0.3">
      <c r="B49" s="76">
        <v>43132</v>
      </c>
      <c r="C49" s="33" t="s">
        <v>341</v>
      </c>
      <c r="D49" s="33" t="s">
        <v>125</v>
      </c>
      <c r="E49" s="33">
        <v>75</v>
      </c>
      <c r="F49" s="33">
        <v>71</v>
      </c>
      <c r="G49" s="87"/>
      <c r="H49" s="87"/>
      <c r="I49" s="88"/>
      <c r="J49" s="88"/>
      <c r="K49" s="88"/>
      <c r="L49" s="88"/>
      <c r="M49" s="88"/>
    </row>
    <row r="50" spans="2:13" x14ac:dyDescent="0.3">
      <c r="B50" s="76">
        <v>43132</v>
      </c>
      <c r="C50" s="33" t="s">
        <v>341</v>
      </c>
      <c r="D50" s="33" t="s">
        <v>126</v>
      </c>
      <c r="E50" s="33">
        <v>30</v>
      </c>
      <c r="F50" s="33">
        <v>23</v>
      </c>
      <c r="G50" s="87"/>
      <c r="H50" s="87"/>
      <c r="I50" s="88"/>
      <c r="J50" s="88"/>
      <c r="K50" s="88"/>
      <c r="L50" s="88"/>
      <c r="M50" s="88"/>
    </row>
    <row r="51" spans="2:13" x14ac:dyDescent="0.3">
      <c r="B51" s="76">
        <v>43134</v>
      </c>
      <c r="C51" s="33" t="s">
        <v>341</v>
      </c>
      <c r="D51" s="33" t="s">
        <v>123</v>
      </c>
      <c r="E51" s="33">
        <v>180</v>
      </c>
      <c r="F51" s="33">
        <v>180</v>
      </c>
      <c r="G51" s="87"/>
      <c r="H51" s="87"/>
      <c r="I51" s="88"/>
      <c r="J51" s="88"/>
      <c r="K51" s="88"/>
      <c r="L51" s="88"/>
      <c r="M51" s="88"/>
    </row>
    <row r="52" spans="2:13" x14ac:dyDescent="0.3">
      <c r="B52" s="76">
        <v>43134</v>
      </c>
      <c r="C52" s="33" t="s">
        <v>341</v>
      </c>
      <c r="D52" s="33" t="s">
        <v>125</v>
      </c>
      <c r="E52" s="33">
        <v>75</v>
      </c>
      <c r="F52" s="33">
        <v>75</v>
      </c>
      <c r="G52" s="87"/>
      <c r="H52" s="87"/>
      <c r="I52" s="88"/>
      <c r="J52" s="88"/>
      <c r="K52" s="88"/>
      <c r="L52" s="88"/>
      <c r="M52" s="88"/>
    </row>
    <row r="53" spans="2:13" x14ac:dyDescent="0.3">
      <c r="B53" s="76">
        <v>43134</v>
      </c>
      <c r="C53" s="33" t="s">
        <v>341</v>
      </c>
      <c r="D53" s="33" t="s">
        <v>126</v>
      </c>
      <c r="E53" s="33">
        <v>30</v>
      </c>
      <c r="F53" s="33">
        <v>30</v>
      </c>
      <c r="G53" s="87"/>
      <c r="H53" s="87"/>
      <c r="I53" s="88"/>
      <c r="J53" s="88"/>
      <c r="K53" s="88"/>
      <c r="L53" s="88"/>
      <c r="M53" s="88"/>
    </row>
    <row r="54" spans="2:13" x14ac:dyDescent="0.3">
      <c r="B54" s="76">
        <v>43137</v>
      </c>
      <c r="C54" s="33" t="s">
        <v>341</v>
      </c>
      <c r="D54" s="33" t="s">
        <v>123</v>
      </c>
      <c r="E54" s="33">
        <v>180</v>
      </c>
      <c r="F54" s="33">
        <v>173</v>
      </c>
      <c r="G54" s="87"/>
      <c r="H54" s="87"/>
      <c r="I54" s="88"/>
      <c r="J54" s="88"/>
      <c r="K54" s="88"/>
      <c r="L54" s="88"/>
      <c r="M54" s="88"/>
    </row>
    <row r="55" spans="2:13" x14ac:dyDescent="0.3">
      <c r="B55" s="76">
        <v>43137</v>
      </c>
      <c r="C55" s="33" t="s">
        <v>341</v>
      </c>
      <c r="D55" s="33" t="s">
        <v>125</v>
      </c>
      <c r="E55" s="33">
        <v>75</v>
      </c>
      <c r="F55" s="33">
        <v>72</v>
      </c>
      <c r="G55" s="87"/>
      <c r="H55" s="87"/>
      <c r="I55" s="88"/>
      <c r="J55" s="88"/>
      <c r="K55" s="88"/>
      <c r="L55" s="88"/>
      <c r="M55" s="88"/>
    </row>
    <row r="56" spans="2:13" x14ac:dyDescent="0.3">
      <c r="B56" s="76">
        <v>43137</v>
      </c>
      <c r="C56" s="33" t="s">
        <v>341</v>
      </c>
      <c r="D56" s="33" t="s">
        <v>126</v>
      </c>
      <c r="E56" s="33">
        <v>30</v>
      </c>
      <c r="F56" s="33">
        <v>26</v>
      </c>
      <c r="G56" s="87"/>
      <c r="H56" s="87"/>
      <c r="I56" s="88"/>
      <c r="J56" s="88"/>
      <c r="K56" s="88"/>
      <c r="L56" s="88"/>
      <c r="M56" s="88"/>
    </row>
    <row r="57" spans="2:13" x14ac:dyDescent="0.3">
      <c r="B57" s="76">
        <v>43139</v>
      </c>
      <c r="C57" s="33" t="s">
        <v>341</v>
      </c>
      <c r="D57" s="33" t="s">
        <v>123</v>
      </c>
      <c r="E57" s="33">
        <v>180</v>
      </c>
      <c r="F57" s="33">
        <v>178</v>
      </c>
      <c r="G57" s="87"/>
      <c r="H57" s="87"/>
      <c r="I57" s="88"/>
      <c r="J57" s="88"/>
      <c r="K57" s="88"/>
      <c r="L57" s="88"/>
      <c r="M57" s="88"/>
    </row>
    <row r="58" spans="2:13" x14ac:dyDescent="0.3">
      <c r="B58" s="76">
        <v>43139</v>
      </c>
      <c r="C58" s="33" t="s">
        <v>341</v>
      </c>
      <c r="D58" s="33" t="s">
        <v>125</v>
      </c>
      <c r="E58" s="33">
        <v>75</v>
      </c>
      <c r="F58" s="33">
        <v>74</v>
      </c>
      <c r="G58" s="87"/>
      <c r="H58" s="87"/>
      <c r="I58" s="88"/>
      <c r="J58" s="88"/>
      <c r="K58" s="88"/>
      <c r="L58" s="88"/>
      <c r="M58" s="88"/>
    </row>
    <row r="59" spans="2:13" x14ac:dyDescent="0.3">
      <c r="B59" s="76">
        <v>43139</v>
      </c>
      <c r="C59" s="33" t="s">
        <v>341</v>
      </c>
      <c r="D59" s="33" t="s">
        <v>126</v>
      </c>
      <c r="E59" s="33">
        <v>30</v>
      </c>
      <c r="F59" s="33">
        <v>29</v>
      </c>
      <c r="G59" s="87"/>
      <c r="H59" s="87"/>
      <c r="I59" s="88"/>
      <c r="J59" s="88"/>
      <c r="K59" s="88"/>
      <c r="L59" s="88"/>
      <c r="M59" s="88"/>
    </row>
    <row r="60" spans="2:13" x14ac:dyDescent="0.3">
      <c r="B60" s="76">
        <v>43141</v>
      </c>
      <c r="C60" s="33" t="s">
        <v>341</v>
      </c>
      <c r="D60" s="33" t="s">
        <v>123</v>
      </c>
      <c r="E60" s="33">
        <v>180</v>
      </c>
      <c r="F60" s="33">
        <v>180</v>
      </c>
      <c r="G60" s="87"/>
      <c r="H60" s="87"/>
      <c r="I60" s="88"/>
      <c r="J60" s="88"/>
      <c r="K60" s="88"/>
      <c r="L60" s="88"/>
      <c r="M60" s="88"/>
    </row>
    <row r="61" spans="2:13" x14ac:dyDescent="0.3">
      <c r="B61" s="76">
        <v>43141</v>
      </c>
      <c r="C61" s="33" t="s">
        <v>341</v>
      </c>
      <c r="D61" s="33" t="s">
        <v>125</v>
      </c>
      <c r="E61" s="33">
        <v>75</v>
      </c>
      <c r="F61" s="33">
        <v>75</v>
      </c>
      <c r="G61" s="87"/>
      <c r="H61" s="87"/>
      <c r="I61" s="88"/>
      <c r="J61" s="88"/>
      <c r="K61" s="88"/>
      <c r="L61" s="88"/>
      <c r="M61" s="88"/>
    </row>
    <row r="62" spans="2:13" x14ac:dyDescent="0.3">
      <c r="B62" s="76">
        <v>43141</v>
      </c>
      <c r="C62" s="33" t="s">
        <v>341</v>
      </c>
      <c r="D62" s="33" t="s">
        <v>126</v>
      </c>
      <c r="E62" s="33">
        <v>30</v>
      </c>
      <c r="F62" s="33">
        <v>29</v>
      </c>
      <c r="G62" s="87"/>
      <c r="H62" s="87"/>
      <c r="I62" s="88"/>
      <c r="J62" s="88"/>
      <c r="K62" s="88"/>
      <c r="L62" s="88"/>
      <c r="M62" s="88"/>
    </row>
    <row r="63" spans="2:13" x14ac:dyDescent="0.3">
      <c r="B63" s="76">
        <v>43144</v>
      </c>
      <c r="C63" s="33" t="s">
        <v>341</v>
      </c>
      <c r="D63" s="33" t="s">
        <v>123</v>
      </c>
      <c r="E63" s="33">
        <v>180</v>
      </c>
      <c r="F63" s="33">
        <v>163</v>
      </c>
      <c r="G63" s="87"/>
      <c r="H63" s="87"/>
      <c r="I63" s="88"/>
      <c r="J63" s="88"/>
      <c r="K63" s="88"/>
      <c r="L63" s="88"/>
      <c r="M63" s="88"/>
    </row>
    <row r="64" spans="2:13" x14ac:dyDescent="0.3">
      <c r="B64" s="76">
        <v>43144</v>
      </c>
      <c r="C64" s="33" t="s">
        <v>341</v>
      </c>
      <c r="D64" s="33" t="s">
        <v>125</v>
      </c>
      <c r="E64" s="33">
        <v>75</v>
      </c>
      <c r="F64" s="33">
        <v>71</v>
      </c>
      <c r="G64" s="87"/>
      <c r="H64" s="87"/>
      <c r="I64" s="88"/>
      <c r="J64" s="88"/>
      <c r="K64" s="88"/>
      <c r="L64" s="88"/>
      <c r="M64" s="88"/>
    </row>
    <row r="65" spans="2:13" x14ac:dyDescent="0.3">
      <c r="B65" s="76">
        <v>43144</v>
      </c>
      <c r="C65" s="33" t="s">
        <v>341</v>
      </c>
      <c r="D65" s="33" t="s">
        <v>126</v>
      </c>
      <c r="E65" s="33">
        <v>30</v>
      </c>
      <c r="F65" s="33">
        <v>27</v>
      </c>
      <c r="G65" s="87"/>
      <c r="H65" s="87"/>
      <c r="I65" s="88"/>
      <c r="J65" s="88"/>
      <c r="K65" s="88"/>
      <c r="L65" s="88"/>
      <c r="M65" s="88"/>
    </row>
    <row r="66" spans="2:13" x14ac:dyDescent="0.3">
      <c r="B66" s="76">
        <v>43146</v>
      </c>
      <c r="C66" s="33" t="s">
        <v>341</v>
      </c>
      <c r="D66" s="33" t="s">
        <v>123</v>
      </c>
      <c r="E66" s="33">
        <v>180</v>
      </c>
      <c r="F66" s="33">
        <v>178</v>
      </c>
      <c r="G66" s="87"/>
      <c r="H66" s="87"/>
      <c r="I66" s="88"/>
      <c r="J66" s="88"/>
      <c r="K66" s="88"/>
      <c r="L66" s="88"/>
      <c r="M66" s="88"/>
    </row>
    <row r="67" spans="2:13" x14ac:dyDescent="0.3">
      <c r="B67" s="76">
        <v>43146</v>
      </c>
      <c r="C67" s="33" t="s">
        <v>341</v>
      </c>
      <c r="D67" s="33" t="s">
        <v>125</v>
      </c>
      <c r="E67" s="33">
        <v>75</v>
      </c>
      <c r="F67" s="33">
        <v>72</v>
      </c>
      <c r="G67" s="87"/>
      <c r="H67" s="87"/>
      <c r="I67" s="88"/>
      <c r="J67" s="88"/>
      <c r="K67" s="88"/>
      <c r="L67" s="88"/>
      <c r="M67" s="88"/>
    </row>
    <row r="68" spans="2:13" x14ac:dyDescent="0.3">
      <c r="B68" s="76">
        <v>43146</v>
      </c>
      <c r="C68" s="33" t="s">
        <v>341</v>
      </c>
      <c r="D68" s="33" t="s">
        <v>126</v>
      </c>
      <c r="E68" s="33">
        <v>30</v>
      </c>
      <c r="F68" s="33">
        <v>25</v>
      </c>
      <c r="G68" s="87"/>
      <c r="H68" s="87"/>
      <c r="I68" s="88"/>
      <c r="J68" s="88"/>
      <c r="K68" s="88"/>
      <c r="L68" s="88"/>
      <c r="M68" s="88"/>
    </row>
    <row r="69" spans="2:13" x14ac:dyDescent="0.3">
      <c r="B69" s="76">
        <v>43148</v>
      </c>
      <c r="C69" s="33" t="s">
        <v>341</v>
      </c>
      <c r="D69" s="33" t="s">
        <v>123</v>
      </c>
      <c r="E69" s="33">
        <v>180</v>
      </c>
      <c r="F69" s="33">
        <v>180</v>
      </c>
      <c r="G69" s="87"/>
      <c r="H69" s="87"/>
      <c r="I69" s="88"/>
      <c r="J69" s="88"/>
      <c r="K69" s="88"/>
      <c r="L69" s="88"/>
      <c r="M69" s="88"/>
    </row>
    <row r="70" spans="2:13" x14ac:dyDescent="0.3">
      <c r="B70" s="76">
        <v>43148</v>
      </c>
      <c r="C70" s="33" t="s">
        <v>341</v>
      </c>
      <c r="D70" s="33" t="s">
        <v>125</v>
      </c>
      <c r="E70" s="33">
        <v>75</v>
      </c>
      <c r="F70" s="33">
        <v>75</v>
      </c>
      <c r="G70" s="87"/>
      <c r="H70" s="87"/>
      <c r="I70" s="88"/>
      <c r="J70" s="88"/>
      <c r="K70" s="88"/>
      <c r="L70" s="88"/>
      <c r="M70" s="88"/>
    </row>
    <row r="71" spans="2:13" x14ac:dyDescent="0.3">
      <c r="B71" s="76">
        <v>43148</v>
      </c>
      <c r="C71" s="33" t="s">
        <v>341</v>
      </c>
      <c r="D71" s="33" t="s">
        <v>126</v>
      </c>
      <c r="E71" s="33">
        <v>30</v>
      </c>
      <c r="F71" s="33">
        <v>29</v>
      </c>
      <c r="G71" s="87"/>
      <c r="H71" s="87"/>
      <c r="I71" s="88"/>
      <c r="J71" s="88"/>
      <c r="K71" s="88"/>
      <c r="L71" s="88"/>
      <c r="M71" s="88"/>
    </row>
    <row r="72" spans="2:13" x14ac:dyDescent="0.3">
      <c r="B72" s="76">
        <v>43151</v>
      </c>
      <c r="C72" s="33" t="s">
        <v>341</v>
      </c>
      <c r="D72" s="33" t="s">
        <v>123</v>
      </c>
      <c r="E72" s="33">
        <v>180</v>
      </c>
      <c r="F72" s="33">
        <v>171</v>
      </c>
      <c r="G72" s="87"/>
      <c r="H72" s="87"/>
      <c r="I72" s="88"/>
      <c r="J72" s="88"/>
      <c r="K72" s="88"/>
      <c r="L72" s="88"/>
      <c r="M72" s="88"/>
    </row>
    <row r="73" spans="2:13" x14ac:dyDescent="0.3">
      <c r="B73" s="76">
        <v>43151</v>
      </c>
      <c r="C73" s="33" t="s">
        <v>341</v>
      </c>
      <c r="D73" s="33" t="s">
        <v>125</v>
      </c>
      <c r="E73" s="33">
        <v>75</v>
      </c>
      <c r="F73" s="33">
        <v>64</v>
      </c>
      <c r="G73" s="87"/>
      <c r="H73" s="87"/>
      <c r="I73" s="88"/>
      <c r="J73" s="88"/>
      <c r="K73" s="88"/>
      <c r="L73" s="88"/>
      <c r="M73" s="88"/>
    </row>
    <row r="74" spans="2:13" x14ac:dyDescent="0.3">
      <c r="B74" s="76">
        <v>43151</v>
      </c>
      <c r="C74" s="33" t="s">
        <v>341</v>
      </c>
      <c r="D74" s="33" t="s">
        <v>126</v>
      </c>
      <c r="E74" s="33">
        <v>30</v>
      </c>
      <c r="F74" s="33">
        <v>25</v>
      </c>
      <c r="G74" s="87"/>
      <c r="H74" s="87"/>
      <c r="I74" s="88"/>
      <c r="J74" s="88"/>
      <c r="K74" s="88"/>
      <c r="L74" s="88"/>
      <c r="M74" s="88"/>
    </row>
    <row r="75" spans="2:13" x14ac:dyDescent="0.3">
      <c r="B75" s="76">
        <v>43153</v>
      </c>
      <c r="C75" s="33" t="s">
        <v>341</v>
      </c>
      <c r="D75" s="33" t="s">
        <v>123</v>
      </c>
      <c r="E75" s="33">
        <v>180</v>
      </c>
      <c r="F75" s="33">
        <v>179</v>
      </c>
      <c r="G75" s="87"/>
      <c r="H75" s="87"/>
      <c r="I75" s="88"/>
      <c r="J75" s="88"/>
      <c r="K75" s="88"/>
      <c r="L75" s="88"/>
      <c r="M75" s="88"/>
    </row>
    <row r="76" spans="2:13" x14ac:dyDescent="0.3">
      <c r="B76" s="76">
        <v>43153</v>
      </c>
      <c r="C76" s="33" t="s">
        <v>341</v>
      </c>
      <c r="D76" s="33" t="s">
        <v>125</v>
      </c>
      <c r="E76" s="33">
        <v>75</v>
      </c>
      <c r="F76" s="33">
        <v>74</v>
      </c>
      <c r="G76" s="87"/>
      <c r="H76" s="87"/>
      <c r="I76" s="88"/>
      <c r="J76" s="88"/>
      <c r="K76" s="88"/>
      <c r="L76" s="88"/>
      <c r="M76" s="88"/>
    </row>
    <row r="77" spans="2:13" x14ac:dyDescent="0.3">
      <c r="B77" s="76">
        <v>43153</v>
      </c>
      <c r="C77" s="33" t="s">
        <v>341</v>
      </c>
      <c r="D77" s="33" t="s">
        <v>126</v>
      </c>
      <c r="E77" s="33">
        <v>30</v>
      </c>
      <c r="F77" s="33">
        <v>23</v>
      </c>
      <c r="G77" s="87"/>
      <c r="H77" s="87"/>
      <c r="I77" s="88"/>
      <c r="J77" s="88"/>
      <c r="K77" s="88"/>
      <c r="L77" s="88"/>
      <c r="M77" s="88"/>
    </row>
    <row r="78" spans="2:13" x14ac:dyDescent="0.3">
      <c r="B78" s="76">
        <v>43155</v>
      </c>
      <c r="C78" s="33" t="s">
        <v>341</v>
      </c>
      <c r="D78" s="33" t="s">
        <v>123</v>
      </c>
      <c r="E78" s="33">
        <v>180</v>
      </c>
      <c r="F78" s="33">
        <v>180</v>
      </c>
      <c r="G78" s="87"/>
      <c r="H78" s="87"/>
      <c r="I78" s="88"/>
      <c r="J78" s="88"/>
      <c r="K78" s="88"/>
      <c r="L78" s="88"/>
      <c r="M78" s="88"/>
    </row>
    <row r="79" spans="2:13" x14ac:dyDescent="0.3">
      <c r="B79" s="76">
        <v>43155</v>
      </c>
      <c r="C79" s="33" t="s">
        <v>341</v>
      </c>
      <c r="D79" s="33" t="s">
        <v>125</v>
      </c>
      <c r="E79" s="33">
        <v>75</v>
      </c>
      <c r="F79" s="33">
        <v>75</v>
      </c>
      <c r="G79" s="87"/>
      <c r="H79" s="87"/>
      <c r="I79" s="88"/>
      <c r="J79" s="88"/>
      <c r="K79" s="88"/>
      <c r="L79" s="88"/>
      <c r="M79" s="88"/>
    </row>
    <row r="80" spans="2:13" x14ac:dyDescent="0.3">
      <c r="B80" s="76">
        <v>43155</v>
      </c>
      <c r="C80" s="33" t="s">
        <v>341</v>
      </c>
      <c r="D80" s="33" t="s">
        <v>126</v>
      </c>
      <c r="E80" s="33">
        <v>30</v>
      </c>
      <c r="F80" s="33">
        <v>30</v>
      </c>
      <c r="G80" s="87"/>
      <c r="H80" s="87"/>
      <c r="I80" s="88"/>
      <c r="J80" s="88"/>
      <c r="K80" s="88"/>
      <c r="L80" s="88"/>
      <c r="M80" s="88"/>
    </row>
    <row r="81" spans="2:13" x14ac:dyDescent="0.3">
      <c r="B81" s="76">
        <v>43158</v>
      </c>
      <c r="C81" s="33" t="s">
        <v>341</v>
      </c>
      <c r="D81" s="33" t="s">
        <v>123</v>
      </c>
      <c r="E81" s="33">
        <v>180</v>
      </c>
      <c r="F81" s="33">
        <v>178</v>
      </c>
      <c r="G81" s="87"/>
      <c r="H81" s="87"/>
      <c r="I81" s="88"/>
      <c r="J81" s="88"/>
      <c r="K81" s="88"/>
      <c r="L81" s="88"/>
      <c r="M81" s="88"/>
    </row>
    <row r="82" spans="2:13" x14ac:dyDescent="0.3">
      <c r="B82" s="76">
        <v>43158</v>
      </c>
      <c r="C82" s="33" t="s">
        <v>341</v>
      </c>
      <c r="D82" s="33" t="s">
        <v>125</v>
      </c>
      <c r="E82" s="33">
        <v>75</v>
      </c>
      <c r="F82" s="33">
        <v>64</v>
      </c>
      <c r="G82" s="87"/>
      <c r="H82" s="87"/>
      <c r="I82" s="88"/>
      <c r="J82" s="88"/>
      <c r="K82" s="88"/>
      <c r="L82" s="88"/>
      <c r="M82" s="88"/>
    </row>
    <row r="83" spans="2:13" x14ac:dyDescent="0.3">
      <c r="B83" s="76">
        <v>43158</v>
      </c>
      <c r="C83" s="33" t="s">
        <v>341</v>
      </c>
      <c r="D83" s="33" t="s">
        <v>126</v>
      </c>
      <c r="E83" s="33">
        <v>30</v>
      </c>
      <c r="F83" s="33">
        <v>22</v>
      </c>
      <c r="G83" s="87"/>
      <c r="H83" s="87"/>
      <c r="I83" s="88"/>
      <c r="J83" s="88"/>
      <c r="K83" s="88"/>
      <c r="L83" s="88"/>
      <c r="M83" s="88"/>
    </row>
    <row r="84" spans="2:13" x14ac:dyDescent="0.3">
      <c r="B84" s="76">
        <v>43160</v>
      </c>
      <c r="C84" s="33" t="s">
        <v>341</v>
      </c>
      <c r="D84" s="33" t="s">
        <v>123</v>
      </c>
      <c r="E84" s="33">
        <v>180</v>
      </c>
      <c r="F84" s="33">
        <v>178</v>
      </c>
      <c r="G84" s="87"/>
      <c r="H84" s="87"/>
      <c r="I84" s="88"/>
      <c r="J84" s="88"/>
      <c r="K84" s="88"/>
      <c r="L84" s="88"/>
      <c r="M84" s="88"/>
    </row>
    <row r="85" spans="2:13" x14ac:dyDescent="0.3">
      <c r="B85" s="76">
        <v>43160</v>
      </c>
      <c r="C85" s="33" t="s">
        <v>341</v>
      </c>
      <c r="D85" s="33" t="s">
        <v>125</v>
      </c>
      <c r="E85" s="33">
        <v>75</v>
      </c>
      <c r="F85" s="33">
        <v>70</v>
      </c>
      <c r="G85" s="87"/>
      <c r="H85" s="87"/>
      <c r="I85" s="88"/>
      <c r="J85" s="88"/>
      <c r="K85" s="88"/>
      <c r="L85" s="88"/>
      <c r="M85" s="88"/>
    </row>
    <row r="86" spans="2:13" x14ac:dyDescent="0.3">
      <c r="B86" s="76">
        <v>43160</v>
      </c>
      <c r="C86" s="33" t="s">
        <v>341</v>
      </c>
      <c r="D86" s="33" t="s">
        <v>126</v>
      </c>
      <c r="E86" s="33">
        <v>30</v>
      </c>
      <c r="F86" s="33">
        <v>23</v>
      </c>
      <c r="G86" s="87"/>
      <c r="H86" s="87"/>
      <c r="I86" s="88"/>
      <c r="J86" s="88"/>
      <c r="K86" s="88"/>
      <c r="L86" s="88"/>
      <c r="M86" s="88"/>
    </row>
    <row r="87" spans="2:13" x14ac:dyDescent="0.3">
      <c r="B87" s="76">
        <v>43162</v>
      </c>
      <c r="C87" s="33" t="s">
        <v>341</v>
      </c>
      <c r="D87" s="33" t="s">
        <v>123</v>
      </c>
      <c r="E87" s="33">
        <v>180</v>
      </c>
      <c r="F87" s="33">
        <v>180</v>
      </c>
      <c r="G87" s="87"/>
      <c r="H87" s="87"/>
      <c r="I87" s="88"/>
      <c r="J87" s="88"/>
      <c r="K87" s="88"/>
      <c r="L87" s="88"/>
      <c r="M87" s="88"/>
    </row>
    <row r="88" spans="2:13" x14ac:dyDescent="0.3">
      <c r="B88" s="76">
        <v>43162</v>
      </c>
      <c r="C88" s="33" t="s">
        <v>341</v>
      </c>
      <c r="D88" s="33" t="s">
        <v>125</v>
      </c>
      <c r="E88" s="33">
        <v>75</v>
      </c>
      <c r="F88" s="33">
        <v>75</v>
      </c>
      <c r="G88" s="87"/>
      <c r="H88" s="87"/>
      <c r="I88" s="88"/>
      <c r="J88" s="88"/>
      <c r="K88" s="88"/>
      <c r="L88" s="88"/>
      <c r="M88" s="88"/>
    </row>
    <row r="89" spans="2:13" x14ac:dyDescent="0.3">
      <c r="B89" s="76">
        <v>43162</v>
      </c>
      <c r="C89" s="33" t="s">
        <v>341</v>
      </c>
      <c r="D89" s="33" t="s">
        <v>126</v>
      </c>
      <c r="E89" s="33">
        <v>30</v>
      </c>
      <c r="F89" s="33">
        <v>30</v>
      </c>
      <c r="G89" s="87"/>
      <c r="H89" s="87"/>
      <c r="I89" s="88"/>
      <c r="J89" s="88"/>
      <c r="K89" s="88"/>
      <c r="L89" s="88"/>
      <c r="M89" s="88"/>
    </row>
    <row r="90" spans="2:13" x14ac:dyDescent="0.3">
      <c r="B90" s="76">
        <v>43165</v>
      </c>
      <c r="C90" s="33" t="s">
        <v>341</v>
      </c>
      <c r="D90" s="33" t="s">
        <v>123</v>
      </c>
      <c r="E90" s="33">
        <v>180</v>
      </c>
      <c r="F90" s="33">
        <v>174</v>
      </c>
      <c r="G90" s="87"/>
      <c r="H90" s="87"/>
      <c r="I90" s="88"/>
      <c r="J90" s="88"/>
      <c r="K90" s="88"/>
      <c r="L90" s="88"/>
      <c r="M90" s="88"/>
    </row>
    <row r="91" spans="2:13" x14ac:dyDescent="0.3">
      <c r="B91" s="76">
        <v>43165</v>
      </c>
      <c r="C91" s="33" t="s">
        <v>341</v>
      </c>
      <c r="D91" s="33" t="s">
        <v>125</v>
      </c>
      <c r="E91" s="33">
        <v>75</v>
      </c>
      <c r="F91" s="33">
        <v>72</v>
      </c>
      <c r="G91" s="87"/>
      <c r="H91" s="87"/>
      <c r="I91" s="88"/>
      <c r="J91" s="88"/>
      <c r="K91" s="88"/>
      <c r="L91" s="88"/>
      <c r="M91" s="88"/>
    </row>
    <row r="92" spans="2:13" x14ac:dyDescent="0.3">
      <c r="B92" s="76">
        <v>43165</v>
      </c>
      <c r="C92" s="33" t="s">
        <v>341</v>
      </c>
      <c r="D92" s="33" t="s">
        <v>126</v>
      </c>
      <c r="E92" s="33">
        <v>30</v>
      </c>
      <c r="F92" s="33">
        <v>22</v>
      </c>
      <c r="G92" s="87"/>
      <c r="H92" s="87"/>
      <c r="I92" s="88"/>
      <c r="J92" s="88"/>
      <c r="K92" s="88"/>
      <c r="L92" s="88"/>
      <c r="M92" s="88"/>
    </row>
    <row r="93" spans="2:13" x14ac:dyDescent="0.3">
      <c r="B93" s="76">
        <v>43167</v>
      </c>
      <c r="C93" s="33" t="s">
        <v>341</v>
      </c>
      <c r="D93" s="33" t="s">
        <v>123</v>
      </c>
      <c r="E93" s="33">
        <v>180</v>
      </c>
      <c r="F93" s="33">
        <v>180</v>
      </c>
      <c r="G93" s="87"/>
      <c r="H93" s="87"/>
      <c r="I93" s="88"/>
      <c r="J93" s="88"/>
      <c r="K93" s="88"/>
      <c r="L93" s="88"/>
      <c r="M93" s="88"/>
    </row>
    <row r="94" spans="2:13" x14ac:dyDescent="0.3">
      <c r="B94" s="76">
        <v>43167</v>
      </c>
      <c r="C94" s="33" t="s">
        <v>341</v>
      </c>
      <c r="D94" s="33" t="s">
        <v>125</v>
      </c>
      <c r="E94" s="33">
        <v>75</v>
      </c>
      <c r="F94" s="33">
        <v>72</v>
      </c>
      <c r="G94" s="87"/>
      <c r="H94" s="87"/>
      <c r="I94" s="88"/>
      <c r="J94" s="88"/>
      <c r="K94" s="88"/>
      <c r="L94" s="88"/>
      <c r="M94" s="88"/>
    </row>
    <row r="95" spans="2:13" x14ac:dyDescent="0.3">
      <c r="B95" s="76">
        <v>43167</v>
      </c>
      <c r="C95" s="33" t="s">
        <v>341</v>
      </c>
      <c r="D95" s="33" t="s">
        <v>126</v>
      </c>
      <c r="E95" s="33">
        <v>30</v>
      </c>
      <c r="F95" s="33">
        <v>28</v>
      </c>
      <c r="G95" s="87"/>
      <c r="H95" s="87"/>
      <c r="I95" s="88"/>
      <c r="J95" s="88"/>
      <c r="K95" s="88"/>
      <c r="L95" s="88"/>
      <c r="M95" s="88"/>
    </row>
    <row r="96" spans="2:13" x14ac:dyDescent="0.3">
      <c r="B96" s="76">
        <v>43169</v>
      </c>
      <c r="C96" s="33" t="s">
        <v>341</v>
      </c>
      <c r="D96" s="33" t="s">
        <v>123</v>
      </c>
      <c r="E96" s="33">
        <v>180</v>
      </c>
      <c r="F96" s="33">
        <v>180</v>
      </c>
      <c r="G96" s="87"/>
      <c r="H96" s="87"/>
      <c r="I96" s="88"/>
      <c r="J96" s="88"/>
      <c r="K96" s="88"/>
      <c r="L96" s="88"/>
      <c r="M96" s="88"/>
    </row>
    <row r="97" spans="2:13" x14ac:dyDescent="0.3">
      <c r="B97" s="76">
        <v>43169</v>
      </c>
      <c r="C97" s="33" t="s">
        <v>341</v>
      </c>
      <c r="D97" s="33" t="s">
        <v>125</v>
      </c>
      <c r="E97" s="33">
        <v>75</v>
      </c>
      <c r="F97" s="33">
        <v>75</v>
      </c>
      <c r="G97" s="87"/>
      <c r="H97" s="87"/>
      <c r="I97" s="88"/>
      <c r="J97" s="88"/>
      <c r="K97" s="88"/>
      <c r="L97" s="88"/>
      <c r="M97" s="88"/>
    </row>
    <row r="98" spans="2:13" x14ac:dyDescent="0.3">
      <c r="B98" s="76">
        <v>43169</v>
      </c>
      <c r="C98" s="33" t="s">
        <v>341</v>
      </c>
      <c r="D98" s="33" t="s">
        <v>126</v>
      </c>
      <c r="E98" s="33">
        <v>30</v>
      </c>
      <c r="F98" s="33">
        <v>25</v>
      </c>
      <c r="G98" s="87"/>
      <c r="H98" s="87"/>
      <c r="I98" s="88"/>
      <c r="J98" s="88"/>
      <c r="K98" s="88"/>
      <c r="L98" s="88"/>
      <c r="M98" s="88"/>
    </row>
    <row r="99" spans="2:13" x14ac:dyDescent="0.3">
      <c r="B99" s="76">
        <v>43172</v>
      </c>
      <c r="C99" s="33" t="s">
        <v>341</v>
      </c>
      <c r="D99" s="33" t="s">
        <v>123</v>
      </c>
      <c r="E99" s="33">
        <v>180</v>
      </c>
      <c r="F99" s="33">
        <v>178</v>
      </c>
      <c r="G99" s="87"/>
      <c r="H99" s="87"/>
      <c r="I99" s="88"/>
      <c r="J99" s="88"/>
      <c r="K99" s="88"/>
      <c r="L99" s="88"/>
      <c r="M99" s="88"/>
    </row>
    <row r="100" spans="2:13" x14ac:dyDescent="0.3">
      <c r="B100" s="76">
        <v>43172</v>
      </c>
      <c r="C100" s="33" t="s">
        <v>341</v>
      </c>
      <c r="D100" s="33" t="s">
        <v>125</v>
      </c>
      <c r="E100" s="33">
        <v>75</v>
      </c>
      <c r="F100" s="33">
        <v>72</v>
      </c>
      <c r="G100" s="87"/>
      <c r="H100" s="87"/>
      <c r="I100" s="88"/>
      <c r="J100" s="88"/>
      <c r="K100" s="88"/>
      <c r="L100" s="88"/>
      <c r="M100" s="88"/>
    </row>
    <row r="101" spans="2:13" x14ac:dyDescent="0.3">
      <c r="B101" s="76">
        <v>43172</v>
      </c>
      <c r="C101" s="33" t="s">
        <v>341</v>
      </c>
      <c r="D101" s="33" t="s">
        <v>126</v>
      </c>
      <c r="E101" s="33">
        <v>30</v>
      </c>
      <c r="F101" s="33">
        <v>21</v>
      </c>
      <c r="G101" s="87"/>
      <c r="H101" s="87"/>
      <c r="I101" s="88"/>
      <c r="J101" s="88"/>
      <c r="K101" s="88"/>
      <c r="L101" s="88"/>
      <c r="M101" s="88"/>
    </row>
    <row r="102" spans="2:13" x14ac:dyDescent="0.3">
      <c r="B102" s="76">
        <v>43174</v>
      </c>
      <c r="C102" s="33" t="s">
        <v>341</v>
      </c>
      <c r="D102" s="33" t="s">
        <v>123</v>
      </c>
      <c r="E102" s="33">
        <v>180</v>
      </c>
      <c r="F102" s="33">
        <v>180</v>
      </c>
      <c r="G102" s="87"/>
      <c r="H102" s="87"/>
      <c r="I102" s="88"/>
      <c r="J102" s="88"/>
      <c r="K102" s="88"/>
      <c r="L102" s="88"/>
      <c r="M102" s="88"/>
    </row>
    <row r="103" spans="2:13" x14ac:dyDescent="0.3">
      <c r="B103" s="76">
        <v>43174</v>
      </c>
      <c r="C103" s="33" t="s">
        <v>341</v>
      </c>
      <c r="D103" s="33" t="s">
        <v>125</v>
      </c>
      <c r="E103" s="33">
        <v>75</v>
      </c>
      <c r="F103" s="33">
        <v>72</v>
      </c>
      <c r="G103" s="87"/>
      <c r="H103" s="87"/>
      <c r="I103" s="88"/>
      <c r="J103" s="88"/>
      <c r="K103" s="88"/>
      <c r="L103" s="88"/>
      <c r="M103" s="88"/>
    </row>
    <row r="104" spans="2:13" x14ac:dyDescent="0.3">
      <c r="B104" s="76">
        <v>43174</v>
      </c>
      <c r="C104" s="33" t="s">
        <v>341</v>
      </c>
      <c r="D104" s="33" t="s">
        <v>126</v>
      </c>
      <c r="E104" s="33">
        <v>30</v>
      </c>
      <c r="F104" s="33">
        <v>27</v>
      </c>
      <c r="G104" s="87"/>
      <c r="H104" s="87"/>
      <c r="I104" s="88"/>
      <c r="J104" s="88"/>
      <c r="K104" s="88"/>
      <c r="L104" s="88"/>
      <c r="M104" s="88"/>
    </row>
    <row r="105" spans="2:13" x14ac:dyDescent="0.3">
      <c r="B105" s="76">
        <v>43176</v>
      </c>
      <c r="C105" s="33" t="s">
        <v>341</v>
      </c>
      <c r="D105" s="33" t="s">
        <v>123</v>
      </c>
      <c r="E105" s="33">
        <v>180</v>
      </c>
      <c r="F105" s="33">
        <v>180</v>
      </c>
      <c r="G105" s="87"/>
      <c r="H105" s="87"/>
      <c r="I105" s="88"/>
      <c r="J105" s="88"/>
      <c r="K105" s="88"/>
      <c r="L105" s="88"/>
      <c r="M105" s="88"/>
    </row>
    <row r="106" spans="2:13" x14ac:dyDescent="0.3">
      <c r="B106" s="76">
        <v>43176</v>
      </c>
      <c r="C106" s="33" t="s">
        <v>341</v>
      </c>
      <c r="D106" s="33" t="s">
        <v>125</v>
      </c>
      <c r="E106" s="33">
        <v>75</v>
      </c>
      <c r="F106" s="33">
        <v>75</v>
      </c>
      <c r="G106" s="87"/>
      <c r="H106" s="87"/>
      <c r="I106" s="88"/>
      <c r="J106" s="88"/>
      <c r="K106" s="88"/>
      <c r="L106" s="88"/>
      <c r="M106" s="88"/>
    </row>
    <row r="107" spans="2:13" x14ac:dyDescent="0.3">
      <c r="B107" s="76">
        <v>43176</v>
      </c>
      <c r="C107" s="33" t="s">
        <v>341</v>
      </c>
      <c r="D107" s="33" t="s">
        <v>126</v>
      </c>
      <c r="E107" s="33">
        <v>30</v>
      </c>
      <c r="F107" s="33">
        <v>28</v>
      </c>
      <c r="G107" s="87"/>
      <c r="H107" s="87"/>
      <c r="I107" s="88"/>
      <c r="J107" s="88"/>
      <c r="K107" s="88"/>
      <c r="L107" s="88"/>
      <c r="M107" s="88"/>
    </row>
    <row r="108" spans="2:13" x14ac:dyDescent="0.3">
      <c r="B108" s="76">
        <v>43179</v>
      </c>
      <c r="C108" s="33" t="s">
        <v>341</v>
      </c>
      <c r="D108" s="33" t="s">
        <v>123</v>
      </c>
      <c r="E108" s="33">
        <v>180</v>
      </c>
      <c r="F108" s="33">
        <v>178</v>
      </c>
      <c r="G108" s="87"/>
      <c r="H108" s="87"/>
      <c r="I108" s="88"/>
      <c r="J108" s="88"/>
      <c r="K108" s="88"/>
      <c r="L108" s="88"/>
      <c r="M108" s="88"/>
    </row>
    <row r="109" spans="2:13" x14ac:dyDescent="0.3">
      <c r="B109" s="76">
        <v>43179</v>
      </c>
      <c r="C109" s="33" t="s">
        <v>341</v>
      </c>
      <c r="D109" s="33" t="s">
        <v>125</v>
      </c>
      <c r="E109" s="33">
        <v>75</v>
      </c>
      <c r="F109" s="33">
        <v>74</v>
      </c>
      <c r="G109" s="87"/>
      <c r="H109" s="87"/>
      <c r="I109" s="88"/>
      <c r="J109" s="88"/>
      <c r="K109" s="88"/>
      <c r="L109" s="88"/>
      <c r="M109" s="88"/>
    </row>
    <row r="110" spans="2:13" x14ac:dyDescent="0.3">
      <c r="B110" s="76">
        <v>43179</v>
      </c>
      <c r="C110" s="33" t="s">
        <v>341</v>
      </c>
      <c r="D110" s="33" t="s">
        <v>126</v>
      </c>
      <c r="E110" s="33">
        <v>30</v>
      </c>
      <c r="F110" s="33">
        <v>20</v>
      </c>
      <c r="G110" s="87"/>
      <c r="H110" s="87"/>
      <c r="I110" s="88"/>
      <c r="J110" s="88"/>
      <c r="K110" s="88"/>
      <c r="L110" s="88"/>
      <c r="M110" s="88"/>
    </row>
    <row r="111" spans="2:13" x14ac:dyDescent="0.3">
      <c r="B111" s="76">
        <v>43181</v>
      </c>
      <c r="C111" s="33" t="s">
        <v>341</v>
      </c>
      <c r="D111" s="33" t="s">
        <v>123</v>
      </c>
      <c r="E111" s="33">
        <v>180</v>
      </c>
      <c r="F111" s="33">
        <v>178</v>
      </c>
      <c r="G111" s="87"/>
      <c r="H111" s="87"/>
      <c r="I111" s="88"/>
      <c r="J111" s="88"/>
      <c r="K111" s="88"/>
      <c r="L111" s="88"/>
      <c r="M111" s="88"/>
    </row>
    <row r="112" spans="2:13" x14ac:dyDescent="0.3">
      <c r="B112" s="76">
        <v>43181</v>
      </c>
      <c r="C112" s="33" t="s">
        <v>341</v>
      </c>
      <c r="D112" s="33" t="s">
        <v>125</v>
      </c>
      <c r="E112" s="33">
        <v>75</v>
      </c>
      <c r="F112" s="33">
        <v>69</v>
      </c>
      <c r="G112" s="87"/>
      <c r="H112" s="87"/>
      <c r="I112" s="88"/>
      <c r="J112" s="88"/>
      <c r="K112" s="88"/>
      <c r="L112" s="88"/>
      <c r="M112" s="88"/>
    </row>
    <row r="113" spans="2:13" x14ac:dyDescent="0.3">
      <c r="B113" s="76">
        <v>43181</v>
      </c>
      <c r="C113" s="33" t="s">
        <v>341</v>
      </c>
      <c r="D113" s="33" t="s">
        <v>126</v>
      </c>
      <c r="E113" s="33">
        <v>30</v>
      </c>
      <c r="F113" s="33">
        <v>27</v>
      </c>
      <c r="G113" s="87"/>
      <c r="H113" s="87"/>
      <c r="I113" s="88"/>
      <c r="J113" s="88"/>
      <c r="K113" s="88"/>
      <c r="L113" s="88"/>
      <c r="M113" s="88"/>
    </row>
    <row r="114" spans="2:13" x14ac:dyDescent="0.3">
      <c r="B114" s="76">
        <v>43183</v>
      </c>
      <c r="C114" s="33" t="s">
        <v>341</v>
      </c>
      <c r="D114" s="33" t="s">
        <v>123</v>
      </c>
      <c r="E114" s="33">
        <v>180</v>
      </c>
      <c r="F114" s="33">
        <v>180</v>
      </c>
      <c r="G114" s="87"/>
      <c r="H114" s="87"/>
      <c r="I114" s="88"/>
      <c r="J114" s="88"/>
      <c r="K114" s="88"/>
      <c r="L114" s="88"/>
      <c r="M114" s="88"/>
    </row>
    <row r="115" spans="2:13" x14ac:dyDescent="0.3">
      <c r="B115" s="76">
        <v>43183</v>
      </c>
      <c r="C115" s="33" t="s">
        <v>341</v>
      </c>
      <c r="D115" s="33" t="s">
        <v>125</v>
      </c>
      <c r="E115" s="33">
        <v>75</v>
      </c>
      <c r="F115" s="33">
        <v>75</v>
      </c>
      <c r="G115" s="87"/>
      <c r="H115" s="87"/>
      <c r="I115" s="88"/>
      <c r="J115" s="88"/>
      <c r="K115" s="88"/>
      <c r="L115" s="88"/>
      <c r="M115" s="88"/>
    </row>
    <row r="116" spans="2:13" x14ac:dyDescent="0.3">
      <c r="B116" s="76">
        <v>43183</v>
      </c>
      <c r="C116" s="33" t="s">
        <v>341</v>
      </c>
      <c r="D116" s="33" t="s">
        <v>126</v>
      </c>
      <c r="E116" s="33">
        <v>30</v>
      </c>
      <c r="F116" s="33">
        <v>30</v>
      </c>
      <c r="G116" s="87"/>
      <c r="H116" s="87"/>
      <c r="I116" s="88"/>
      <c r="J116" s="88"/>
      <c r="K116" s="88"/>
      <c r="L116" s="88"/>
      <c r="M116" s="88"/>
    </row>
    <row r="117" spans="2:13" x14ac:dyDescent="0.3">
      <c r="B117" s="76">
        <v>43186</v>
      </c>
      <c r="C117" s="33" t="s">
        <v>341</v>
      </c>
      <c r="D117" s="33" t="s">
        <v>123</v>
      </c>
      <c r="E117" s="33">
        <v>180</v>
      </c>
      <c r="F117" s="33">
        <v>178</v>
      </c>
      <c r="G117" s="87"/>
      <c r="H117" s="87"/>
      <c r="I117" s="88"/>
      <c r="J117" s="88"/>
      <c r="K117" s="88"/>
      <c r="L117" s="88"/>
      <c r="M117" s="88"/>
    </row>
    <row r="118" spans="2:13" x14ac:dyDescent="0.3">
      <c r="B118" s="76">
        <v>43186</v>
      </c>
      <c r="C118" s="33" t="s">
        <v>341</v>
      </c>
      <c r="D118" s="33" t="s">
        <v>125</v>
      </c>
      <c r="E118" s="33">
        <v>75</v>
      </c>
      <c r="F118" s="33">
        <v>72</v>
      </c>
      <c r="G118" s="87"/>
      <c r="H118" s="87"/>
      <c r="I118" s="88"/>
      <c r="J118" s="88"/>
      <c r="K118" s="88"/>
      <c r="L118" s="88"/>
      <c r="M118" s="88"/>
    </row>
    <row r="119" spans="2:13" x14ac:dyDescent="0.3">
      <c r="B119" s="76">
        <v>43186</v>
      </c>
      <c r="C119" s="33" t="s">
        <v>341</v>
      </c>
      <c r="D119" s="33" t="s">
        <v>126</v>
      </c>
      <c r="E119" s="33">
        <v>30</v>
      </c>
      <c r="F119" s="33">
        <v>23</v>
      </c>
      <c r="G119" s="87"/>
      <c r="H119" s="87"/>
      <c r="I119" s="88"/>
      <c r="J119" s="88"/>
      <c r="K119" s="88"/>
      <c r="L119" s="88"/>
      <c r="M119" s="88"/>
    </row>
    <row r="120" spans="2:13" x14ac:dyDescent="0.3">
      <c r="B120" s="76">
        <v>43188</v>
      </c>
      <c r="C120" s="33" t="s">
        <v>341</v>
      </c>
      <c r="D120" s="33" t="s">
        <v>123</v>
      </c>
      <c r="E120" s="33">
        <v>180</v>
      </c>
      <c r="F120" s="33">
        <v>180</v>
      </c>
      <c r="G120" s="87"/>
      <c r="H120" s="87"/>
      <c r="I120" s="88"/>
      <c r="J120" s="88"/>
      <c r="K120" s="88"/>
      <c r="L120" s="88"/>
      <c r="M120" s="88"/>
    </row>
    <row r="121" spans="2:13" x14ac:dyDescent="0.3">
      <c r="B121" s="76">
        <v>43188</v>
      </c>
      <c r="C121" s="33" t="s">
        <v>341</v>
      </c>
      <c r="D121" s="33" t="s">
        <v>125</v>
      </c>
      <c r="E121" s="33">
        <v>75</v>
      </c>
      <c r="F121" s="33">
        <v>74</v>
      </c>
      <c r="G121" s="87"/>
      <c r="H121" s="87"/>
      <c r="I121" s="88"/>
      <c r="J121" s="88"/>
      <c r="K121" s="88"/>
      <c r="L121" s="88"/>
      <c r="M121" s="88"/>
    </row>
    <row r="122" spans="2:13" x14ac:dyDescent="0.3">
      <c r="B122" s="76">
        <v>43188</v>
      </c>
      <c r="C122" s="33" t="s">
        <v>341</v>
      </c>
      <c r="D122" s="33" t="s">
        <v>126</v>
      </c>
      <c r="E122" s="33">
        <v>30</v>
      </c>
      <c r="F122" s="33">
        <v>27</v>
      </c>
      <c r="G122" s="87"/>
      <c r="H122" s="87"/>
      <c r="I122" s="88"/>
      <c r="J122" s="88"/>
      <c r="K122" s="88"/>
      <c r="L122" s="88"/>
      <c r="M122" s="88"/>
    </row>
    <row r="123" spans="2:13" x14ac:dyDescent="0.3">
      <c r="B123" s="76">
        <v>43190</v>
      </c>
      <c r="C123" s="33" t="s">
        <v>341</v>
      </c>
      <c r="D123" s="33" t="s">
        <v>123</v>
      </c>
      <c r="E123" s="33">
        <v>180</v>
      </c>
      <c r="F123" s="33">
        <v>180</v>
      </c>
      <c r="G123" s="87"/>
      <c r="H123" s="87"/>
      <c r="I123" s="88"/>
      <c r="J123" s="88"/>
      <c r="K123" s="88"/>
      <c r="L123" s="88"/>
      <c r="M123" s="88"/>
    </row>
    <row r="124" spans="2:13" x14ac:dyDescent="0.3">
      <c r="B124" s="76">
        <v>43190</v>
      </c>
      <c r="C124" s="33" t="s">
        <v>341</v>
      </c>
      <c r="D124" s="33" t="s">
        <v>125</v>
      </c>
      <c r="E124" s="33">
        <v>75</v>
      </c>
      <c r="F124" s="33">
        <v>74</v>
      </c>
      <c r="G124" s="87"/>
      <c r="H124" s="87"/>
      <c r="I124" s="88"/>
      <c r="J124" s="88"/>
      <c r="K124" s="88"/>
      <c r="L124" s="88"/>
      <c r="M124" s="88"/>
    </row>
    <row r="125" spans="2:13" x14ac:dyDescent="0.3">
      <c r="B125" s="76">
        <v>43190</v>
      </c>
      <c r="C125" s="33" t="s">
        <v>341</v>
      </c>
      <c r="D125" s="33" t="s">
        <v>126</v>
      </c>
      <c r="E125" s="33">
        <v>30</v>
      </c>
      <c r="F125" s="33">
        <v>27</v>
      </c>
      <c r="G125" s="87"/>
      <c r="H125" s="87"/>
      <c r="I125" s="88"/>
      <c r="J125" s="88"/>
      <c r="K125" s="88"/>
      <c r="L125" s="88"/>
      <c r="M125" s="88"/>
    </row>
    <row r="126" spans="2:13" x14ac:dyDescent="0.3">
      <c r="B126" s="76">
        <v>43193</v>
      </c>
      <c r="C126" s="33" t="s">
        <v>341</v>
      </c>
      <c r="D126" s="33" t="s">
        <v>123</v>
      </c>
      <c r="E126" s="33">
        <v>180</v>
      </c>
      <c r="F126" s="33">
        <v>174</v>
      </c>
      <c r="G126" s="87"/>
      <c r="H126" s="87"/>
      <c r="I126" s="88"/>
      <c r="J126" s="88"/>
      <c r="K126" s="88"/>
      <c r="L126" s="88"/>
      <c r="M126" s="88"/>
    </row>
    <row r="127" spans="2:13" x14ac:dyDescent="0.3">
      <c r="B127" s="76">
        <v>43193</v>
      </c>
      <c r="C127" s="33" t="s">
        <v>341</v>
      </c>
      <c r="D127" s="33" t="s">
        <v>125</v>
      </c>
      <c r="E127" s="33">
        <v>75</v>
      </c>
      <c r="F127" s="33">
        <v>71</v>
      </c>
      <c r="G127" s="87"/>
      <c r="H127" s="87"/>
      <c r="I127" s="88"/>
      <c r="J127" s="88"/>
      <c r="K127" s="88"/>
      <c r="L127" s="88"/>
      <c r="M127" s="88"/>
    </row>
    <row r="128" spans="2:13" x14ac:dyDescent="0.3">
      <c r="B128" s="76">
        <v>43193</v>
      </c>
      <c r="C128" s="33" t="s">
        <v>341</v>
      </c>
      <c r="D128" s="33" t="s">
        <v>126</v>
      </c>
      <c r="E128" s="33">
        <v>30</v>
      </c>
      <c r="F128" s="33">
        <v>26</v>
      </c>
      <c r="G128" s="87"/>
      <c r="H128" s="87"/>
      <c r="I128" s="88"/>
      <c r="J128" s="88"/>
      <c r="K128" s="88"/>
      <c r="L128" s="88"/>
      <c r="M128" s="88"/>
    </row>
    <row r="129" spans="2:13" x14ac:dyDescent="0.3">
      <c r="B129" s="76">
        <v>43195</v>
      </c>
      <c r="C129" s="33" t="s">
        <v>341</v>
      </c>
      <c r="D129" s="33" t="s">
        <v>123</v>
      </c>
      <c r="E129" s="33">
        <v>180</v>
      </c>
      <c r="F129" s="33">
        <v>180</v>
      </c>
      <c r="G129" s="87"/>
      <c r="H129" s="87"/>
      <c r="I129" s="88"/>
      <c r="J129" s="88"/>
      <c r="K129" s="88"/>
      <c r="L129" s="88"/>
      <c r="M129" s="88"/>
    </row>
    <row r="130" spans="2:13" x14ac:dyDescent="0.3">
      <c r="B130" s="76">
        <v>43195</v>
      </c>
      <c r="C130" s="33" t="s">
        <v>341</v>
      </c>
      <c r="D130" s="33" t="s">
        <v>125</v>
      </c>
      <c r="E130" s="33">
        <v>75</v>
      </c>
      <c r="F130" s="33">
        <v>75</v>
      </c>
      <c r="G130" s="87"/>
      <c r="H130" s="87"/>
      <c r="I130" s="88"/>
      <c r="J130" s="88"/>
      <c r="K130" s="88"/>
      <c r="L130" s="88"/>
      <c r="M130" s="88"/>
    </row>
    <row r="131" spans="2:13" x14ac:dyDescent="0.3">
      <c r="B131" s="76">
        <v>43195</v>
      </c>
      <c r="C131" s="33" t="s">
        <v>341</v>
      </c>
      <c r="D131" s="33" t="s">
        <v>126</v>
      </c>
      <c r="E131" s="33">
        <v>30</v>
      </c>
      <c r="F131" s="33">
        <v>24</v>
      </c>
      <c r="G131" s="87"/>
      <c r="H131" s="87"/>
      <c r="I131" s="88"/>
      <c r="J131" s="88"/>
      <c r="K131" s="88"/>
      <c r="L131" s="88"/>
      <c r="M131" s="88"/>
    </row>
    <row r="132" spans="2:13" x14ac:dyDescent="0.3">
      <c r="B132" s="76">
        <v>43197</v>
      </c>
      <c r="C132" s="33" t="s">
        <v>341</v>
      </c>
      <c r="D132" s="33" t="s">
        <v>123</v>
      </c>
      <c r="E132" s="33">
        <v>180</v>
      </c>
      <c r="F132" s="33">
        <v>180</v>
      </c>
      <c r="G132" s="87"/>
      <c r="H132" s="87"/>
      <c r="I132" s="88"/>
      <c r="J132" s="88"/>
      <c r="K132" s="88"/>
      <c r="L132" s="88"/>
      <c r="M132" s="88"/>
    </row>
    <row r="133" spans="2:13" x14ac:dyDescent="0.3">
      <c r="B133" s="76">
        <v>43197</v>
      </c>
      <c r="C133" s="33" t="s">
        <v>341</v>
      </c>
      <c r="D133" s="33" t="s">
        <v>125</v>
      </c>
      <c r="E133" s="33">
        <v>75</v>
      </c>
      <c r="F133" s="33">
        <v>75</v>
      </c>
      <c r="G133" s="87"/>
      <c r="H133" s="87"/>
      <c r="I133" s="88"/>
      <c r="J133" s="88"/>
      <c r="K133" s="88"/>
      <c r="L133" s="88"/>
      <c r="M133" s="88"/>
    </row>
    <row r="134" spans="2:13" x14ac:dyDescent="0.3">
      <c r="B134" s="76">
        <v>43197</v>
      </c>
      <c r="C134" s="33" t="s">
        <v>341</v>
      </c>
      <c r="D134" s="33" t="s">
        <v>126</v>
      </c>
      <c r="E134" s="33">
        <v>30</v>
      </c>
      <c r="F134" s="33">
        <v>30</v>
      </c>
      <c r="G134" s="87"/>
      <c r="H134" s="87"/>
      <c r="I134" s="88"/>
      <c r="J134" s="88"/>
      <c r="K134" s="88"/>
      <c r="L134" s="88"/>
      <c r="M134" s="88"/>
    </row>
    <row r="135" spans="2:13" x14ac:dyDescent="0.3">
      <c r="B135" s="76">
        <v>43200</v>
      </c>
      <c r="C135" s="33" t="s">
        <v>341</v>
      </c>
      <c r="D135" s="33" t="s">
        <v>123</v>
      </c>
      <c r="E135" s="33">
        <v>180</v>
      </c>
      <c r="F135" s="33">
        <v>178</v>
      </c>
      <c r="G135" s="87"/>
      <c r="H135" s="87"/>
      <c r="I135" s="88"/>
      <c r="J135" s="88"/>
      <c r="K135" s="88"/>
      <c r="L135" s="88"/>
      <c r="M135" s="88"/>
    </row>
    <row r="136" spans="2:13" x14ac:dyDescent="0.3">
      <c r="B136" s="76">
        <v>43200</v>
      </c>
      <c r="C136" s="33" t="s">
        <v>341</v>
      </c>
      <c r="D136" s="33" t="s">
        <v>125</v>
      </c>
      <c r="E136" s="33">
        <v>75</v>
      </c>
      <c r="F136" s="33">
        <v>71</v>
      </c>
      <c r="G136" s="87"/>
      <c r="H136" s="87"/>
      <c r="I136" s="88"/>
      <c r="J136" s="88"/>
      <c r="K136" s="88"/>
      <c r="L136" s="88"/>
      <c r="M136" s="88"/>
    </row>
    <row r="137" spans="2:13" x14ac:dyDescent="0.3">
      <c r="B137" s="76">
        <v>43200</v>
      </c>
      <c r="C137" s="33" t="s">
        <v>341</v>
      </c>
      <c r="D137" s="33" t="s">
        <v>126</v>
      </c>
      <c r="E137" s="33">
        <v>30</v>
      </c>
      <c r="F137" s="33">
        <v>28</v>
      </c>
      <c r="G137" s="87"/>
      <c r="H137" s="87"/>
      <c r="I137" s="88"/>
      <c r="J137" s="88"/>
      <c r="K137" s="88"/>
      <c r="L137" s="88"/>
      <c r="M137" s="88"/>
    </row>
    <row r="138" spans="2:13" x14ac:dyDescent="0.3">
      <c r="B138" s="76">
        <v>43202</v>
      </c>
      <c r="C138" s="33" t="s">
        <v>341</v>
      </c>
      <c r="D138" s="33" t="s">
        <v>123</v>
      </c>
      <c r="E138" s="33">
        <v>180</v>
      </c>
      <c r="F138" s="33">
        <v>180</v>
      </c>
      <c r="G138" s="87"/>
      <c r="H138" s="87"/>
      <c r="I138" s="88"/>
      <c r="J138" s="88"/>
      <c r="K138" s="88"/>
      <c r="L138" s="88"/>
      <c r="M138" s="88"/>
    </row>
    <row r="139" spans="2:13" x14ac:dyDescent="0.3">
      <c r="B139" s="76">
        <v>43202</v>
      </c>
      <c r="C139" s="33" t="s">
        <v>341</v>
      </c>
      <c r="D139" s="33" t="s">
        <v>125</v>
      </c>
      <c r="E139" s="33">
        <v>75</v>
      </c>
      <c r="F139" s="33">
        <v>75</v>
      </c>
      <c r="G139" s="87"/>
      <c r="H139" s="87"/>
      <c r="I139" s="88"/>
      <c r="J139" s="88"/>
      <c r="K139" s="88"/>
      <c r="L139" s="88"/>
      <c r="M139" s="88"/>
    </row>
    <row r="140" spans="2:13" x14ac:dyDescent="0.3">
      <c r="B140" s="76">
        <v>43202</v>
      </c>
      <c r="C140" s="33" t="s">
        <v>341</v>
      </c>
      <c r="D140" s="33" t="s">
        <v>126</v>
      </c>
      <c r="E140" s="33">
        <v>30</v>
      </c>
      <c r="F140" s="33">
        <v>30</v>
      </c>
      <c r="G140" s="87"/>
      <c r="H140" s="87"/>
      <c r="I140" s="88"/>
      <c r="J140" s="88"/>
      <c r="K140" s="88"/>
      <c r="L140" s="88"/>
      <c r="M140" s="88"/>
    </row>
    <row r="141" spans="2:13" x14ac:dyDescent="0.3">
      <c r="B141" s="76">
        <v>43204</v>
      </c>
      <c r="C141" s="33" t="s">
        <v>341</v>
      </c>
      <c r="D141" s="33" t="s">
        <v>123</v>
      </c>
      <c r="E141" s="33">
        <v>180</v>
      </c>
      <c r="F141" s="33">
        <v>180</v>
      </c>
      <c r="G141" s="87"/>
      <c r="H141" s="87"/>
      <c r="I141" s="88"/>
      <c r="J141" s="88"/>
      <c r="K141" s="88"/>
      <c r="L141" s="88"/>
      <c r="M141" s="88"/>
    </row>
    <row r="142" spans="2:13" x14ac:dyDescent="0.3">
      <c r="B142" s="76">
        <v>43204</v>
      </c>
      <c r="C142" s="33" t="s">
        <v>341</v>
      </c>
      <c r="D142" s="33" t="s">
        <v>125</v>
      </c>
      <c r="E142" s="33">
        <v>75</v>
      </c>
      <c r="F142" s="33">
        <v>75</v>
      </c>
      <c r="G142" s="87"/>
      <c r="H142" s="87"/>
      <c r="I142" s="88"/>
      <c r="J142" s="88"/>
      <c r="K142" s="88"/>
      <c r="L142" s="88"/>
      <c r="M142" s="88"/>
    </row>
    <row r="143" spans="2:13" x14ac:dyDescent="0.3">
      <c r="B143" s="76">
        <v>43204</v>
      </c>
      <c r="C143" s="33" t="s">
        <v>341</v>
      </c>
      <c r="D143" s="33" t="s">
        <v>126</v>
      </c>
      <c r="E143" s="33">
        <v>30</v>
      </c>
      <c r="F143" s="33">
        <v>28</v>
      </c>
      <c r="G143" s="87"/>
      <c r="H143" s="87"/>
      <c r="I143" s="88"/>
      <c r="J143" s="88"/>
      <c r="K143" s="88"/>
      <c r="L143" s="88"/>
      <c r="M143" s="88"/>
    </row>
    <row r="144" spans="2:13" x14ac:dyDescent="0.3">
      <c r="B144" s="76">
        <v>43207</v>
      </c>
      <c r="C144" s="33" t="s">
        <v>341</v>
      </c>
      <c r="D144" s="33" t="s">
        <v>123</v>
      </c>
      <c r="E144" s="33">
        <v>180</v>
      </c>
      <c r="F144" s="33">
        <v>180</v>
      </c>
      <c r="G144" s="87"/>
      <c r="H144" s="87"/>
      <c r="I144" s="88"/>
      <c r="J144" s="88"/>
      <c r="K144" s="88"/>
      <c r="L144" s="88"/>
      <c r="M144" s="88"/>
    </row>
    <row r="145" spans="2:13" x14ac:dyDescent="0.3">
      <c r="B145" s="76">
        <v>43207</v>
      </c>
      <c r="C145" s="33" t="s">
        <v>341</v>
      </c>
      <c r="D145" s="33" t="s">
        <v>125</v>
      </c>
      <c r="E145" s="33">
        <v>75</v>
      </c>
      <c r="F145" s="33">
        <v>74</v>
      </c>
      <c r="G145" s="87"/>
      <c r="H145" s="87"/>
      <c r="I145" s="88"/>
      <c r="J145" s="88"/>
      <c r="K145" s="88"/>
      <c r="L145" s="88"/>
      <c r="M145" s="88"/>
    </row>
    <row r="146" spans="2:13" x14ac:dyDescent="0.3">
      <c r="B146" s="76">
        <v>43207</v>
      </c>
      <c r="C146" s="33" t="s">
        <v>341</v>
      </c>
      <c r="D146" s="33" t="s">
        <v>126</v>
      </c>
      <c r="E146" s="33">
        <v>30</v>
      </c>
      <c r="F146" s="33">
        <v>26</v>
      </c>
      <c r="G146" s="87"/>
      <c r="H146" s="87"/>
      <c r="I146" s="88"/>
      <c r="J146" s="88"/>
      <c r="K146" s="88"/>
      <c r="L146" s="88"/>
      <c r="M146" s="88"/>
    </row>
    <row r="147" spans="2:13" x14ac:dyDescent="0.3">
      <c r="B147" s="76">
        <v>43209</v>
      </c>
      <c r="C147" s="33" t="s">
        <v>341</v>
      </c>
      <c r="D147" s="33" t="s">
        <v>123</v>
      </c>
      <c r="E147" s="33">
        <v>180</v>
      </c>
      <c r="F147" s="33">
        <v>178</v>
      </c>
      <c r="G147" s="87"/>
      <c r="H147" s="87"/>
      <c r="I147" s="88"/>
      <c r="J147" s="88"/>
      <c r="K147" s="88"/>
      <c r="L147" s="88"/>
      <c r="M147" s="88"/>
    </row>
    <row r="148" spans="2:13" x14ac:dyDescent="0.3">
      <c r="B148" s="76">
        <v>43209</v>
      </c>
      <c r="C148" s="33" t="s">
        <v>341</v>
      </c>
      <c r="D148" s="33" t="s">
        <v>125</v>
      </c>
      <c r="E148" s="33">
        <v>75</v>
      </c>
      <c r="F148" s="33">
        <v>71</v>
      </c>
      <c r="G148" s="87"/>
      <c r="H148" s="87"/>
      <c r="I148" s="88"/>
      <c r="J148" s="88"/>
      <c r="K148" s="88"/>
      <c r="L148" s="88"/>
      <c r="M148" s="88"/>
    </row>
    <row r="149" spans="2:13" x14ac:dyDescent="0.3">
      <c r="B149" s="76">
        <v>43209</v>
      </c>
      <c r="C149" s="33" t="s">
        <v>341</v>
      </c>
      <c r="D149" s="33" t="s">
        <v>126</v>
      </c>
      <c r="E149" s="33">
        <v>30</v>
      </c>
      <c r="F149" s="33">
        <v>24</v>
      </c>
      <c r="G149" s="87"/>
      <c r="H149" s="87"/>
      <c r="I149" s="88"/>
      <c r="J149" s="88"/>
      <c r="K149" s="88"/>
      <c r="L149" s="88"/>
      <c r="M149" s="88"/>
    </row>
    <row r="150" spans="2:13" x14ac:dyDescent="0.3">
      <c r="B150" s="76">
        <v>43211</v>
      </c>
      <c r="C150" s="33" t="s">
        <v>341</v>
      </c>
      <c r="D150" s="33" t="s">
        <v>123</v>
      </c>
      <c r="E150" s="33">
        <v>180</v>
      </c>
      <c r="F150" s="33">
        <v>180</v>
      </c>
      <c r="G150" s="87"/>
      <c r="H150" s="87"/>
      <c r="I150" s="88"/>
      <c r="J150" s="88"/>
      <c r="K150" s="88"/>
      <c r="L150" s="88"/>
      <c r="M150" s="88"/>
    </row>
    <row r="151" spans="2:13" x14ac:dyDescent="0.3">
      <c r="B151" s="76">
        <v>43211</v>
      </c>
      <c r="C151" s="33" t="s">
        <v>341</v>
      </c>
      <c r="D151" s="33" t="s">
        <v>125</v>
      </c>
      <c r="E151" s="33">
        <v>75</v>
      </c>
      <c r="F151" s="33">
        <v>75</v>
      </c>
      <c r="G151" s="87"/>
      <c r="H151" s="87"/>
      <c r="I151" s="88"/>
      <c r="J151" s="88"/>
      <c r="K151" s="88"/>
      <c r="L151" s="88"/>
      <c r="M151" s="88"/>
    </row>
    <row r="152" spans="2:13" x14ac:dyDescent="0.3">
      <c r="B152" s="76">
        <v>43211</v>
      </c>
      <c r="C152" s="33" t="s">
        <v>341</v>
      </c>
      <c r="D152" s="33" t="s">
        <v>126</v>
      </c>
      <c r="E152" s="33">
        <v>30</v>
      </c>
      <c r="F152" s="33">
        <v>30</v>
      </c>
      <c r="G152" s="87"/>
      <c r="H152" s="87"/>
      <c r="I152" s="88"/>
      <c r="J152" s="88"/>
      <c r="K152" s="88"/>
      <c r="L152" s="88"/>
      <c r="M152" s="88"/>
    </row>
    <row r="153" spans="2:13" x14ac:dyDescent="0.3">
      <c r="B153" s="76">
        <v>43214</v>
      </c>
      <c r="C153" s="33" t="s">
        <v>341</v>
      </c>
      <c r="D153" s="33" t="s">
        <v>123</v>
      </c>
      <c r="E153" s="33">
        <v>180</v>
      </c>
      <c r="F153" s="33">
        <v>168</v>
      </c>
      <c r="G153" s="87"/>
      <c r="H153" s="87"/>
      <c r="I153" s="88"/>
      <c r="J153" s="88"/>
      <c r="K153" s="88"/>
      <c r="L153" s="88"/>
      <c r="M153" s="88"/>
    </row>
    <row r="154" spans="2:13" x14ac:dyDescent="0.3">
      <c r="B154" s="76">
        <v>43214</v>
      </c>
      <c r="C154" s="33" t="s">
        <v>341</v>
      </c>
      <c r="D154" s="33" t="s">
        <v>125</v>
      </c>
      <c r="E154" s="33">
        <v>75</v>
      </c>
      <c r="F154" s="33">
        <v>67</v>
      </c>
      <c r="G154" s="87"/>
      <c r="H154" s="87"/>
      <c r="I154" s="88"/>
      <c r="J154" s="88"/>
      <c r="K154" s="88"/>
      <c r="L154" s="88"/>
      <c r="M154" s="88"/>
    </row>
    <row r="155" spans="2:13" x14ac:dyDescent="0.3">
      <c r="B155" s="76">
        <v>43214</v>
      </c>
      <c r="C155" s="33" t="s">
        <v>341</v>
      </c>
      <c r="D155" s="33" t="s">
        <v>126</v>
      </c>
      <c r="E155" s="33">
        <v>30</v>
      </c>
      <c r="F155" s="33">
        <v>20</v>
      </c>
      <c r="G155" s="87"/>
      <c r="H155" s="87"/>
      <c r="I155" s="88"/>
      <c r="J155" s="88"/>
      <c r="K155" s="88"/>
      <c r="L155" s="88"/>
      <c r="M155" s="88"/>
    </row>
    <row r="156" spans="2:13" x14ac:dyDescent="0.3">
      <c r="B156" s="76">
        <v>43216</v>
      </c>
      <c r="C156" s="33" t="s">
        <v>341</v>
      </c>
      <c r="D156" s="33" t="s">
        <v>123</v>
      </c>
      <c r="E156" s="33">
        <v>180</v>
      </c>
      <c r="F156" s="33">
        <v>180</v>
      </c>
      <c r="G156" s="87"/>
      <c r="H156" s="87"/>
      <c r="I156" s="88"/>
      <c r="J156" s="88"/>
      <c r="K156" s="88"/>
      <c r="L156" s="88"/>
      <c r="M156" s="88"/>
    </row>
    <row r="157" spans="2:13" x14ac:dyDescent="0.3">
      <c r="B157" s="76">
        <v>43216</v>
      </c>
      <c r="C157" s="33" t="s">
        <v>341</v>
      </c>
      <c r="D157" s="33" t="s">
        <v>125</v>
      </c>
      <c r="E157" s="33">
        <v>75</v>
      </c>
      <c r="F157" s="33">
        <v>74</v>
      </c>
      <c r="G157" s="87"/>
      <c r="H157" s="87"/>
      <c r="I157" s="88"/>
      <c r="J157" s="88"/>
      <c r="K157" s="88"/>
      <c r="L157" s="88"/>
      <c r="M157" s="88"/>
    </row>
    <row r="158" spans="2:13" x14ac:dyDescent="0.3">
      <c r="B158" s="76">
        <v>43216</v>
      </c>
      <c r="C158" s="33" t="s">
        <v>341</v>
      </c>
      <c r="D158" s="33" t="s">
        <v>126</v>
      </c>
      <c r="E158" s="33">
        <v>30</v>
      </c>
      <c r="F158" s="33">
        <v>28</v>
      </c>
      <c r="G158" s="87"/>
      <c r="H158" s="87"/>
      <c r="I158" s="88"/>
      <c r="J158" s="88"/>
      <c r="K158" s="88"/>
      <c r="L158" s="88"/>
      <c r="M158" s="88"/>
    </row>
    <row r="159" spans="2:13" x14ac:dyDescent="0.3">
      <c r="B159" s="76">
        <v>43218</v>
      </c>
      <c r="C159" s="33" t="s">
        <v>341</v>
      </c>
      <c r="D159" s="33" t="s">
        <v>123</v>
      </c>
      <c r="E159" s="33">
        <v>180</v>
      </c>
      <c r="F159" s="33">
        <v>180</v>
      </c>
      <c r="G159" s="87"/>
      <c r="H159" s="87"/>
      <c r="I159" s="88"/>
      <c r="J159" s="88"/>
      <c r="K159" s="88"/>
      <c r="L159" s="88"/>
      <c r="M159" s="88"/>
    </row>
    <row r="160" spans="2:13" x14ac:dyDescent="0.3">
      <c r="B160" s="76">
        <v>43218</v>
      </c>
      <c r="C160" s="33" t="s">
        <v>341</v>
      </c>
      <c r="D160" s="33" t="s">
        <v>125</v>
      </c>
      <c r="E160" s="33">
        <v>75</v>
      </c>
      <c r="F160" s="33">
        <v>75</v>
      </c>
      <c r="G160" s="87"/>
      <c r="H160" s="87"/>
      <c r="I160" s="88"/>
      <c r="J160" s="88"/>
      <c r="K160" s="88"/>
      <c r="L160" s="88"/>
      <c r="M160" s="88"/>
    </row>
    <row r="161" spans="2:13" x14ac:dyDescent="0.3">
      <c r="B161" s="76">
        <v>43218</v>
      </c>
      <c r="C161" s="33" t="s">
        <v>341</v>
      </c>
      <c r="D161" s="33" t="s">
        <v>126</v>
      </c>
      <c r="E161" s="33">
        <v>30</v>
      </c>
      <c r="F161" s="33">
        <v>30</v>
      </c>
      <c r="G161" s="87"/>
      <c r="H161" s="87"/>
      <c r="I161" s="88"/>
      <c r="J161" s="88"/>
      <c r="K161" s="88"/>
      <c r="L161" s="88"/>
      <c r="M161" s="88"/>
    </row>
    <row r="162" spans="2:13" x14ac:dyDescent="0.3">
      <c r="B162" s="76">
        <v>43221</v>
      </c>
      <c r="C162" s="33" t="s">
        <v>341</v>
      </c>
      <c r="D162" s="33" t="s">
        <v>123</v>
      </c>
      <c r="E162" s="33">
        <v>180</v>
      </c>
      <c r="F162" s="33">
        <v>178</v>
      </c>
      <c r="G162" s="87"/>
      <c r="H162" s="87"/>
      <c r="I162" s="88"/>
      <c r="J162" s="88"/>
      <c r="K162" s="88"/>
      <c r="L162" s="88"/>
      <c r="M162" s="88"/>
    </row>
    <row r="163" spans="2:13" x14ac:dyDescent="0.3">
      <c r="B163" s="76">
        <v>43221</v>
      </c>
      <c r="C163" s="33" t="s">
        <v>341</v>
      </c>
      <c r="D163" s="33" t="s">
        <v>125</v>
      </c>
      <c r="E163" s="33">
        <v>75</v>
      </c>
      <c r="F163" s="33">
        <v>71</v>
      </c>
      <c r="G163" s="87"/>
      <c r="H163" s="87"/>
      <c r="I163" s="88"/>
      <c r="J163" s="88"/>
      <c r="K163" s="88"/>
      <c r="L163" s="88"/>
      <c r="M163" s="88"/>
    </row>
    <row r="164" spans="2:13" x14ac:dyDescent="0.3">
      <c r="B164" s="76">
        <v>43221</v>
      </c>
      <c r="C164" s="33" t="s">
        <v>341</v>
      </c>
      <c r="D164" s="33" t="s">
        <v>126</v>
      </c>
      <c r="E164" s="33">
        <v>30</v>
      </c>
      <c r="F164" s="33">
        <v>28</v>
      </c>
      <c r="G164" s="87"/>
      <c r="H164" s="87"/>
      <c r="I164" s="88"/>
      <c r="J164" s="88"/>
      <c r="K164" s="88"/>
      <c r="L164" s="88"/>
      <c r="M164" s="88"/>
    </row>
    <row r="165" spans="2:13" x14ac:dyDescent="0.3">
      <c r="B165" s="76">
        <v>43223</v>
      </c>
      <c r="C165" s="33" t="s">
        <v>341</v>
      </c>
      <c r="D165" s="33" t="s">
        <v>123</v>
      </c>
      <c r="E165" s="33">
        <v>180</v>
      </c>
      <c r="F165" s="33">
        <v>180</v>
      </c>
      <c r="G165" s="87"/>
      <c r="H165" s="87"/>
      <c r="I165" s="88"/>
      <c r="J165" s="88"/>
      <c r="K165" s="88"/>
      <c r="L165" s="88"/>
      <c r="M165" s="88"/>
    </row>
    <row r="166" spans="2:13" x14ac:dyDescent="0.3">
      <c r="B166" s="76">
        <v>43223</v>
      </c>
      <c r="C166" s="33" t="s">
        <v>341</v>
      </c>
      <c r="D166" s="33" t="s">
        <v>125</v>
      </c>
      <c r="E166" s="33">
        <v>75</v>
      </c>
      <c r="F166" s="33">
        <v>70</v>
      </c>
      <c r="G166" s="87"/>
      <c r="H166" s="87"/>
      <c r="I166" s="88"/>
      <c r="J166" s="88"/>
      <c r="K166" s="88"/>
      <c r="L166" s="88"/>
      <c r="M166" s="88"/>
    </row>
    <row r="167" spans="2:13" x14ac:dyDescent="0.3">
      <c r="B167" s="76">
        <v>43223</v>
      </c>
      <c r="C167" s="33" t="s">
        <v>341</v>
      </c>
      <c r="D167" s="33" t="s">
        <v>126</v>
      </c>
      <c r="E167" s="33">
        <v>30</v>
      </c>
      <c r="F167" s="33">
        <v>23</v>
      </c>
      <c r="G167" s="87"/>
      <c r="H167" s="87"/>
      <c r="I167" s="88"/>
      <c r="J167" s="88"/>
      <c r="K167" s="88"/>
      <c r="L167" s="88"/>
      <c r="M167" s="88"/>
    </row>
    <row r="168" spans="2:13" x14ac:dyDescent="0.3">
      <c r="B168" s="76">
        <v>43225</v>
      </c>
      <c r="C168" s="33" t="s">
        <v>341</v>
      </c>
      <c r="D168" s="33" t="s">
        <v>123</v>
      </c>
      <c r="E168" s="33">
        <v>180</v>
      </c>
      <c r="F168" s="33">
        <v>180</v>
      </c>
      <c r="G168" s="87"/>
      <c r="H168" s="87"/>
      <c r="I168" s="88"/>
      <c r="J168" s="88"/>
      <c r="K168" s="88"/>
      <c r="L168" s="88"/>
      <c r="M168" s="88"/>
    </row>
    <row r="169" spans="2:13" x14ac:dyDescent="0.3">
      <c r="B169" s="76">
        <v>43225</v>
      </c>
      <c r="C169" s="33" t="s">
        <v>341</v>
      </c>
      <c r="D169" s="33" t="s">
        <v>125</v>
      </c>
      <c r="E169" s="33">
        <v>75</v>
      </c>
      <c r="F169" s="33">
        <v>75</v>
      </c>
      <c r="G169" s="87"/>
      <c r="H169" s="87"/>
      <c r="I169" s="88"/>
      <c r="J169" s="88"/>
      <c r="K169" s="88"/>
      <c r="L169" s="88"/>
      <c r="M169" s="88"/>
    </row>
    <row r="170" spans="2:13" x14ac:dyDescent="0.3">
      <c r="B170" s="76">
        <v>43225</v>
      </c>
      <c r="C170" s="33" t="s">
        <v>341</v>
      </c>
      <c r="D170" s="33" t="s">
        <v>126</v>
      </c>
      <c r="E170" s="33">
        <v>30</v>
      </c>
      <c r="F170" s="33">
        <v>30</v>
      </c>
      <c r="G170" s="87"/>
      <c r="H170" s="87"/>
      <c r="I170" s="88"/>
      <c r="J170" s="88"/>
      <c r="K170" s="88"/>
      <c r="L170" s="88"/>
      <c r="M170" s="88"/>
    </row>
    <row r="171" spans="2:13" x14ac:dyDescent="0.3">
      <c r="B171" s="76">
        <v>43228</v>
      </c>
      <c r="C171" s="33" t="s">
        <v>341</v>
      </c>
      <c r="D171" s="33" t="s">
        <v>123</v>
      </c>
      <c r="E171" s="33">
        <v>180</v>
      </c>
      <c r="F171" s="33">
        <v>177</v>
      </c>
      <c r="G171" s="87"/>
      <c r="H171" s="87"/>
      <c r="I171" s="88"/>
      <c r="J171" s="88"/>
      <c r="K171" s="88"/>
      <c r="L171" s="88"/>
      <c r="M171" s="88"/>
    </row>
    <row r="172" spans="2:13" x14ac:dyDescent="0.3">
      <c r="B172" s="76">
        <v>43228</v>
      </c>
      <c r="C172" s="33" t="s">
        <v>341</v>
      </c>
      <c r="D172" s="33" t="s">
        <v>125</v>
      </c>
      <c r="E172" s="33">
        <v>75</v>
      </c>
      <c r="F172" s="33">
        <v>70</v>
      </c>
      <c r="G172" s="87"/>
      <c r="H172" s="87"/>
      <c r="I172" s="88"/>
      <c r="J172" s="88"/>
      <c r="K172" s="88"/>
      <c r="L172" s="88"/>
      <c r="M172" s="88"/>
    </row>
    <row r="173" spans="2:13" x14ac:dyDescent="0.3">
      <c r="B173" s="76">
        <v>43228</v>
      </c>
      <c r="C173" s="33" t="s">
        <v>341</v>
      </c>
      <c r="D173" s="33" t="s">
        <v>126</v>
      </c>
      <c r="E173" s="33">
        <v>30</v>
      </c>
      <c r="F173" s="33">
        <v>23</v>
      </c>
      <c r="G173" s="87"/>
      <c r="H173" s="87"/>
      <c r="I173" s="88"/>
      <c r="J173" s="88"/>
      <c r="K173" s="88"/>
      <c r="L173" s="88"/>
      <c r="M173" s="88"/>
    </row>
    <row r="174" spans="2:13" x14ac:dyDescent="0.3">
      <c r="B174" s="76">
        <v>43230</v>
      </c>
      <c r="C174" s="33" t="s">
        <v>341</v>
      </c>
      <c r="D174" s="33" t="s">
        <v>123</v>
      </c>
      <c r="E174" s="33">
        <v>180</v>
      </c>
      <c r="F174" s="33">
        <v>180</v>
      </c>
      <c r="G174" s="87"/>
      <c r="H174" s="87"/>
      <c r="I174" s="88"/>
      <c r="J174" s="88"/>
      <c r="K174" s="88"/>
      <c r="L174" s="88"/>
      <c r="M174" s="88"/>
    </row>
    <row r="175" spans="2:13" x14ac:dyDescent="0.3">
      <c r="B175" s="76">
        <v>43230</v>
      </c>
      <c r="C175" s="33" t="s">
        <v>341</v>
      </c>
      <c r="D175" s="33" t="s">
        <v>125</v>
      </c>
      <c r="E175" s="33">
        <v>75</v>
      </c>
      <c r="F175" s="33">
        <v>74</v>
      </c>
      <c r="G175" s="87"/>
      <c r="H175" s="87"/>
      <c r="I175" s="88"/>
      <c r="J175" s="88"/>
      <c r="K175" s="88"/>
      <c r="L175" s="88"/>
      <c r="M175" s="88"/>
    </row>
    <row r="176" spans="2:13" x14ac:dyDescent="0.3">
      <c r="B176" s="76">
        <v>43230</v>
      </c>
      <c r="C176" s="33" t="s">
        <v>341</v>
      </c>
      <c r="D176" s="33" t="s">
        <v>126</v>
      </c>
      <c r="E176" s="33">
        <v>30</v>
      </c>
      <c r="F176" s="33">
        <v>27</v>
      </c>
      <c r="G176" s="87"/>
      <c r="H176" s="87"/>
      <c r="I176" s="88"/>
      <c r="J176" s="88"/>
      <c r="K176" s="88"/>
      <c r="L176" s="88"/>
      <c r="M176" s="88"/>
    </row>
    <row r="177" spans="2:13" x14ac:dyDescent="0.3">
      <c r="B177" s="76">
        <v>43232</v>
      </c>
      <c r="C177" s="33" t="s">
        <v>341</v>
      </c>
      <c r="D177" s="33" t="s">
        <v>123</v>
      </c>
      <c r="E177" s="33">
        <v>180</v>
      </c>
      <c r="F177" s="33">
        <v>180</v>
      </c>
      <c r="G177" s="87"/>
      <c r="H177" s="87"/>
      <c r="I177" s="88"/>
      <c r="J177" s="88"/>
      <c r="K177" s="88"/>
      <c r="L177" s="88"/>
      <c r="M177" s="88"/>
    </row>
    <row r="178" spans="2:13" x14ac:dyDescent="0.3">
      <c r="B178" s="76">
        <v>43232</v>
      </c>
      <c r="C178" s="33" t="s">
        <v>341</v>
      </c>
      <c r="D178" s="33" t="s">
        <v>125</v>
      </c>
      <c r="E178" s="33">
        <v>75</v>
      </c>
      <c r="F178" s="33">
        <v>75</v>
      </c>
      <c r="G178" s="87"/>
      <c r="H178" s="87"/>
      <c r="I178" s="88"/>
      <c r="J178" s="88"/>
      <c r="K178" s="88"/>
      <c r="L178" s="88"/>
      <c r="M178" s="88"/>
    </row>
    <row r="179" spans="2:13" x14ac:dyDescent="0.3">
      <c r="B179" s="76">
        <v>43232</v>
      </c>
      <c r="C179" s="33" t="s">
        <v>341</v>
      </c>
      <c r="D179" s="33" t="s">
        <v>126</v>
      </c>
      <c r="E179" s="33">
        <v>30</v>
      </c>
      <c r="F179" s="33">
        <v>30</v>
      </c>
      <c r="G179" s="87"/>
      <c r="H179" s="87"/>
      <c r="I179" s="88"/>
      <c r="J179" s="88"/>
      <c r="K179" s="88"/>
      <c r="L179" s="88"/>
      <c r="M179" s="88"/>
    </row>
    <row r="180" spans="2:13" x14ac:dyDescent="0.3">
      <c r="B180" s="76">
        <v>43235</v>
      </c>
      <c r="C180" s="33" t="s">
        <v>341</v>
      </c>
      <c r="D180" s="33" t="s">
        <v>123</v>
      </c>
      <c r="E180" s="33">
        <v>180</v>
      </c>
      <c r="F180" s="33">
        <v>180</v>
      </c>
      <c r="G180" s="87"/>
      <c r="H180" s="87"/>
      <c r="I180" s="88"/>
      <c r="J180" s="88"/>
      <c r="K180" s="88"/>
      <c r="L180" s="88"/>
      <c r="M180" s="88"/>
    </row>
    <row r="181" spans="2:13" x14ac:dyDescent="0.3">
      <c r="B181" s="76">
        <v>43235</v>
      </c>
      <c r="C181" s="33" t="s">
        <v>341</v>
      </c>
      <c r="D181" s="33" t="s">
        <v>125</v>
      </c>
      <c r="E181" s="33">
        <v>75</v>
      </c>
      <c r="F181" s="33">
        <v>71</v>
      </c>
      <c r="G181" s="87"/>
      <c r="H181" s="87"/>
      <c r="I181" s="88"/>
      <c r="J181" s="88"/>
      <c r="K181" s="88"/>
      <c r="L181" s="88"/>
      <c r="M181" s="88"/>
    </row>
    <row r="182" spans="2:13" x14ac:dyDescent="0.3">
      <c r="B182" s="76">
        <v>43235</v>
      </c>
      <c r="C182" s="33" t="s">
        <v>341</v>
      </c>
      <c r="D182" s="33" t="s">
        <v>126</v>
      </c>
      <c r="E182" s="33">
        <v>30</v>
      </c>
      <c r="F182" s="33">
        <v>25</v>
      </c>
      <c r="G182" s="87"/>
      <c r="H182" s="87"/>
      <c r="I182" s="88"/>
      <c r="J182" s="88"/>
      <c r="K182" s="88"/>
      <c r="L182" s="88"/>
      <c r="M182" s="88"/>
    </row>
    <row r="183" spans="2:13" x14ac:dyDescent="0.3">
      <c r="B183" s="76">
        <v>43237</v>
      </c>
      <c r="C183" s="33" t="s">
        <v>341</v>
      </c>
      <c r="D183" s="33" t="s">
        <v>123</v>
      </c>
      <c r="E183" s="33">
        <v>180</v>
      </c>
      <c r="F183" s="33">
        <v>174</v>
      </c>
      <c r="G183" s="87"/>
      <c r="H183" s="87"/>
      <c r="I183" s="88"/>
      <c r="J183" s="88"/>
      <c r="K183" s="88"/>
      <c r="L183" s="88"/>
      <c r="M183" s="88"/>
    </row>
    <row r="184" spans="2:13" x14ac:dyDescent="0.3">
      <c r="B184" s="76">
        <v>43237</v>
      </c>
      <c r="C184" s="33" t="s">
        <v>341</v>
      </c>
      <c r="D184" s="33" t="s">
        <v>125</v>
      </c>
      <c r="E184" s="33">
        <v>75</v>
      </c>
      <c r="F184" s="33">
        <v>70</v>
      </c>
      <c r="G184" s="87"/>
      <c r="H184" s="87"/>
      <c r="I184" s="88"/>
      <c r="J184" s="88"/>
      <c r="K184" s="88"/>
      <c r="L184" s="88"/>
      <c r="M184" s="88"/>
    </row>
    <row r="185" spans="2:13" x14ac:dyDescent="0.3">
      <c r="B185" s="76">
        <v>43237</v>
      </c>
      <c r="C185" s="33" t="s">
        <v>341</v>
      </c>
      <c r="D185" s="33" t="s">
        <v>126</v>
      </c>
      <c r="E185" s="33">
        <v>30</v>
      </c>
      <c r="F185" s="33">
        <v>28</v>
      </c>
      <c r="G185" s="87"/>
      <c r="H185" s="87"/>
      <c r="I185" s="88"/>
      <c r="J185" s="88"/>
      <c r="K185" s="88"/>
      <c r="L185" s="88"/>
      <c r="M185" s="88"/>
    </row>
    <row r="186" spans="2:13" x14ac:dyDescent="0.3">
      <c r="B186" s="76">
        <v>43239</v>
      </c>
      <c r="C186" s="33" t="s">
        <v>341</v>
      </c>
      <c r="D186" s="33" t="s">
        <v>123</v>
      </c>
      <c r="E186" s="33">
        <v>180</v>
      </c>
      <c r="F186" s="33">
        <v>180</v>
      </c>
      <c r="G186" s="87"/>
      <c r="H186" s="87"/>
      <c r="I186" s="88"/>
      <c r="J186" s="88"/>
      <c r="K186" s="88"/>
      <c r="L186" s="88"/>
      <c r="M186" s="88"/>
    </row>
    <row r="187" spans="2:13" x14ac:dyDescent="0.3">
      <c r="B187" s="76">
        <v>43239</v>
      </c>
      <c r="C187" s="33" t="s">
        <v>341</v>
      </c>
      <c r="D187" s="33" t="s">
        <v>125</v>
      </c>
      <c r="E187" s="33">
        <v>75</v>
      </c>
      <c r="F187" s="33">
        <v>75</v>
      </c>
      <c r="G187" s="87"/>
      <c r="H187" s="87"/>
      <c r="I187" s="88"/>
      <c r="J187" s="88"/>
      <c r="K187" s="88"/>
      <c r="L187" s="88"/>
      <c r="M187" s="88"/>
    </row>
    <row r="188" spans="2:13" x14ac:dyDescent="0.3">
      <c r="B188" s="76">
        <v>43239</v>
      </c>
      <c r="C188" s="33" t="s">
        <v>341</v>
      </c>
      <c r="D188" s="33" t="s">
        <v>126</v>
      </c>
      <c r="E188" s="33">
        <v>30</v>
      </c>
      <c r="F188" s="33">
        <v>30</v>
      </c>
      <c r="G188" s="87"/>
      <c r="H188" s="87"/>
      <c r="I188" s="88"/>
      <c r="J188" s="88"/>
      <c r="K188" s="88"/>
      <c r="L188" s="88"/>
      <c r="M188" s="88"/>
    </row>
    <row r="189" spans="2:13" x14ac:dyDescent="0.3">
      <c r="B189" s="76">
        <v>43242</v>
      </c>
      <c r="C189" s="33" t="s">
        <v>341</v>
      </c>
      <c r="D189" s="33" t="s">
        <v>123</v>
      </c>
      <c r="E189" s="33">
        <v>180</v>
      </c>
      <c r="F189" s="33">
        <v>180</v>
      </c>
      <c r="G189" s="87"/>
      <c r="H189" s="87"/>
      <c r="I189" s="88"/>
      <c r="J189" s="88"/>
      <c r="K189" s="88"/>
      <c r="L189" s="88"/>
      <c r="M189" s="88"/>
    </row>
    <row r="190" spans="2:13" x14ac:dyDescent="0.3">
      <c r="B190" s="76">
        <v>43242</v>
      </c>
      <c r="C190" s="33" t="s">
        <v>341</v>
      </c>
      <c r="D190" s="33" t="s">
        <v>125</v>
      </c>
      <c r="E190" s="33">
        <v>75</v>
      </c>
      <c r="F190" s="33">
        <v>75</v>
      </c>
      <c r="G190" s="87"/>
      <c r="H190" s="87"/>
      <c r="I190" s="88"/>
      <c r="J190" s="88"/>
      <c r="K190" s="88"/>
      <c r="L190" s="88"/>
      <c r="M190" s="88"/>
    </row>
    <row r="191" spans="2:13" x14ac:dyDescent="0.3">
      <c r="B191" s="76">
        <v>43242</v>
      </c>
      <c r="C191" s="33" t="s">
        <v>341</v>
      </c>
      <c r="D191" s="33" t="s">
        <v>126</v>
      </c>
      <c r="E191" s="33">
        <v>30</v>
      </c>
      <c r="F191" s="33">
        <v>30</v>
      </c>
      <c r="G191" s="87"/>
      <c r="H191" s="87"/>
      <c r="I191" s="88"/>
      <c r="J191" s="88"/>
      <c r="K191" s="88"/>
      <c r="L191" s="88"/>
      <c r="M191" s="88"/>
    </row>
    <row r="192" spans="2:13" x14ac:dyDescent="0.3">
      <c r="B192" s="76">
        <v>43244</v>
      </c>
      <c r="C192" s="33" t="s">
        <v>341</v>
      </c>
      <c r="D192" s="33" t="s">
        <v>123</v>
      </c>
      <c r="E192" s="33">
        <v>180</v>
      </c>
      <c r="F192" s="33">
        <v>180</v>
      </c>
      <c r="G192" s="87"/>
      <c r="H192" s="87"/>
      <c r="I192" s="88"/>
      <c r="J192" s="88"/>
      <c r="K192" s="88"/>
      <c r="L192" s="88"/>
      <c r="M192" s="88"/>
    </row>
    <row r="193" spans="2:13" x14ac:dyDescent="0.3">
      <c r="B193" s="76">
        <v>43244</v>
      </c>
      <c r="C193" s="33" t="s">
        <v>341</v>
      </c>
      <c r="D193" s="33" t="s">
        <v>125</v>
      </c>
      <c r="E193" s="33">
        <v>75</v>
      </c>
      <c r="F193" s="33">
        <v>75</v>
      </c>
      <c r="G193" s="87"/>
      <c r="H193" s="87"/>
      <c r="I193" s="88"/>
      <c r="J193" s="88"/>
      <c r="K193" s="88"/>
      <c r="L193" s="88"/>
      <c r="M193" s="88"/>
    </row>
    <row r="194" spans="2:13" x14ac:dyDescent="0.3">
      <c r="B194" s="76">
        <v>43244</v>
      </c>
      <c r="C194" s="33" t="s">
        <v>341</v>
      </c>
      <c r="D194" s="33" t="s">
        <v>126</v>
      </c>
      <c r="E194" s="33">
        <v>30</v>
      </c>
      <c r="F194" s="33">
        <v>28</v>
      </c>
      <c r="G194" s="87"/>
      <c r="H194" s="87"/>
      <c r="I194" s="88"/>
      <c r="J194" s="88"/>
      <c r="K194" s="88"/>
      <c r="L194" s="88"/>
      <c r="M194" s="88"/>
    </row>
    <row r="195" spans="2:13" x14ac:dyDescent="0.3">
      <c r="B195" s="76">
        <v>43246</v>
      </c>
      <c r="C195" s="33" t="s">
        <v>341</v>
      </c>
      <c r="D195" s="33" t="s">
        <v>123</v>
      </c>
      <c r="E195" s="33">
        <v>180</v>
      </c>
      <c r="F195" s="33">
        <v>180</v>
      </c>
      <c r="G195" s="87"/>
      <c r="H195" s="87"/>
      <c r="I195" s="88"/>
      <c r="J195" s="88"/>
      <c r="K195" s="88"/>
      <c r="L195" s="88"/>
      <c r="M195" s="88"/>
    </row>
    <row r="196" spans="2:13" x14ac:dyDescent="0.3">
      <c r="B196" s="76">
        <v>43246</v>
      </c>
      <c r="C196" s="33" t="s">
        <v>341</v>
      </c>
      <c r="D196" s="33" t="s">
        <v>125</v>
      </c>
      <c r="E196" s="33">
        <v>75</v>
      </c>
      <c r="F196" s="33">
        <v>75</v>
      </c>
      <c r="G196" s="87"/>
      <c r="H196" s="87"/>
      <c r="I196" s="88"/>
      <c r="J196" s="88"/>
      <c r="K196" s="88"/>
      <c r="L196" s="88"/>
      <c r="M196" s="88"/>
    </row>
    <row r="197" spans="2:13" x14ac:dyDescent="0.3">
      <c r="B197" s="76">
        <v>43246</v>
      </c>
      <c r="C197" s="33" t="s">
        <v>341</v>
      </c>
      <c r="D197" s="33" t="s">
        <v>126</v>
      </c>
      <c r="E197" s="33">
        <v>30</v>
      </c>
      <c r="F197" s="33">
        <v>22</v>
      </c>
      <c r="G197" s="87"/>
      <c r="H197" s="87"/>
      <c r="I197" s="88"/>
      <c r="J197" s="88"/>
      <c r="K197" s="88"/>
      <c r="L197" s="88"/>
      <c r="M197" s="88"/>
    </row>
    <row r="198" spans="2:13" x14ac:dyDescent="0.3">
      <c r="B198" s="76">
        <v>43249</v>
      </c>
      <c r="C198" s="33" t="s">
        <v>341</v>
      </c>
      <c r="D198" s="33" t="s">
        <v>123</v>
      </c>
      <c r="E198" s="33">
        <v>180</v>
      </c>
      <c r="F198" s="33">
        <v>177</v>
      </c>
      <c r="G198" s="87"/>
      <c r="H198" s="87"/>
      <c r="I198" s="88"/>
      <c r="J198" s="88"/>
      <c r="K198" s="88"/>
      <c r="L198" s="88"/>
      <c r="M198" s="88"/>
    </row>
    <row r="199" spans="2:13" x14ac:dyDescent="0.3">
      <c r="B199" s="76">
        <v>43249</v>
      </c>
      <c r="C199" s="33" t="s">
        <v>341</v>
      </c>
      <c r="D199" s="33" t="s">
        <v>125</v>
      </c>
      <c r="E199" s="33">
        <v>75</v>
      </c>
      <c r="F199" s="33">
        <v>70</v>
      </c>
      <c r="G199" s="87"/>
      <c r="H199" s="87"/>
      <c r="I199" s="88"/>
      <c r="J199" s="88"/>
      <c r="K199" s="88"/>
      <c r="L199" s="88"/>
      <c r="M199" s="88"/>
    </row>
    <row r="200" spans="2:13" x14ac:dyDescent="0.3">
      <c r="B200" s="76">
        <v>43249</v>
      </c>
      <c r="C200" s="33" t="s">
        <v>341</v>
      </c>
      <c r="D200" s="33" t="s">
        <v>126</v>
      </c>
      <c r="E200" s="33">
        <v>30</v>
      </c>
      <c r="F200" s="33">
        <v>22</v>
      </c>
      <c r="G200" s="87"/>
      <c r="H200" s="87"/>
      <c r="I200" s="88"/>
      <c r="J200" s="88"/>
      <c r="K200" s="88"/>
      <c r="L200" s="88"/>
      <c r="M200" s="88"/>
    </row>
    <row r="201" spans="2:13" x14ac:dyDescent="0.3">
      <c r="B201" s="76">
        <v>43251</v>
      </c>
      <c r="C201" s="33" t="s">
        <v>341</v>
      </c>
      <c r="D201" s="33" t="s">
        <v>123</v>
      </c>
      <c r="E201" s="33">
        <v>180</v>
      </c>
      <c r="F201" s="33">
        <v>180</v>
      </c>
      <c r="G201" s="87"/>
      <c r="H201" s="87"/>
      <c r="I201" s="88"/>
      <c r="J201" s="88"/>
      <c r="K201" s="88"/>
      <c r="L201" s="88"/>
      <c r="M201" s="88"/>
    </row>
    <row r="202" spans="2:13" x14ac:dyDescent="0.3">
      <c r="B202" s="76">
        <v>43251</v>
      </c>
      <c r="C202" s="33" t="s">
        <v>341</v>
      </c>
      <c r="D202" s="33" t="s">
        <v>125</v>
      </c>
      <c r="E202" s="33">
        <v>75</v>
      </c>
      <c r="F202" s="33">
        <v>70</v>
      </c>
      <c r="G202" s="87"/>
      <c r="H202" s="87"/>
      <c r="I202" s="88"/>
      <c r="J202" s="88"/>
      <c r="K202" s="88"/>
      <c r="L202" s="88"/>
      <c r="M202" s="88"/>
    </row>
    <row r="203" spans="2:13" x14ac:dyDescent="0.3">
      <c r="B203" s="76">
        <v>43251</v>
      </c>
      <c r="C203" s="33" t="s">
        <v>341</v>
      </c>
      <c r="D203" s="33" t="s">
        <v>126</v>
      </c>
      <c r="E203" s="33">
        <v>30</v>
      </c>
      <c r="F203" s="33">
        <v>25</v>
      </c>
      <c r="G203" s="87"/>
      <c r="H203" s="87"/>
      <c r="I203" s="88"/>
      <c r="J203" s="88"/>
      <c r="K203" s="88"/>
      <c r="L203" s="88"/>
      <c r="M203" s="88"/>
    </row>
    <row r="204" spans="2:13" x14ac:dyDescent="0.3">
      <c r="B204" s="76">
        <v>43253</v>
      </c>
      <c r="C204" s="33" t="s">
        <v>341</v>
      </c>
      <c r="D204" s="33" t="s">
        <v>123</v>
      </c>
      <c r="E204" s="33">
        <v>180</v>
      </c>
      <c r="F204" s="33">
        <v>180</v>
      </c>
      <c r="G204" s="87"/>
      <c r="H204" s="87"/>
      <c r="I204" s="88"/>
      <c r="J204" s="88"/>
      <c r="K204" s="88"/>
      <c r="L204" s="88"/>
      <c r="M204" s="88"/>
    </row>
    <row r="205" spans="2:13" x14ac:dyDescent="0.3">
      <c r="B205" s="76">
        <v>43253</v>
      </c>
      <c r="C205" s="33" t="s">
        <v>341</v>
      </c>
      <c r="D205" s="33" t="s">
        <v>125</v>
      </c>
      <c r="E205" s="33">
        <v>75</v>
      </c>
      <c r="F205" s="33">
        <v>75</v>
      </c>
      <c r="G205" s="87"/>
      <c r="H205" s="87"/>
      <c r="I205" s="88"/>
      <c r="J205" s="88"/>
      <c r="K205" s="88"/>
      <c r="L205" s="88"/>
      <c r="M205" s="88"/>
    </row>
    <row r="206" spans="2:13" x14ac:dyDescent="0.3">
      <c r="B206" s="76">
        <v>43253</v>
      </c>
      <c r="C206" s="33" t="s">
        <v>341</v>
      </c>
      <c r="D206" s="33" t="s">
        <v>126</v>
      </c>
      <c r="E206" s="33">
        <v>30</v>
      </c>
      <c r="F206" s="33">
        <v>30</v>
      </c>
      <c r="G206" s="87"/>
      <c r="H206" s="87"/>
      <c r="I206" s="88"/>
      <c r="J206" s="88"/>
      <c r="K206" s="88"/>
      <c r="L206" s="88"/>
      <c r="M206" s="88"/>
    </row>
    <row r="207" spans="2:13" x14ac:dyDescent="0.3">
      <c r="B207" s="76">
        <v>43256</v>
      </c>
      <c r="C207" s="33" t="s">
        <v>341</v>
      </c>
      <c r="D207" s="33" t="s">
        <v>123</v>
      </c>
      <c r="E207" s="33">
        <v>180</v>
      </c>
      <c r="F207" s="33">
        <v>180</v>
      </c>
      <c r="G207" s="87"/>
      <c r="H207" s="87"/>
      <c r="I207" s="88"/>
      <c r="J207" s="88"/>
      <c r="K207" s="88"/>
      <c r="L207" s="88"/>
      <c r="M207" s="88"/>
    </row>
    <row r="208" spans="2:13" x14ac:dyDescent="0.3">
      <c r="B208" s="76">
        <v>43256</v>
      </c>
      <c r="C208" s="33" t="s">
        <v>341</v>
      </c>
      <c r="D208" s="33" t="s">
        <v>125</v>
      </c>
      <c r="E208" s="33">
        <v>75</v>
      </c>
      <c r="F208" s="33">
        <v>70</v>
      </c>
      <c r="G208" s="87"/>
      <c r="H208" s="87"/>
      <c r="I208" s="88"/>
      <c r="J208" s="88"/>
      <c r="K208" s="88"/>
      <c r="L208" s="88"/>
      <c r="M208" s="88"/>
    </row>
    <row r="209" spans="2:13" x14ac:dyDescent="0.3">
      <c r="B209" s="76">
        <v>43256</v>
      </c>
      <c r="C209" s="33" t="s">
        <v>341</v>
      </c>
      <c r="D209" s="33" t="s">
        <v>126</v>
      </c>
      <c r="E209" s="33">
        <v>30</v>
      </c>
      <c r="F209" s="33">
        <v>25</v>
      </c>
      <c r="G209" s="87"/>
      <c r="H209" s="87"/>
      <c r="I209" s="88"/>
      <c r="J209" s="88"/>
      <c r="K209" s="88"/>
      <c r="L209" s="88"/>
      <c r="M209" s="88"/>
    </row>
    <row r="210" spans="2:13" x14ac:dyDescent="0.3">
      <c r="B210" s="76">
        <v>43258</v>
      </c>
      <c r="C210" s="33" t="s">
        <v>341</v>
      </c>
      <c r="D210" s="33" t="s">
        <v>123</v>
      </c>
      <c r="E210" s="33">
        <v>180</v>
      </c>
      <c r="F210" s="33">
        <v>180</v>
      </c>
      <c r="G210" s="87"/>
      <c r="H210" s="87"/>
      <c r="I210" s="88"/>
      <c r="J210" s="88"/>
      <c r="K210" s="88"/>
      <c r="L210" s="88"/>
      <c r="M210" s="88"/>
    </row>
    <row r="211" spans="2:13" x14ac:dyDescent="0.3">
      <c r="B211" s="76">
        <v>43258</v>
      </c>
      <c r="C211" s="33" t="s">
        <v>341</v>
      </c>
      <c r="D211" s="33" t="s">
        <v>125</v>
      </c>
      <c r="E211" s="33">
        <v>75</v>
      </c>
      <c r="F211" s="33">
        <v>72</v>
      </c>
      <c r="G211" s="87"/>
      <c r="H211" s="87"/>
      <c r="I211" s="88"/>
      <c r="J211" s="88"/>
      <c r="K211" s="88"/>
      <c r="L211" s="88"/>
      <c r="M211" s="88"/>
    </row>
    <row r="212" spans="2:13" x14ac:dyDescent="0.3">
      <c r="B212" s="76">
        <v>43258</v>
      </c>
      <c r="C212" s="33" t="s">
        <v>341</v>
      </c>
      <c r="D212" s="33" t="s">
        <v>126</v>
      </c>
      <c r="E212" s="33">
        <v>30</v>
      </c>
      <c r="F212" s="33">
        <v>27</v>
      </c>
      <c r="G212" s="87"/>
      <c r="H212" s="87"/>
      <c r="I212" s="88"/>
      <c r="J212" s="88"/>
      <c r="K212" s="88"/>
      <c r="L212" s="88"/>
      <c r="M212" s="88"/>
    </row>
    <row r="213" spans="2:13" x14ac:dyDescent="0.3">
      <c r="B213" s="76">
        <v>43260</v>
      </c>
      <c r="C213" s="33" t="s">
        <v>341</v>
      </c>
      <c r="D213" s="33" t="s">
        <v>123</v>
      </c>
      <c r="E213" s="33">
        <v>180</v>
      </c>
      <c r="F213" s="33">
        <v>180</v>
      </c>
      <c r="G213" s="87"/>
      <c r="H213" s="87"/>
      <c r="I213" s="88"/>
      <c r="J213" s="88"/>
      <c r="K213" s="88"/>
      <c r="L213" s="88"/>
      <c r="M213" s="88"/>
    </row>
    <row r="214" spans="2:13" x14ac:dyDescent="0.3">
      <c r="B214" s="76">
        <v>43260</v>
      </c>
      <c r="C214" s="33" t="s">
        <v>341</v>
      </c>
      <c r="D214" s="33" t="s">
        <v>125</v>
      </c>
      <c r="E214" s="33">
        <v>75</v>
      </c>
      <c r="F214" s="33">
        <v>70</v>
      </c>
      <c r="G214" s="87"/>
      <c r="H214" s="87"/>
      <c r="I214" s="88"/>
      <c r="J214" s="88"/>
      <c r="K214" s="88"/>
      <c r="L214" s="88"/>
      <c r="M214" s="88"/>
    </row>
    <row r="215" spans="2:13" x14ac:dyDescent="0.3">
      <c r="B215" s="76">
        <v>43260</v>
      </c>
      <c r="C215" s="33" t="s">
        <v>341</v>
      </c>
      <c r="D215" s="33" t="s">
        <v>126</v>
      </c>
      <c r="E215" s="33">
        <v>30</v>
      </c>
      <c r="F215" s="33">
        <v>25</v>
      </c>
      <c r="G215" s="87"/>
      <c r="H215" s="87"/>
      <c r="I215" s="88"/>
      <c r="J215" s="88"/>
      <c r="K215" s="88"/>
      <c r="L215" s="88"/>
      <c r="M215" s="88"/>
    </row>
    <row r="216" spans="2:13" x14ac:dyDescent="0.3">
      <c r="B216" s="76">
        <v>43263</v>
      </c>
      <c r="C216" s="33" t="s">
        <v>341</v>
      </c>
      <c r="D216" s="33" t="s">
        <v>123</v>
      </c>
      <c r="E216" s="33">
        <v>180</v>
      </c>
      <c r="F216" s="33">
        <v>180</v>
      </c>
      <c r="G216" s="87"/>
      <c r="H216" s="87"/>
      <c r="I216" s="88"/>
      <c r="J216" s="88"/>
      <c r="K216" s="88"/>
      <c r="L216" s="88"/>
      <c r="M216" s="88"/>
    </row>
    <row r="217" spans="2:13" x14ac:dyDescent="0.3">
      <c r="B217" s="76">
        <v>43263</v>
      </c>
      <c r="C217" s="33" t="s">
        <v>341</v>
      </c>
      <c r="D217" s="33" t="s">
        <v>125</v>
      </c>
      <c r="E217" s="33">
        <v>75</v>
      </c>
      <c r="F217" s="33">
        <v>70</v>
      </c>
      <c r="G217" s="87"/>
      <c r="H217" s="87"/>
      <c r="I217" s="88"/>
      <c r="J217" s="88"/>
      <c r="K217" s="88"/>
      <c r="L217" s="88"/>
      <c r="M217" s="88"/>
    </row>
    <row r="218" spans="2:13" x14ac:dyDescent="0.3">
      <c r="B218" s="76">
        <v>43263</v>
      </c>
      <c r="C218" s="33" t="s">
        <v>341</v>
      </c>
      <c r="D218" s="33" t="s">
        <v>126</v>
      </c>
      <c r="E218" s="33">
        <v>30</v>
      </c>
      <c r="F218" s="33">
        <v>22</v>
      </c>
      <c r="G218" s="87"/>
      <c r="H218" s="87"/>
      <c r="I218" s="88"/>
      <c r="J218" s="88"/>
      <c r="K218" s="88"/>
      <c r="L218" s="88"/>
      <c r="M218" s="88"/>
    </row>
    <row r="219" spans="2:13" x14ac:dyDescent="0.3">
      <c r="B219" s="76">
        <v>43265</v>
      </c>
      <c r="C219" s="33" t="s">
        <v>341</v>
      </c>
      <c r="D219" s="33" t="s">
        <v>123</v>
      </c>
      <c r="E219" s="33">
        <v>180</v>
      </c>
      <c r="F219" s="33">
        <v>180</v>
      </c>
      <c r="G219" s="87"/>
      <c r="H219" s="87"/>
      <c r="I219" s="88"/>
      <c r="J219" s="88"/>
      <c r="K219" s="88"/>
      <c r="L219" s="88"/>
      <c r="M219" s="88"/>
    </row>
    <row r="220" spans="2:13" x14ac:dyDescent="0.3">
      <c r="B220" s="76">
        <v>43265</v>
      </c>
      <c r="C220" s="33" t="s">
        <v>341</v>
      </c>
      <c r="D220" s="33" t="s">
        <v>125</v>
      </c>
      <c r="E220" s="33">
        <v>75</v>
      </c>
      <c r="F220" s="33">
        <v>75</v>
      </c>
      <c r="G220" s="87"/>
      <c r="H220" s="87"/>
      <c r="I220" s="88"/>
      <c r="J220" s="88"/>
      <c r="K220" s="88"/>
      <c r="L220" s="88"/>
      <c r="M220" s="88"/>
    </row>
    <row r="221" spans="2:13" x14ac:dyDescent="0.3">
      <c r="B221" s="76">
        <v>43265</v>
      </c>
      <c r="C221" s="33" t="s">
        <v>341</v>
      </c>
      <c r="D221" s="33" t="s">
        <v>126</v>
      </c>
      <c r="E221" s="33">
        <v>30</v>
      </c>
      <c r="F221" s="33">
        <v>28</v>
      </c>
      <c r="G221" s="87"/>
      <c r="H221" s="87"/>
      <c r="I221" s="88"/>
      <c r="J221" s="88"/>
      <c r="K221" s="88"/>
      <c r="L221" s="88"/>
      <c r="M221" s="88"/>
    </row>
    <row r="222" spans="2:13" x14ac:dyDescent="0.3">
      <c r="B222" s="76">
        <v>43267</v>
      </c>
      <c r="C222" s="33" t="s">
        <v>341</v>
      </c>
      <c r="D222" s="33" t="s">
        <v>123</v>
      </c>
      <c r="E222" s="33">
        <v>180</v>
      </c>
      <c r="F222" s="33">
        <v>180</v>
      </c>
      <c r="G222" s="87"/>
      <c r="H222" s="87"/>
      <c r="I222" s="88"/>
      <c r="J222" s="88"/>
      <c r="K222" s="88"/>
      <c r="L222" s="88"/>
      <c r="M222" s="88"/>
    </row>
    <row r="223" spans="2:13" x14ac:dyDescent="0.3">
      <c r="B223" s="76">
        <v>43267</v>
      </c>
      <c r="C223" s="33" t="s">
        <v>341</v>
      </c>
      <c r="D223" s="33" t="s">
        <v>125</v>
      </c>
      <c r="E223" s="33">
        <v>75</v>
      </c>
      <c r="F223" s="33">
        <v>75</v>
      </c>
      <c r="G223" s="87"/>
      <c r="H223" s="87"/>
      <c r="I223" s="88"/>
      <c r="J223" s="88"/>
      <c r="K223" s="88"/>
      <c r="L223" s="88"/>
      <c r="M223" s="88"/>
    </row>
    <row r="224" spans="2:13" x14ac:dyDescent="0.3">
      <c r="B224" s="76">
        <v>43267</v>
      </c>
      <c r="C224" s="33" t="s">
        <v>341</v>
      </c>
      <c r="D224" s="33" t="s">
        <v>126</v>
      </c>
      <c r="E224" s="33">
        <v>30</v>
      </c>
      <c r="F224" s="33">
        <v>30</v>
      </c>
      <c r="G224" s="87"/>
      <c r="H224" s="87"/>
      <c r="I224" s="88"/>
      <c r="J224" s="88"/>
      <c r="K224" s="88"/>
      <c r="L224" s="88"/>
      <c r="M224" s="88"/>
    </row>
    <row r="225" spans="2:13" x14ac:dyDescent="0.3">
      <c r="B225" s="76">
        <v>43270</v>
      </c>
      <c r="C225" s="33" t="s">
        <v>341</v>
      </c>
      <c r="D225" s="33" t="s">
        <v>123</v>
      </c>
      <c r="E225" s="33">
        <v>180</v>
      </c>
      <c r="F225" s="33">
        <v>180</v>
      </c>
      <c r="G225" s="87"/>
      <c r="H225" s="87"/>
      <c r="I225" s="88"/>
      <c r="J225" s="88"/>
      <c r="K225" s="88"/>
      <c r="L225" s="88"/>
      <c r="M225" s="88"/>
    </row>
    <row r="226" spans="2:13" x14ac:dyDescent="0.3">
      <c r="B226" s="76">
        <v>43270</v>
      </c>
      <c r="C226" s="33" t="s">
        <v>341</v>
      </c>
      <c r="D226" s="33" t="s">
        <v>125</v>
      </c>
      <c r="E226" s="33">
        <v>75</v>
      </c>
      <c r="F226" s="33">
        <v>70</v>
      </c>
      <c r="G226" s="87"/>
      <c r="H226" s="87"/>
      <c r="I226" s="88"/>
      <c r="J226" s="88"/>
      <c r="K226" s="88"/>
      <c r="L226" s="88"/>
      <c r="M226" s="88"/>
    </row>
    <row r="227" spans="2:13" x14ac:dyDescent="0.3">
      <c r="B227" s="76">
        <v>43270</v>
      </c>
      <c r="C227" s="33" t="s">
        <v>341</v>
      </c>
      <c r="D227" s="33" t="s">
        <v>126</v>
      </c>
      <c r="E227" s="33">
        <v>30</v>
      </c>
      <c r="F227" s="33">
        <v>21</v>
      </c>
      <c r="G227" s="87"/>
      <c r="H227" s="87"/>
      <c r="I227" s="88"/>
      <c r="J227" s="88"/>
      <c r="K227" s="88"/>
      <c r="L227" s="88"/>
      <c r="M227" s="88"/>
    </row>
    <row r="228" spans="2:13" x14ac:dyDescent="0.3">
      <c r="B228" s="76">
        <v>43272</v>
      </c>
      <c r="C228" s="33" t="s">
        <v>341</v>
      </c>
      <c r="D228" s="33" t="s">
        <v>123</v>
      </c>
      <c r="E228" s="33">
        <v>180</v>
      </c>
      <c r="F228" s="33">
        <v>180</v>
      </c>
      <c r="G228" s="87"/>
      <c r="H228" s="87"/>
      <c r="I228" s="88"/>
      <c r="J228" s="88"/>
      <c r="K228" s="88"/>
      <c r="L228" s="88"/>
      <c r="M228" s="88"/>
    </row>
    <row r="229" spans="2:13" x14ac:dyDescent="0.3">
      <c r="B229" s="76">
        <v>43272</v>
      </c>
      <c r="C229" s="33" t="s">
        <v>341</v>
      </c>
      <c r="D229" s="33" t="s">
        <v>125</v>
      </c>
      <c r="E229" s="33">
        <v>75</v>
      </c>
      <c r="F229" s="33">
        <v>70</v>
      </c>
      <c r="G229" s="87"/>
      <c r="H229" s="87"/>
      <c r="I229" s="88"/>
      <c r="J229" s="88"/>
      <c r="K229" s="88"/>
      <c r="L229" s="88"/>
      <c r="M229" s="88"/>
    </row>
    <row r="230" spans="2:13" x14ac:dyDescent="0.3">
      <c r="B230" s="76">
        <v>43272</v>
      </c>
      <c r="C230" s="33" t="s">
        <v>341</v>
      </c>
      <c r="D230" s="33" t="s">
        <v>126</v>
      </c>
      <c r="E230" s="33">
        <v>30</v>
      </c>
      <c r="F230" s="33">
        <v>25</v>
      </c>
      <c r="G230" s="87"/>
      <c r="H230" s="87"/>
      <c r="I230" s="88"/>
      <c r="J230" s="88"/>
      <c r="K230" s="88"/>
      <c r="L230" s="88"/>
      <c r="M230" s="88"/>
    </row>
    <row r="231" spans="2:13" x14ac:dyDescent="0.3">
      <c r="B231" s="76">
        <v>43274</v>
      </c>
      <c r="C231" s="33" t="s">
        <v>341</v>
      </c>
      <c r="D231" s="33" t="s">
        <v>123</v>
      </c>
      <c r="E231" s="33">
        <v>180</v>
      </c>
      <c r="F231" s="33">
        <v>180</v>
      </c>
      <c r="G231" s="87"/>
      <c r="H231" s="87"/>
      <c r="I231" s="88"/>
      <c r="J231" s="88"/>
      <c r="K231" s="88"/>
      <c r="L231" s="88"/>
      <c r="M231" s="88"/>
    </row>
    <row r="232" spans="2:13" x14ac:dyDescent="0.3">
      <c r="B232" s="76">
        <v>43274</v>
      </c>
      <c r="C232" s="33" t="s">
        <v>341</v>
      </c>
      <c r="D232" s="33" t="s">
        <v>125</v>
      </c>
      <c r="E232" s="33">
        <v>75</v>
      </c>
      <c r="F232" s="33">
        <v>75</v>
      </c>
      <c r="G232" s="87"/>
      <c r="H232" s="87"/>
      <c r="I232" s="88"/>
      <c r="J232" s="88"/>
      <c r="K232" s="88"/>
      <c r="L232" s="88"/>
      <c r="M232" s="88"/>
    </row>
    <row r="233" spans="2:13" x14ac:dyDescent="0.3">
      <c r="B233" s="76">
        <v>43274</v>
      </c>
      <c r="C233" s="33" t="s">
        <v>341</v>
      </c>
      <c r="D233" s="33" t="s">
        <v>126</v>
      </c>
      <c r="E233" s="33">
        <v>30</v>
      </c>
      <c r="F233" s="33">
        <v>30</v>
      </c>
      <c r="G233" s="87"/>
      <c r="H233" s="87"/>
      <c r="I233" s="88"/>
      <c r="J233" s="88"/>
      <c r="K233" s="88"/>
      <c r="L233" s="88"/>
      <c r="M233" s="88"/>
    </row>
    <row r="234" spans="2:13" x14ac:dyDescent="0.3">
      <c r="B234" s="76">
        <v>43277</v>
      </c>
      <c r="C234" s="33" t="s">
        <v>341</v>
      </c>
      <c r="D234" s="33" t="s">
        <v>123</v>
      </c>
      <c r="E234" s="33">
        <v>180</v>
      </c>
      <c r="F234" s="33">
        <v>180</v>
      </c>
      <c r="G234" s="87"/>
      <c r="H234" s="87"/>
      <c r="I234" s="88"/>
      <c r="J234" s="88"/>
      <c r="K234" s="88"/>
      <c r="L234" s="88"/>
      <c r="M234" s="88"/>
    </row>
    <row r="235" spans="2:13" x14ac:dyDescent="0.3">
      <c r="B235" s="76">
        <v>43277</v>
      </c>
      <c r="C235" s="33" t="s">
        <v>341</v>
      </c>
      <c r="D235" s="33" t="s">
        <v>125</v>
      </c>
      <c r="E235" s="33">
        <v>75</v>
      </c>
      <c r="F235" s="33">
        <v>73</v>
      </c>
      <c r="G235" s="87"/>
      <c r="H235" s="87"/>
      <c r="I235" s="88"/>
      <c r="J235" s="88"/>
      <c r="K235" s="88"/>
      <c r="L235" s="88"/>
      <c r="M235" s="88"/>
    </row>
    <row r="236" spans="2:13" x14ac:dyDescent="0.3">
      <c r="B236" s="76">
        <v>43277</v>
      </c>
      <c r="C236" s="33" t="s">
        <v>341</v>
      </c>
      <c r="D236" s="33" t="s">
        <v>126</v>
      </c>
      <c r="E236" s="33">
        <v>30</v>
      </c>
      <c r="F236" s="33">
        <v>27</v>
      </c>
      <c r="G236" s="87"/>
      <c r="H236" s="87"/>
      <c r="I236" s="88"/>
      <c r="J236" s="88"/>
      <c r="K236" s="88"/>
      <c r="L236" s="88"/>
      <c r="M236" s="88"/>
    </row>
    <row r="237" spans="2:13" x14ac:dyDescent="0.3">
      <c r="B237" s="76">
        <v>43279</v>
      </c>
      <c r="C237" s="33" t="s">
        <v>341</v>
      </c>
      <c r="D237" s="33" t="s">
        <v>123</v>
      </c>
      <c r="E237" s="33">
        <v>180</v>
      </c>
      <c r="F237" s="33">
        <v>180</v>
      </c>
      <c r="G237" s="87"/>
      <c r="H237" s="87"/>
      <c r="I237" s="88"/>
      <c r="J237" s="88"/>
      <c r="K237" s="88"/>
      <c r="L237" s="88"/>
      <c r="M237" s="88"/>
    </row>
    <row r="238" spans="2:13" x14ac:dyDescent="0.3">
      <c r="B238" s="76">
        <v>43279</v>
      </c>
      <c r="C238" s="33" t="s">
        <v>341</v>
      </c>
      <c r="D238" s="33" t="s">
        <v>125</v>
      </c>
      <c r="E238" s="33">
        <v>75</v>
      </c>
      <c r="F238" s="33">
        <v>75</v>
      </c>
      <c r="G238" s="87"/>
      <c r="H238" s="87"/>
      <c r="I238" s="88"/>
      <c r="J238" s="88"/>
      <c r="K238" s="88"/>
      <c r="L238" s="88"/>
      <c r="M238" s="88"/>
    </row>
    <row r="239" spans="2:13" x14ac:dyDescent="0.3">
      <c r="B239" s="76">
        <v>43279</v>
      </c>
      <c r="C239" s="33" t="s">
        <v>341</v>
      </c>
      <c r="D239" s="33" t="s">
        <v>126</v>
      </c>
      <c r="E239" s="33">
        <v>30</v>
      </c>
      <c r="F239" s="33">
        <v>29</v>
      </c>
      <c r="G239" s="87"/>
      <c r="H239" s="87"/>
      <c r="I239" s="88"/>
      <c r="J239" s="88"/>
      <c r="K239" s="88"/>
      <c r="L239" s="88"/>
      <c r="M239" s="88"/>
    </row>
    <row r="240" spans="2:13" x14ac:dyDescent="0.3">
      <c r="B240" s="76">
        <v>43281</v>
      </c>
      <c r="C240" s="33" t="s">
        <v>341</v>
      </c>
      <c r="D240" s="33" t="s">
        <v>123</v>
      </c>
      <c r="E240" s="33">
        <v>180</v>
      </c>
      <c r="F240" s="33">
        <v>180</v>
      </c>
      <c r="G240" s="87"/>
      <c r="H240" s="87"/>
      <c r="I240" s="88"/>
      <c r="J240" s="88"/>
      <c r="K240" s="88"/>
      <c r="L240" s="88"/>
      <c r="M240" s="88"/>
    </row>
    <row r="241" spans="2:13" x14ac:dyDescent="0.3">
      <c r="B241" s="76">
        <v>43281</v>
      </c>
      <c r="C241" s="33" t="s">
        <v>341</v>
      </c>
      <c r="D241" s="33" t="s">
        <v>125</v>
      </c>
      <c r="E241" s="33">
        <v>75</v>
      </c>
      <c r="F241" s="33">
        <v>75</v>
      </c>
      <c r="G241" s="87"/>
      <c r="H241" s="87"/>
      <c r="I241" s="88"/>
      <c r="J241" s="88"/>
      <c r="K241" s="88"/>
      <c r="L241" s="88"/>
      <c r="M241" s="88"/>
    </row>
    <row r="242" spans="2:13" x14ac:dyDescent="0.3">
      <c r="B242" s="76">
        <v>43281</v>
      </c>
      <c r="C242" s="33" t="s">
        <v>341</v>
      </c>
      <c r="D242" s="33" t="s">
        <v>126</v>
      </c>
      <c r="E242" s="33">
        <v>30</v>
      </c>
      <c r="F242" s="33">
        <v>30</v>
      </c>
      <c r="G242" s="87"/>
      <c r="H242" s="87"/>
      <c r="I242" s="88"/>
      <c r="J242" s="88"/>
      <c r="K242" s="88"/>
      <c r="L242" s="88"/>
      <c r="M242" s="88"/>
    </row>
    <row r="243" spans="2:13" x14ac:dyDescent="0.3">
      <c r="E243" s="89"/>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17BB0-0835-1D44-99CE-D2AB983C566B}">
  <sheetPr>
    <tabColor rgb="FFFFFF66"/>
  </sheetPr>
  <dimension ref="A1:J8"/>
  <sheetViews>
    <sheetView showGridLines="0" zoomScaleNormal="100" workbookViewId="0"/>
  </sheetViews>
  <sheetFormatPr defaultColWidth="0" defaultRowHeight="16.8" x14ac:dyDescent="0.3"/>
  <cols>
    <col min="1" max="2" width="1.6640625" style="21" customWidth="1"/>
    <col min="3" max="3" width="20.109375" style="21" customWidth="1"/>
    <col min="4" max="4" width="13.33203125" style="21" customWidth="1"/>
    <col min="5" max="6" width="12.109375" style="21" customWidth="1"/>
    <col min="7" max="10" width="8.77734375" style="21" customWidth="1"/>
    <col min="11" max="16384" width="8.77734375" style="21" hidden="1"/>
  </cols>
  <sheetData>
    <row r="1" spans="1:10" s="52" customFormat="1" ht="49.95" customHeight="1" x14ac:dyDescent="0.3">
      <c r="A1" s="49"/>
      <c r="B1" s="50" t="s">
        <v>342</v>
      </c>
      <c r="C1" s="49"/>
      <c r="D1" s="49"/>
      <c r="E1" s="49"/>
      <c r="F1" s="51"/>
      <c r="G1" s="51"/>
      <c r="H1" s="51"/>
      <c r="I1" s="51"/>
      <c r="J1" s="51"/>
    </row>
    <row r="3" spans="1:10" x14ac:dyDescent="0.3">
      <c r="C3" s="37" t="s">
        <v>343</v>
      </c>
    </row>
    <row r="5" spans="1:10" x14ac:dyDescent="0.3">
      <c r="C5" s="58" t="s">
        <v>344</v>
      </c>
      <c r="D5" s="58" t="s">
        <v>122</v>
      </c>
      <c r="E5" s="58" t="s">
        <v>120</v>
      </c>
      <c r="F5" s="58" t="s">
        <v>121</v>
      </c>
    </row>
    <row r="6" spans="1:10" x14ac:dyDescent="0.3">
      <c r="C6" s="90" t="s">
        <v>123</v>
      </c>
      <c r="D6" s="90" t="s">
        <v>124</v>
      </c>
      <c r="E6" s="91">
        <v>8</v>
      </c>
      <c r="F6" s="91">
        <v>1.2</v>
      </c>
    </row>
    <row r="7" spans="1:10" x14ac:dyDescent="0.3">
      <c r="C7" s="92" t="s">
        <v>125</v>
      </c>
      <c r="D7" s="90" t="s">
        <v>124</v>
      </c>
      <c r="E7" s="93">
        <v>8.5</v>
      </c>
      <c r="F7" s="93">
        <v>1.95</v>
      </c>
    </row>
    <row r="8" spans="1:10" x14ac:dyDescent="0.3">
      <c r="C8" s="90" t="s">
        <v>126</v>
      </c>
      <c r="D8" s="90" t="s">
        <v>127</v>
      </c>
      <c r="E8" s="91">
        <v>7.5</v>
      </c>
      <c r="F8" s="91">
        <v>1</v>
      </c>
    </row>
  </sheetData>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F5A57-EE8F-41DE-84E9-9B255B6CD53B}">
  <sheetPr>
    <tabColor rgb="FF00B0F0"/>
  </sheetPr>
  <dimension ref="A1:N243"/>
  <sheetViews>
    <sheetView showGridLines="0" zoomScaleNormal="100" workbookViewId="0">
      <pane ySplit="8" topLeftCell="A193" activePane="bottomLeft" state="frozen"/>
      <selection pane="bottomLeft"/>
    </sheetView>
  </sheetViews>
  <sheetFormatPr defaultColWidth="0" defaultRowHeight="16.8" x14ac:dyDescent="0.3"/>
  <cols>
    <col min="1" max="1" width="3" style="21" customWidth="1"/>
    <col min="2" max="2" width="12.109375" style="21" customWidth="1"/>
    <col min="3" max="3" width="15" style="21" customWidth="1"/>
    <col min="4" max="4" width="22.44140625" style="21" customWidth="1"/>
    <col min="5" max="6" width="19.33203125" style="21" customWidth="1"/>
    <col min="7" max="13" width="18.44140625" style="21" customWidth="1"/>
    <col min="14" max="14" width="8.77734375" style="21" customWidth="1"/>
    <col min="15" max="16384" width="8.77734375" style="21" hidden="1"/>
  </cols>
  <sheetData>
    <row r="1" spans="1:14" s="52" customFormat="1" ht="49.95" customHeight="1" x14ac:dyDescent="0.3">
      <c r="A1" s="49"/>
      <c r="B1" s="50" t="s">
        <v>944</v>
      </c>
      <c r="C1" s="49"/>
      <c r="D1" s="49"/>
      <c r="E1" s="49"/>
      <c r="F1" s="51"/>
      <c r="G1" s="51"/>
      <c r="H1" s="51"/>
      <c r="I1" s="51"/>
      <c r="J1" s="51"/>
      <c r="K1" s="51"/>
      <c r="L1" s="51"/>
      <c r="M1" s="51"/>
      <c r="N1" s="51"/>
    </row>
    <row r="3" spans="1:14" ht="19.95" customHeight="1" x14ac:dyDescent="0.3">
      <c r="B3" s="21" t="s">
        <v>1139</v>
      </c>
    </row>
    <row r="4" spans="1:14" ht="19.95" customHeight="1" x14ac:dyDescent="0.3">
      <c r="B4" s="21" t="s">
        <v>1140</v>
      </c>
    </row>
    <row r="5" spans="1:14" ht="19.95" customHeight="1" x14ac:dyDescent="0.3">
      <c r="B5" s="21" t="s">
        <v>560</v>
      </c>
    </row>
    <row r="6" spans="1:14" ht="19.95" customHeight="1" x14ac:dyDescent="0.3">
      <c r="B6" s="21" t="s">
        <v>1141</v>
      </c>
    </row>
    <row r="8" spans="1:14" x14ac:dyDescent="0.3">
      <c r="B8" s="58" t="s">
        <v>119</v>
      </c>
      <c r="C8" s="58" t="s">
        <v>84</v>
      </c>
      <c r="D8" s="58" t="s">
        <v>28</v>
      </c>
      <c r="E8" s="58" t="s">
        <v>112</v>
      </c>
      <c r="F8" s="58" t="s">
        <v>113</v>
      </c>
      <c r="G8" s="58" t="s">
        <v>276</v>
      </c>
      <c r="H8" s="58" t="s">
        <v>122</v>
      </c>
      <c r="I8" s="58" t="s">
        <v>120</v>
      </c>
      <c r="J8" s="58" t="s">
        <v>121</v>
      </c>
      <c r="K8" s="58" t="s">
        <v>146</v>
      </c>
      <c r="L8" s="58" t="s">
        <v>339</v>
      </c>
      <c r="M8" s="58" t="s">
        <v>340</v>
      </c>
    </row>
    <row r="9" spans="1:14" x14ac:dyDescent="0.3">
      <c r="B9" s="76">
        <v>43102</v>
      </c>
      <c r="C9" s="33" t="s">
        <v>341</v>
      </c>
      <c r="D9" s="33" t="s">
        <v>123</v>
      </c>
      <c r="E9" s="33">
        <v>180</v>
      </c>
      <c r="F9" s="40">
        <v>171</v>
      </c>
      <c r="G9" s="87">
        <f>MATCH(D9, Inputs_2!$C$6:$C$8,0)</f>
        <v>1</v>
      </c>
      <c r="H9" s="87" t="str" cm="1">
        <f t="array" ref="H9">INDEX(Inputs_2!$D$6:$D$8,$G9)</f>
        <v>Meat Pie</v>
      </c>
      <c r="I9" s="88" cm="1">
        <f t="array" ref="I9">INDEX(Inputs_2!$E$6:$E$8,$G9)</f>
        <v>8</v>
      </c>
      <c r="J9" s="88" cm="1">
        <f t="array" ref="J9">INDEX(Inputs_2!$F$6:$F$8,$G9)</f>
        <v>1.2</v>
      </c>
      <c r="K9" s="88">
        <f>F9 * I9</f>
        <v>1368</v>
      </c>
      <c r="L9" s="88">
        <f>F9 * J9</f>
        <v>205.2</v>
      </c>
      <c r="M9" s="88">
        <f>K9 - L9</f>
        <v>1162.8</v>
      </c>
    </row>
    <row r="10" spans="1:14" x14ac:dyDescent="0.3">
      <c r="B10" s="76">
        <v>43102</v>
      </c>
      <c r="C10" s="33" t="s">
        <v>341</v>
      </c>
      <c r="D10" s="33" t="s">
        <v>125</v>
      </c>
      <c r="E10" s="33">
        <v>75</v>
      </c>
      <c r="F10" s="40">
        <v>72</v>
      </c>
      <c r="G10" s="87">
        <f>MATCH(D10, Inputs_2!$C$6:$C$8,0)</f>
        <v>2</v>
      </c>
      <c r="H10" s="87" t="str" cm="1">
        <f t="array" ref="H10">INDEX(Inputs_2!$D$6:$D$8,$G10)</f>
        <v>Meat Pie</v>
      </c>
      <c r="I10" s="88" cm="1">
        <f t="array" ref="I10">INDEX(Inputs_2!$E$6:$E$8,$G10)</f>
        <v>8.5</v>
      </c>
      <c r="J10" s="88" cm="1">
        <f t="array" ref="J10">INDEX(Inputs_2!$F$6:$F$8,$G10)</f>
        <v>1.95</v>
      </c>
      <c r="K10" s="88">
        <f t="shared" ref="K10:K73" si="0">F10 * I10</f>
        <v>612</v>
      </c>
      <c r="L10" s="88">
        <f t="shared" ref="L10:L73" si="1">F10 * J10</f>
        <v>140.4</v>
      </c>
      <c r="M10" s="88">
        <f t="shared" ref="M10:M73" si="2">K10 - L10</f>
        <v>471.6</v>
      </c>
    </row>
    <row r="11" spans="1:14" x14ac:dyDescent="0.3">
      <c r="B11" s="76">
        <v>43102</v>
      </c>
      <c r="C11" s="33" t="s">
        <v>341</v>
      </c>
      <c r="D11" s="33" t="s">
        <v>126</v>
      </c>
      <c r="E11" s="33">
        <v>30</v>
      </c>
      <c r="F11" s="40">
        <v>29</v>
      </c>
      <c r="G11" s="87">
        <f>MATCH(D11, Inputs_2!$C$6:$C$8,0)</f>
        <v>3</v>
      </c>
      <c r="H11" s="87" t="str" cm="1">
        <f t="array" ref="H11">INDEX(Inputs_2!$D$6:$D$8,$G11)</f>
        <v>Veggie Pie</v>
      </c>
      <c r="I11" s="88" cm="1">
        <f t="array" ref="I11">INDEX(Inputs_2!$E$6:$E$8,$G11)</f>
        <v>7.5</v>
      </c>
      <c r="J11" s="88" cm="1">
        <f t="array" ref="J11">INDEX(Inputs_2!$F$6:$F$8,$G11)</f>
        <v>1</v>
      </c>
      <c r="K11" s="88">
        <f t="shared" si="0"/>
        <v>217.5</v>
      </c>
      <c r="L11" s="88">
        <f t="shared" si="1"/>
        <v>29</v>
      </c>
      <c r="M11" s="88">
        <f t="shared" si="2"/>
        <v>188.5</v>
      </c>
    </row>
    <row r="12" spans="1:14" x14ac:dyDescent="0.3">
      <c r="B12" s="76">
        <v>43104</v>
      </c>
      <c r="C12" s="33" t="s">
        <v>341</v>
      </c>
      <c r="D12" s="33" t="s">
        <v>123</v>
      </c>
      <c r="E12" s="33">
        <v>180</v>
      </c>
      <c r="F12" s="40">
        <v>178</v>
      </c>
      <c r="G12" s="87">
        <f>MATCH(D12, Inputs_2!$C$6:$C$8,0)</f>
        <v>1</v>
      </c>
      <c r="H12" s="87" t="str" cm="1">
        <f t="array" ref="H12">INDEX(Inputs_2!$D$6:$D$8,$G12)</f>
        <v>Meat Pie</v>
      </c>
      <c r="I12" s="88" cm="1">
        <f t="array" ref="I12">INDEX(Inputs_2!$E$6:$E$8,$G12)</f>
        <v>8</v>
      </c>
      <c r="J12" s="88" cm="1">
        <f t="array" ref="J12">INDEX(Inputs_2!$F$6:$F$8,$G12)</f>
        <v>1.2</v>
      </c>
      <c r="K12" s="88">
        <f t="shared" si="0"/>
        <v>1424</v>
      </c>
      <c r="L12" s="88">
        <f t="shared" si="1"/>
        <v>213.6</v>
      </c>
      <c r="M12" s="88">
        <f t="shared" si="2"/>
        <v>1210.4000000000001</v>
      </c>
    </row>
    <row r="13" spans="1:14" x14ac:dyDescent="0.3">
      <c r="B13" s="76">
        <v>43104</v>
      </c>
      <c r="C13" s="33" t="s">
        <v>341</v>
      </c>
      <c r="D13" s="33" t="s">
        <v>125</v>
      </c>
      <c r="E13" s="33">
        <v>75</v>
      </c>
      <c r="F13" s="40">
        <v>72</v>
      </c>
      <c r="G13" s="87">
        <f>MATCH(D13, Inputs_2!$C$6:$C$8,0)</f>
        <v>2</v>
      </c>
      <c r="H13" s="87" t="str" cm="1">
        <f t="array" ref="H13">INDEX(Inputs_2!$D$6:$D$8,$G13)</f>
        <v>Meat Pie</v>
      </c>
      <c r="I13" s="88" cm="1">
        <f t="array" ref="I13">INDEX(Inputs_2!$E$6:$E$8,$G13)</f>
        <v>8.5</v>
      </c>
      <c r="J13" s="88" cm="1">
        <f t="array" ref="J13">INDEX(Inputs_2!$F$6:$F$8,$G13)</f>
        <v>1.95</v>
      </c>
      <c r="K13" s="88">
        <f t="shared" si="0"/>
        <v>612</v>
      </c>
      <c r="L13" s="88">
        <f t="shared" si="1"/>
        <v>140.4</v>
      </c>
      <c r="M13" s="88">
        <f t="shared" si="2"/>
        <v>471.6</v>
      </c>
    </row>
    <row r="14" spans="1:14" x14ac:dyDescent="0.3">
      <c r="B14" s="76">
        <v>43104</v>
      </c>
      <c r="C14" s="33" t="s">
        <v>341</v>
      </c>
      <c r="D14" s="33" t="s">
        <v>126</v>
      </c>
      <c r="E14" s="33">
        <v>30</v>
      </c>
      <c r="F14" s="40">
        <v>24</v>
      </c>
      <c r="G14" s="87">
        <f>MATCH(D14, Inputs_2!$C$6:$C$8,0)</f>
        <v>3</v>
      </c>
      <c r="H14" s="87" t="str" cm="1">
        <f t="array" ref="H14">INDEX(Inputs_2!$D$6:$D$8,$G14)</f>
        <v>Veggie Pie</v>
      </c>
      <c r="I14" s="88" cm="1">
        <f t="array" ref="I14">INDEX(Inputs_2!$E$6:$E$8,$G14)</f>
        <v>7.5</v>
      </c>
      <c r="J14" s="88" cm="1">
        <f t="array" ref="J14">INDEX(Inputs_2!$F$6:$F$8,$G14)</f>
        <v>1</v>
      </c>
      <c r="K14" s="88">
        <f t="shared" si="0"/>
        <v>180</v>
      </c>
      <c r="L14" s="88">
        <f t="shared" si="1"/>
        <v>24</v>
      </c>
      <c r="M14" s="88">
        <f t="shared" si="2"/>
        <v>156</v>
      </c>
    </row>
    <row r="15" spans="1:14" x14ac:dyDescent="0.3">
      <c r="B15" s="76">
        <v>43106</v>
      </c>
      <c r="C15" s="33" t="s">
        <v>341</v>
      </c>
      <c r="D15" s="33" t="s">
        <v>123</v>
      </c>
      <c r="E15" s="33">
        <v>180</v>
      </c>
      <c r="F15" s="40">
        <v>175</v>
      </c>
      <c r="G15" s="87">
        <f>MATCH(D15, Inputs_2!$C$6:$C$8,0)</f>
        <v>1</v>
      </c>
      <c r="H15" s="87" t="str" cm="1">
        <f t="array" ref="H15">INDEX(Inputs_2!$D$6:$D$8,$G15)</f>
        <v>Meat Pie</v>
      </c>
      <c r="I15" s="88" cm="1">
        <f t="array" ref="I15">INDEX(Inputs_2!$E$6:$E$8,$G15)</f>
        <v>8</v>
      </c>
      <c r="J15" s="88" cm="1">
        <f t="array" ref="J15">INDEX(Inputs_2!$F$6:$F$8,$G15)</f>
        <v>1.2</v>
      </c>
      <c r="K15" s="88">
        <f t="shared" si="0"/>
        <v>1400</v>
      </c>
      <c r="L15" s="88">
        <f t="shared" si="1"/>
        <v>210</v>
      </c>
      <c r="M15" s="88">
        <f t="shared" si="2"/>
        <v>1190</v>
      </c>
    </row>
    <row r="16" spans="1:14" x14ac:dyDescent="0.3">
      <c r="B16" s="76">
        <v>43106</v>
      </c>
      <c r="C16" s="33" t="s">
        <v>341</v>
      </c>
      <c r="D16" s="33" t="s">
        <v>125</v>
      </c>
      <c r="E16" s="33">
        <v>75</v>
      </c>
      <c r="F16" s="40">
        <v>67</v>
      </c>
      <c r="G16" s="87">
        <f>MATCH(D16, Inputs_2!$C$6:$C$8,0)</f>
        <v>2</v>
      </c>
      <c r="H16" s="87" t="str" cm="1">
        <f t="array" ref="H16">INDEX(Inputs_2!$D$6:$D$8,$G16)</f>
        <v>Meat Pie</v>
      </c>
      <c r="I16" s="88" cm="1">
        <f t="array" ref="I16">INDEX(Inputs_2!$E$6:$E$8,$G16)</f>
        <v>8.5</v>
      </c>
      <c r="J16" s="88" cm="1">
        <f t="array" ref="J16">INDEX(Inputs_2!$F$6:$F$8,$G16)</f>
        <v>1.95</v>
      </c>
      <c r="K16" s="88">
        <f t="shared" si="0"/>
        <v>569.5</v>
      </c>
      <c r="L16" s="88">
        <f t="shared" si="1"/>
        <v>130.65</v>
      </c>
      <c r="M16" s="88">
        <f t="shared" si="2"/>
        <v>438.85</v>
      </c>
    </row>
    <row r="17" spans="2:13" x14ac:dyDescent="0.3">
      <c r="B17" s="76">
        <v>43106</v>
      </c>
      <c r="C17" s="33" t="s">
        <v>341</v>
      </c>
      <c r="D17" s="33" t="s">
        <v>126</v>
      </c>
      <c r="E17" s="33">
        <v>30</v>
      </c>
      <c r="F17" s="40">
        <v>28</v>
      </c>
      <c r="G17" s="87">
        <f>MATCH(D17, Inputs_2!$C$6:$C$8,0)</f>
        <v>3</v>
      </c>
      <c r="H17" s="87" t="str" cm="1">
        <f t="array" ref="H17">INDEX(Inputs_2!$D$6:$D$8,$G17)</f>
        <v>Veggie Pie</v>
      </c>
      <c r="I17" s="88" cm="1">
        <f t="array" ref="I17">INDEX(Inputs_2!$E$6:$E$8,$G17)</f>
        <v>7.5</v>
      </c>
      <c r="J17" s="88" cm="1">
        <f t="array" ref="J17">INDEX(Inputs_2!$F$6:$F$8,$G17)</f>
        <v>1</v>
      </c>
      <c r="K17" s="88">
        <f t="shared" si="0"/>
        <v>210</v>
      </c>
      <c r="L17" s="88">
        <f t="shared" si="1"/>
        <v>28</v>
      </c>
      <c r="M17" s="88">
        <f t="shared" si="2"/>
        <v>182</v>
      </c>
    </row>
    <row r="18" spans="2:13" x14ac:dyDescent="0.3">
      <c r="B18" s="76">
        <v>43109</v>
      </c>
      <c r="C18" s="33" t="s">
        <v>341</v>
      </c>
      <c r="D18" s="33" t="s">
        <v>123</v>
      </c>
      <c r="E18" s="33">
        <v>180</v>
      </c>
      <c r="F18" s="40">
        <v>179</v>
      </c>
      <c r="G18" s="87">
        <f>MATCH(D18, Inputs_2!$C$6:$C$8,0)</f>
        <v>1</v>
      </c>
      <c r="H18" s="87" t="str" cm="1">
        <f t="array" ref="H18">INDEX(Inputs_2!$D$6:$D$8,$G18)</f>
        <v>Meat Pie</v>
      </c>
      <c r="I18" s="88" cm="1">
        <f t="array" ref="I18">INDEX(Inputs_2!$E$6:$E$8,$G18)</f>
        <v>8</v>
      </c>
      <c r="J18" s="88" cm="1">
        <f t="array" ref="J18">INDEX(Inputs_2!$F$6:$F$8,$G18)</f>
        <v>1.2</v>
      </c>
      <c r="K18" s="88">
        <f t="shared" si="0"/>
        <v>1432</v>
      </c>
      <c r="L18" s="88">
        <f t="shared" si="1"/>
        <v>214.79999999999998</v>
      </c>
      <c r="M18" s="88">
        <f t="shared" si="2"/>
        <v>1217.2</v>
      </c>
    </row>
    <row r="19" spans="2:13" x14ac:dyDescent="0.3">
      <c r="B19" s="76">
        <v>43109</v>
      </c>
      <c r="C19" s="33" t="s">
        <v>341</v>
      </c>
      <c r="D19" s="33" t="s">
        <v>125</v>
      </c>
      <c r="E19" s="33">
        <v>75</v>
      </c>
      <c r="F19" s="40">
        <v>72</v>
      </c>
      <c r="G19" s="87">
        <f>MATCH(D19, Inputs_2!$C$6:$C$8,0)</f>
        <v>2</v>
      </c>
      <c r="H19" s="87" t="str" cm="1">
        <f t="array" ref="H19">INDEX(Inputs_2!$D$6:$D$8,$G19)</f>
        <v>Meat Pie</v>
      </c>
      <c r="I19" s="88" cm="1">
        <f t="array" ref="I19">INDEX(Inputs_2!$E$6:$E$8,$G19)</f>
        <v>8.5</v>
      </c>
      <c r="J19" s="88" cm="1">
        <f t="array" ref="J19">INDEX(Inputs_2!$F$6:$F$8,$G19)</f>
        <v>1.95</v>
      </c>
      <c r="K19" s="88">
        <f t="shared" si="0"/>
        <v>612</v>
      </c>
      <c r="L19" s="88">
        <f t="shared" si="1"/>
        <v>140.4</v>
      </c>
      <c r="M19" s="88">
        <f t="shared" si="2"/>
        <v>471.6</v>
      </c>
    </row>
    <row r="20" spans="2:13" x14ac:dyDescent="0.3">
      <c r="B20" s="76">
        <v>43109</v>
      </c>
      <c r="C20" s="33" t="s">
        <v>341</v>
      </c>
      <c r="D20" s="33" t="s">
        <v>126</v>
      </c>
      <c r="E20" s="33">
        <v>30</v>
      </c>
      <c r="F20" s="40">
        <v>28</v>
      </c>
      <c r="G20" s="87">
        <f>MATCH(D20, Inputs_2!$C$6:$C$8,0)</f>
        <v>3</v>
      </c>
      <c r="H20" s="87" t="str" cm="1">
        <f t="array" ref="H20">INDEX(Inputs_2!$D$6:$D$8,$G20)</f>
        <v>Veggie Pie</v>
      </c>
      <c r="I20" s="88" cm="1">
        <f t="array" ref="I20">INDEX(Inputs_2!$E$6:$E$8,$G20)</f>
        <v>7.5</v>
      </c>
      <c r="J20" s="88" cm="1">
        <f t="array" ref="J20">INDEX(Inputs_2!$F$6:$F$8,$G20)</f>
        <v>1</v>
      </c>
      <c r="K20" s="88">
        <f t="shared" si="0"/>
        <v>210</v>
      </c>
      <c r="L20" s="88">
        <f t="shared" si="1"/>
        <v>28</v>
      </c>
      <c r="M20" s="88">
        <f t="shared" si="2"/>
        <v>182</v>
      </c>
    </row>
    <row r="21" spans="2:13" x14ac:dyDescent="0.3">
      <c r="B21" s="76">
        <v>43111</v>
      </c>
      <c r="C21" s="33" t="s">
        <v>341</v>
      </c>
      <c r="D21" s="33" t="s">
        <v>123</v>
      </c>
      <c r="E21" s="33">
        <v>180</v>
      </c>
      <c r="F21" s="40">
        <v>172</v>
      </c>
      <c r="G21" s="87">
        <f>MATCH(D21, Inputs_2!$C$6:$C$8,0)</f>
        <v>1</v>
      </c>
      <c r="H21" s="87" t="str" cm="1">
        <f t="array" ref="H21">INDEX(Inputs_2!$D$6:$D$8,$G21)</f>
        <v>Meat Pie</v>
      </c>
      <c r="I21" s="88" cm="1">
        <f t="array" ref="I21">INDEX(Inputs_2!$E$6:$E$8,$G21)</f>
        <v>8</v>
      </c>
      <c r="J21" s="88" cm="1">
        <f t="array" ref="J21">INDEX(Inputs_2!$F$6:$F$8,$G21)</f>
        <v>1.2</v>
      </c>
      <c r="K21" s="88">
        <f t="shared" si="0"/>
        <v>1376</v>
      </c>
      <c r="L21" s="88">
        <f t="shared" si="1"/>
        <v>206.4</v>
      </c>
      <c r="M21" s="88">
        <f t="shared" si="2"/>
        <v>1169.5999999999999</v>
      </c>
    </row>
    <row r="22" spans="2:13" x14ac:dyDescent="0.3">
      <c r="B22" s="76">
        <v>43111</v>
      </c>
      <c r="C22" s="33" t="s">
        <v>341</v>
      </c>
      <c r="D22" s="33" t="s">
        <v>125</v>
      </c>
      <c r="E22" s="33">
        <v>75</v>
      </c>
      <c r="F22" s="40">
        <v>62</v>
      </c>
      <c r="G22" s="87">
        <f>MATCH(D22, Inputs_2!$C$6:$C$8,0)</f>
        <v>2</v>
      </c>
      <c r="H22" s="87" t="str" cm="1">
        <f t="array" ref="H22">INDEX(Inputs_2!$D$6:$D$8,$G22)</f>
        <v>Meat Pie</v>
      </c>
      <c r="I22" s="88" cm="1">
        <f t="array" ref="I22">INDEX(Inputs_2!$E$6:$E$8,$G22)</f>
        <v>8.5</v>
      </c>
      <c r="J22" s="88" cm="1">
        <f t="array" ref="J22">INDEX(Inputs_2!$F$6:$F$8,$G22)</f>
        <v>1.95</v>
      </c>
      <c r="K22" s="88">
        <f t="shared" si="0"/>
        <v>527</v>
      </c>
      <c r="L22" s="88">
        <f t="shared" si="1"/>
        <v>120.89999999999999</v>
      </c>
      <c r="M22" s="88">
        <f t="shared" si="2"/>
        <v>406.1</v>
      </c>
    </row>
    <row r="23" spans="2:13" x14ac:dyDescent="0.3">
      <c r="B23" s="76">
        <v>43111</v>
      </c>
      <c r="C23" s="33" t="s">
        <v>341</v>
      </c>
      <c r="D23" s="33" t="s">
        <v>126</v>
      </c>
      <c r="E23" s="33">
        <v>30</v>
      </c>
      <c r="F23" s="40">
        <v>29</v>
      </c>
      <c r="G23" s="87">
        <f>MATCH(D23, Inputs_2!$C$6:$C$8,0)</f>
        <v>3</v>
      </c>
      <c r="H23" s="87" t="str" cm="1">
        <f t="array" ref="H23">INDEX(Inputs_2!$D$6:$D$8,$G23)</f>
        <v>Veggie Pie</v>
      </c>
      <c r="I23" s="88" cm="1">
        <f t="array" ref="I23">INDEX(Inputs_2!$E$6:$E$8,$G23)</f>
        <v>7.5</v>
      </c>
      <c r="J23" s="88" cm="1">
        <f t="array" ref="J23">INDEX(Inputs_2!$F$6:$F$8,$G23)</f>
        <v>1</v>
      </c>
      <c r="K23" s="88">
        <f t="shared" si="0"/>
        <v>217.5</v>
      </c>
      <c r="L23" s="88">
        <f t="shared" si="1"/>
        <v>29</v>
      </c>
      <c r="M23" s="88">
        <f t="shared" si="2"/>
        <v>188.5</v>
      </c>
    </row>
    <row r="24" spans="2:13" x14ac:dyDescent="0.3">
      <c r="B24" s="76">
        <v>43113</v>
      </c>
      <c r="C24" s="33" t="s">
        <v>341</v>
      </c>
      <c r="D24" s="33" t="s">
        <v>123</v>
      </c>
      <c r="E24" s="33">
        <v>180</v>
      </c>
      <c r="F24" s="40">
        <v>179</v>
      </c>
      <c r="G24" s="87">
        <f>MATCH(D24, Inputs_2!$C$6:$C$8,0)</f>
        <v>1</v>
      </c>
      <c r="H24" s="87" t="str" cm="1">
        <f t="array" ref="H24">INDEX(Inputs_2!$D$6:$D$8,$G24)</f>
        <v>Meat Pie</v>
      </c>
      <c r="I24" s="88" cm="1">
        <f t="array" ref="I24">INDEX(Inputs_2!$E$6:$E$8,$G24)</f>
        <v>8</v>
      </c>
      <c r="J24" s="88" cm="1">
        <f t="array" ref="J24">INDEX(Inputs_2!$F$6:$F$8,$G24)</f>
        <v>1.2</v>
      </c>
      <c r="K24" s="88">
        <f t="shared" si="0"/>
        <v>1432</v>
      </c>
      <c r="L24" s="88">
        <f t="shared" si="1"/>
        <v>214.79999999999998</v>
      </c>
      <c r="M24" s="88">
        <f t="shared" si="2"/>
        <v>1217.2</v>
      </c>
    </row>
    <row r="25" spans="2:13" x14ac:dyDescent="0.3">
      <c r="B25" s="76">
        <v>43113</v>
      </c>
      <c r="C25" s="33" t="s">
        <v>341</v>
      </c>
      <c r="D25" s="33" t="s">
        <v>125</v>
      </c>
      <c r="E25" s="33">
        <v>75</v>
      </c>
      <c r="F25" s="40">
        <v>74</v>
      </c>
      <c r="G25" s="87">
        <f>MATCH(D25, Inputs_2!$C$6:$C$8,0)</f>
        <v>2</v>
      </c>
      <c r="H25" s="87" t="str" cm="1">
        <f t="array" ref="H25">INDEX(Inputs_2!$D$6:$D$8,$G25)</f>
        <v>Meat Pie</v>
      </c>
      <c r="I25" s="88" cm="1">
        <f t="array" ref="I25">INDEX(Inputs_2!$E$6:$E$8,$G25)</f>
        <v>8.5</v>
      </c>
      <c r="J25" s="88" cm="1">
        <f t="array" ref="J25">INDEX(Inputs_2!$F$6:$F$8,$G25)</f>
        <v>1.95</v>
      </c>
      <c r="K25" s="88">
        <f t="shared" si="0"/>
        <v>629</v>
      </c>
      <c r="L25" s="88">
        <f t="shared" si="1"/>
        <v>144.29999999999998</v>
      </c>
      <c r="M25" s="88">
        <f t="shared" si="2"/>
        <v>484.70000000000005</v>
      </c>
    </row>
    <row r="26" spans="2:13" x14ac:dyDescent="0.3">
      <c r="B26" s="76">
        <v>43113</v>
      </c>
      <c r="C26" s="33" t="s">
        <v>341</v>
      </c>
      <c r="D26" s="33" t="s">
        <v>126</v>
      </c>
      <c r="E26" s="33">
        <v>30</v>
      </c>
      <c r="F26" s="40">
        <v>27</v>
      </c>
      <c r="G26" s="87">
        <f>MATCH(D26, Inputs_2!$C$6:$C$8,0)</f>
        <v>3</v>
      </c>
      <c r="H26" s="87" t="str" cm="1">
        <f t="array" ref="H26">INDEX(Inputs_2!$D$6:$D$8,$G26)</f>
        <v>Veggie Pie</v>
      </c>
      <c r="I26" s="88" cm="1">
        <f t="array" ref="I26">INDEX(Inputs_2!$E$6:$E$8,$G26)</f>
        <v>7.5</v>
      </c>
      <c r="J26" s="88" cm="1">
        <f t="array" ref="J26">INDEX(Inputs_2!$F$6:$F$8,$G26)</f>
        <v>1</v>
      </c>
      <c r="K26" s="88">
        <f t="shared" si="0"/>
        <v>202.5</v>
      </c>
      <c r="L26" s="88">
        <f t="shared" si="1"/>
        <v>27</v>
      </c>
      <c r="M26" s="88">
        <f t="shared" si="2"/>
        <v>175.5</v>
      </c>
    </row>
    <row r="27" spans="2:13" x14ac:dyDescent="0.3">
      <c r="B27" s="76">
        <v>43116</v>
      </c>
      <c r="C27" s="33" t="s">
        <v>341</v>
      </c>
      <c r="D27" s="33" t="s">
        <v>123</v>
      </c>
      <c r="E27" s="33">
        <v>180</v>
      </c>
      <c r="F27" s="40">
        <v>180</v>
      </c>
      <c r="G27" s="87">
        <f>MATCH(D27, Inputs_2!$C$6:$C$8,0)</f>
        <v>1</v>
      </c>
      <c r="H27" s="87" t="str" cm="1">
        <f t="array" ref="H27">INDEX(Inputs_2!$D$6:$D$8,$G27)</f>
        <v>Meat Pie</v>
      </c>
      <c r="I27" s="88" cm="1">
        <f t="array" ref="I27">INDEX(Inputs_2!$E$6:$E$8,$G27)</f>
        <v>8</v>
      </c>
      <c r="J27" s="88" cm="1">
        <f t="array" ref="J27">INDEX(Inputs_2!$F$6:$F$8,$G27)</f>
        <v>1.2</v>
      </c>
      <c r="K27" s="88">
        <f t="shared" si="0"/>
        <v>1440</v>
      </c>
      <c r="L27" s="88">
        <f t="shared" si="1"/>
        <v>216</v>
      </c>
      <c r="M27" s="88">
        <f t="shared" si="2"/>
        <v>1224</v>
      </c>
    </row>
    <row r="28" spans="2:13" x14ac:dyDescent="0.3">
      <c r="B28" s="76">
        <v>43116</v>
      </c>
      <c r="C28" s="33" t="s">
        <v>341</v>
      </c>
      <c r="D28" s="33" t="s">
        <v>125</v>
      </c>
      <c r="E28" s="33">
        <v>75</v>
      </c>
      <c r="F28" s="40">
        <v>73</v>
      </c>
      <c r="G28" s="87">
        <f>MATCH(D28, Inputs_2!$C$6:$C$8,0)</f>
        <v>2</v>
      </c>
      <c r="H28" s="87" t="str" cm="1">
        <f t="array" ref="H28">INDEX(Inputs_2!$D$6:$D$8,$G28)</f>
        <v>Meat Pie</v>
      </c>
      <c r="I28" s="88" cm="1">
        <f t="array" ref="I28">INDEX(Inputs_2!$E$6:$E$8,$G28)</f>
        <v>8.5</v>
      </c>
      <c r="J28" s="88" cm="1">
        <f t="array" ref="J28">INDEX(Inputs_2!$F$6:$F$8,$G28)</f>
        <v>1.95</v>
      </c>
      <c r="K28" s="88">
        <f t="shared" si="0"/>
        <v>620.5</v>
      </c>
      <c r="L28" s="88">
        <f t="shared" si="1"/>
        <v>142.35</v>
      </c>
      <c r="M28" s="88">
        <f t="shared" si="2"/>
        <v>478.15</v>
      </c>
    </row>
    <row r="29" spans="2:13" x14ac:dyDescent="0.3">
      <c r="B29" s="76">
        <v>43116</v>
      </c>
      <c r="C29" s="33" t="s">
        <v>341</v>
      </c>
      <c r="D29" s="33" t="s">
        <v>126</v>
      </c>
      <c r="E29" s="33">
        <v>30</v>
      </c>
      <c r="F29" s="40">
        <v>29</v>
      </c>
      <c r="G29" s="87">
        <f>MATCH(D29, Inputs_2!$C$6:$C$8,0)</f>
        <v>3</v>
      </c>
      <c r="H29" s="87" t="str" cm="1">
        <f t="array" ref="H29">INDEX(Inputs_2!$D$6:$D$8,$G29)</f>
        <v>Veggie Pie</v>
      </c>
      <c r="I29" s="88" cm="1">
        <f t="array" ref="I29">INDEX(Inputs_2!$E$6:$E$8,$G29)</f>
        <v>7.5</v>
      </c>
      <c r="J29" s="88" cm="1">
        <f t="array" ref="J29">INDEX(Inputs_2!$F$6:$F$8,$G29)</f>
        <v>1</v>
      </c>
      <c r="K29" s="88">
        <f t="shared" si="0"/>
        <v>217.5</v>
      </c>
      <c r="L29" s="88">
        <f t="shared" si="1"/>
        <v>29</v>
      </c>
      <c r="M29" s="88">
        <f t="shared" si="2"/>
        <v>188.5</v>
      </c>
    </row>
    <row r="30" spans="2:13" x14ac:dyDescent="0.3">
      <c r="B30" s="76">
        <v>43118</v>
      </c>
      <c r="C30" s="33" t="s">
        <v>341</v>
      </c>
      <c r="D30" s="33" t="s">
        <v>123</v>
      </c>
      <c r="E30" s="33">
        <v>180</v>
      </c>
      <c r="F30" s="40">
        <v>178</v>
      </c>
      <c r="G30" s="87">
        <f>MATCH(D30, Inputs_2!$C$6:$C$8,0)</f>
        <v>1</v>
      </c>
      <c r="H30" s="87" t="str" cm="1">
        <f t="array" ref="H30">INDEX(Inputs_2!$D$6:$D$8,$G30)</f>
        <v>Meat Pie</v>
      </c>
      <c r="I30" s="88" cm="1">
        <f t="array" ref="I30">INDEX(Inputs_2!$E$6:$E$8,$G30)</f>
        <v>8</v>
      </c>
      <c r="J30" s="88" cm="1">
        <f t="array" ref="J30">INDEX(Inputs_2!$F$6:$F$8,$G30)</f>
        <v>1.2</v>
      </c>
      <c r="K30" s="88">
        <f t="shared" si="0"/>
        <v>1424</v>
      </c>
      <c r="L30" s="88">
        <f t="shared" si="1"/>
        <v>213.6</v>
      </c>
      <c r="M30" s="88">
        <f t="shared" si="2"/>
        <v>1210.4000000000001</v>
      </c>
    </row>
    <row r="31" spans="2:13" x14ac:dyDescent="0.3">
      <c r="B31" s="76">
        <v>43118</v>
      </c>
      <c r="C31" s="33" t="s">
        <v>341</v>
      </c>
      <c r="D31" s="33" t="s">
        <v>125</v>
      </c>
      <c r="E31" s="33">
        <v>75</v>
      </c>
      <c r="F31" s="40">
        <v>72</v>
      </c>
      <c r="G31" s="87">
        <f>MATCH(D31, Inputs_2!$C$6:$C$8,0)</f>
        <v>2</v>
      </c>
      <c r="H31" s="87" t="str" cm="1">
        <f t="array" ref="H31">INDEX(Inputs_2!$D$6:$D$8,$G31)</f>
        <v>Meat Pie</v>
      </c>
      <c r="I31" s="88" cm="1">
        <f t="array" ref="I31">INDEX(Inputs_2!$E$6:$E$8,$G31)</f>
        <v>8.5</v>
      </c>
      <c r="J31" s="88" cm="1">
        <f t="array" ref="J31">INDEX(Inputs_2!$F$6:$F$8,$G31)</f>
        <v>1.95</v>
      </c>
      <c r="K31" s="88">
        <f t="shared" si="0"/>
        <v>612</v>
      </c>
      <c r="L31" s="88">
        <f t="shared" si="1"/>
        <v>140.4</v>
      </c>
      <c r="M31" s="88">
        <f t="shared" si="2"/>
        <v>471.6</v>
      </c>
    </row>
    <row r="32" spans="2:13" x14ac:dyDescent="0.3">
      <c r="B32" s="76">
        <v>43118</v>
      </c>
      <c r="C32" s="33" t="s">
        <v>341</v>
      </c>
      <c r="D32" s="33" t="s">
        <v>126</v>
      </c>
      <c r="E32" s="33">
        <v>30</v>
      </c>
      <c r="F32" s="40">
        <v>28</v>
      </c>
      <c r="G32" s="87">
        <f>MATCH(D32, Inputs_2!$C$6:$C$8,0)</f>
        <v>3</v>
      </c>
      <c r="H32" s="87" t="str" cm="1">
        <f t="array" ref="H32">INDEX(Inputs_2!$D$6:$D$8,$G32)</f>
        <v>Veggie Pie</v>
      </c>
      <c r="I32" s="88" cm="1">
        <f t="array" ref="I32">INDEX(Inputs_2!$E$6:$E$8,$G32)</f>
        <v>7.5</v>
      </c>
      <c r="J32" s="88" cm="1">
        <f t="array" ref="J32">INDEX(Inputs_2!$F$6:$F$8,$G32)</f>
        <v>1</v>
      </c>
      <c r="K32" s="88">
        <f t="shared" si="0"/>
        <v>210</v>
      </c>
      <c r="L32" s="88">
        <f t="shared" si="1"/>
        <v>28</v>
      </c>
      <c r="M32" s="88">
        <f t="shared" si="2"/>
        <v>182</v>
      </c>
    </row>
    <row r="33" spans="2:13" x14ac:dyDescent="0.3">
      <c r="B33" s="76">
        <v>43120</v>
      </c>
      <c r="C33" s="33" t="s">
        <v>341</v>
      </c>
      <c r="D33" s="33" t="s">
        <v>123</v>
      </c>
      <c r="E33" s="33">
        <v>180</v>
      </c>
      <c r="F33" s="40">
        <v>180</v>
      </c>
      <c r="G33" s="87">
        <f>MATCH(D33, Inputs_2!$C$6:$C$8,0)</f>
        <v>1</v>
      </c>
      <c r="H33" s="87" t="str" cm="1">
        <f t="array" ref="H33">INDEX(Inputs_2!$D$6:$D$8,$G33)</f>
        <v>Meat Pie</v>
      </c>
      <c r="I33" s="88" cm="1">
        <f t="array" ref="I33">INDEX(Inputs_2!$E$6:$E$8,$G33)</f>
        <v>8</v>
      </c>
      <c r="J33" s="88" cm="1">
        <f t="array" ref="J33">INDEX(Inputs_2!$F$6:$F$8,$G33)</f>
        <v>1.2</v>
      </c>
      <c r="K33" s="88">
        <f t="shared" si="0"/>
        <v>1440</v>
      </c>
      <c r="L33" s="88">
        <f t="shared" si="1"/>
        <v>216</v>
      </c>
      <c r="M33" s="88">
        <f t="shared" si="2"/>
        <v>1224</v>
      </c>
    </row>
    <row r="34" spans="2:13" x14ac:dyDescent="0.3">
      <c r="B34" s="76">
        <v>43120</v>
      </c>
      <c r="C34" s="33" t="s">
        <v>341</v>
      </c>
      <c r="D34" s="33" t="s">
        <v>125</v>
      </c>
      <c r="E34" s="33">
        <v>75</v>
      </c>
      <c r="F34" s="40">
        <v>75</v>
      </c>
      <c r="G34" s="87">
        <f>MATCH(D34, Inputs_2!$C$6:$C$8,0)</f>
        <v>2</v>
      </c>
      <c r="H34" s="87" t="str" cm="1">
        <f t="array" ref="H34">INDEX(Inputs_2!$D$6:$D$8,$G34)</f>
        <v>Meat Pie</v>
      </c>
      <c r="I34" s="88" cm="1">
        <f t="array" ref="I34">INDEX(Inputs_2!$E$6:$E$8,$G34)</f>
        <v>8.5</v>
      </c>
      <c r="J34" s="88" cm="1">
        <f t="array" ref="J34">INDEX(Inputs_2!$F$6:$F$8,$G34)</f>
        <v>1.95</v>
      </c>
      <c r="K34" s="88">
        <f t="shared" si="0"/>
        <v>637.5</v>
      </c>
      <c r="L34" s="88">
        <f t="shared" si="1"/>
        <v>146.25</v>
      </c>
      <c r="M34" s="88">
        <f t="shared" si="2"/>
        <v>491.25</v>
      </c>
    </row>
    <row r="35" spans="2:13" x14ac:dyDescent="0.3">
      <c r="B35" s="76">
        <v>43120</v>
      </c>
      <c r="C35" s="33" t="s">
        <v>341</v>
      </c>
      <c r="D35" s="33" t="s">
        <v>126</v>
      </c>
      <c r="E35" s="33">
        <v>30</v>
      </c>
      <c r="F35" s="40">
        <v>30</v>
      </c>
      <c r="G35" s="87">
        <f>MATCH(D35, Inputs_2!$C$6:$C$8,0)</f>
        <v>3</v>
      </c>
      <c r="H35" s="87" t="str" cm="1">
        <f t="array" ref="H35">INDEX(Inputs_2!$D$6:$D$8,$G35)</f>
        <v>Veggie Pie</v>
      </c>
      <c r="I35" s="88" cm="1">
        <f t="array" ref="I35">INDEX(Inputs_2!$E$6:$E$8,$G35)</f>
        <v>7.5</v>
      </c>
      <c r="J35" s="88" cm="1">
        <f t="array" ref="J35">INDEX(Inputs_2!$F$6:$F$8,$G35)</f>
        <v>1</v>
      </c>
      <c r="K35" s="88">
        <f t="shared" si="0"/>
        <v>225</v>
      </c>
      <c r="L35" s="88">
        <f t="shared" si="1"/>
        <v>30</v>
      </c>
      <c r="M35" s="88">
        <f t="shared" si="2"/>
        <v>195</v>
      </c>
    </row>
    <row r="36" spans="2:13" x14ac:dyDescent="0.3">
      <c r="B36" s="76">
        <v>43123</v>
      </c>
      <c r="C36" s="33" t="s">
        <v>341</v>
      </c>
      <c r="D36" s="33" t="s">
        <v>123</v>
      </c>
      <c r="E36" s="33">
        <v>180</v>
      </c>
      <c r="F36" s="40">
        <v>173</v>
      </c>
      <c r="G36" s="87">
        <f>MATCH(D36, Inputs_2!$C$6:$C$8,0)</f>
        <v>1</v>
      </c>
      <c r="H36" s="87" t="str" cm="1">
        <f t="array" ref="H36">INDEX(Inputs_2!$D$6:$D$8,$G36)</f>
        <v>Meat Pie</v>
      </c>
      <c r="I36" s="88" cm="1">
        <f t="array" ref="I36">INDEX(Inputs_2!$E$6:$E$8,$G36)</f>
        <v>8</v>
      </c>
      <c r="J36" s="88" cm="1">
        <f t="array" ref="J36">INDEX(Inputs_2!$F$6:$F$8,$G36)</f>
        <v>1.2</v>
      </c>
      <c r="K36" s="88">
        <f t="shared" si="0"/>
        <v>1384</v>
      </c>
      <c r="L36" s="88">
        <f t="shared" si="1"/>
        <v>207.6</v>
      </c>
      <c r="M36" s="88">
        <f t="shared" si="2"/>
        <v>1176.4000000000001</v>
      </c>
    </row>
    <row r="37" spans="2:13" x14ac:dyDescent="0.3">
      <c r="B37" s="76">
        <v>43123</v>
      </c>
      <c r="C37" s="33" t="s">
        <v>341</v>
      </c>
      <c r="D37" s="33" t="s">
        <v>125</v>
      </c>
      <c r="E37" s="33">
        <v>75</v>
      </c>
      <c r="F37" s="40">
        <v>67</v>
      </c>
      <c r="G37" s="87">
        <f>MATCH(D37, Inputs_2!$C$6:$C$8,0)</f>
        <v>2</v>
      </c>
      <c r="H37" s="87" t="str" cm="1">
        <f t="array" ref="H37">INDEX(Inputs_2!$D$6:$D$8,$G37)</f>
        <v>Meat Pie</v>
      </c>
      <c r="I37" s="88" cm="1">
        <f t="array" ref="I37">INDEX(Inputs_2!$E$6:$E$8,$G37)</f>
        <v>8.5</v>
      </c>
      <c r="J37" s="88" cm="1">
        <f t="array" ref="J37">INDEX(Inputs_2!$F$6:$F$8,$G37)</f>
        <v>1.95</v>
      </c>
      <c r="K37" s="88">
        <f t="shared" si="0"/>
        <v>569.5</v>
      </c>
      <c r="L37" s="88">
        <f t="shared" si="1"/>
        <v>130.65</v>
      </c>
      <c r="M37" s="88">
        <f t="shared" si="2"/>
        <v>438.85</v>
      </c>
    </row>
    <row r="38" spans="2:13" x14ac:dyDescent="0.3">
      <c r="B38" s="76">
        <v>43123</v>
      </c>
      <c r="C38" s="33" t="s">
        <v>341</v>
      </c>
      <c r="D38" s="33" t="s">
        <v>126</v>
      </c>
      <c r="E38" s="33">
        <v>30</v>
      </c>
      <c r="F38" s="40">
        <v>26</v>
      </c>
      <c r="G38" s="87">
        <f>MATCH(D38, Inputs_2!$C$6:$C$8,0)</f>
        <v>3</v>
      </c>
      <c r="H38" s="87" t="str" cm="1">
        <f t="array" ref="H38">INDEX(Inputs_2!$D$6:$D$8,$G38)</f>
        <v>Veggie Pie</v>
      </c>
      <c r="I38" s="88" cm="1">
        <f t="array" ref="I38">INDEX(Inputs_2!$E$6:$E$8,$G38)</f>
        <v>7.5</v>
      </c>
      <c r="J38" s="88" cm="1">
        <f t="array" ref="J38">INDEX(Inputs_2!$F$6:$F$8,$G38)</f>
        <v>1</v>
      </c>
      <c r="K38" s="88">
        <f t="shared" si="0"/>
        <v>195</v>
      </c>
      <c r="L38" s="88">
        <f t="shared" si="1"/>
        <v>26</v>
      </c>
      <c r="M38" s="88">
        <f t="shared" si="2"/>
        <v>169</v>
      </c>
    </row>
    <row r="39" spans="2:13" x14ac:dyDescent="0.3">
      <c r="B39" s="76">
        <v>43125</v>
      </c>
      <c r="C39" s="33" t="s">
        <v>341</v>
      </c>
      <c r="D39" s="33" t="s">
        <v>123</v>
      </c>
      <c r="E39" s="33">
        <v>180</v>
      </c>
      <c r="F39" s="40">
        <v>180</v>
      </c>
      <c r="G39" s="87">
        <f>MATCH(D39, Inputs_2!$C$6:$C$8,0)</f>
        <v>1</v>
      </c>
      <c r="H39" s="87" t="str" cm="1">
        <f t="array" ref="H39">INDEX(Inputs_2!$D$6:$D$8,$G39)</f>
        <v>Meat Pie</v>
      </c>
      <c r="I39" s="88" cm="1">
        <f t="array" ref="I39">INDEX(Inputs_2!$E$6:$E$8,$G39)</f>
        <v>8</v>
      </c>
      <c r="J39" s="88" cm="1">
        <f t="array" ref="J39">INDEX(Inputs_2!$F$6:$F$8,$G39)</f>
        <v>1.2</v>
      </c>
      <c r="K39" s="88">
        <f t="shared" si="0"/>
        <v>1440</v>
      </c>
      <c r="L39" s="88">
        <f t="shared" si="1"/>
        <v>216</v>
      </c>
      <c r="M39" s="88">
        <f t="shared" si="2"/>
        <v>1224</v>
      </c>
    </row>
    <row r="40" spans="2:13" x14ac:dyDescent="0.3">
      <c r="B40" s="76">
        <v>43125</v>
      </c>
      <c r="C40" s="33" t="s">
        <v>341</v>
      </c>
      <c r="D40" s="33" t="s">
        <v>125</v>
      </c>
      <c r="E40" s="33">
        <v>75</v>
      </c>
      <c r="F40" s="40">
        <v>74</v>
      </c>
      <c r="G40" s="87">
        <f>MATCH(D40, Inputs_2!$C$6:$C$8,0)</f>
        <v>2</v>
      </c>
      <c r="H40" s="87" t="str" cm="1">
        <f t="array" ref="H40">INDEX(Inputs_2!$D$6:$D$8,$G40)</f>
        <v>Meat Pie</v>
      </c>
      <c r="I40" s="88" cm="1">
        <f t="array" ref="I40">INDEX(Inputs_2!$E$6:$E$8,$G40)</f>
        <v>8.5</v>
      </c>
      <c r="J40" s="88" cm="1">
        <f t="array" ref="J40">INDEX(Inputs_2!$F$6:$F$8,$G40)</f>
        <v>1.95</v>
      </c>
      <c r="K40" s="88">
        <f t="shared" si="0"/>
        <v>629</v>
      </c>
      <c r="L40" s="88">
        <f t="shared" si="1"/>
        <v>144.29999999999998</v>
      </c>
      <c r="M40" s="88">
        <f t="shared" si="2"/>
        <v>484.70000000000005</v>
      </c>
    </row>
    <row r="41" spans="2:13" x14ac:dyDescent="0.3">
      <c r="B41" s="76">
        <v>43125</v>
      </c>
      <c r="C41" s="33" t="s">
        <v>341</v>
      </c>
      <c r="D41" s="33" t="s">
        <v>126</v>
      </c>
      <c r="E41" s="33">
        <v>30</v>
      </c>
      <c r="F41" s="40">
        <v>29</v>
      </c>
      <c r="G41" s="87">
        <f>MATCH(D41, Inputs_2!$C$6:$C$8,0)</f>
        <v>3</v>
      </c>
      <c r="H41" s="87" t="str" cm="1">
        <f t="array" ref="H41">INDEX(Inputs_2!$D$6:$D$8,$G41)</f>
        <v>Veggie Pie</v>
      </c>
      <c r="I41" s="88" cm="1">
        <f t="array" ref="I41">INDEX(Inputs_2!$E$6:$E$8,$G41)</f>
        <v>7.5</v>
      </c>
      <c r="J41" s="88" cm="1">
        <f t="array" ref="J41">INDEX(Inputs_2!$F$6:$F$8,$G41)</f>
        <v>1</v>
      </c>
      <c r="K41" s="88">
        <f t="shared" si="0"/>
        <v>217.5</v>
      </c>
      <c r="L41" s="88">
        <f t="shared" si="1"/>
        <v>29</v>
      </c>
      <c r="M41" s="88">
        <f t="shared" si="2"/>
        <v>188.5</v>
      </c>
    </row>
    <row r="42" spans="2:13" x14ac:dyDescent="0.3">
      <c r="B42" s="76">
        <v>43127</v>
      </c>
      <c r="C42" s="33" t="s">
        <v>341</v>
      </c>
      <c r="D42" s="33" t="s">
        <v>123</v>
      </c>
      <c r="E42" s="33">
        <v>180</v>
      </c>
      <c r="F42" s="40">
        <v>180</v>
      </c>
      <c r="G42" s="87">
        <f>MATCH(D42, Inputs_2!$C$6:$C$8,0)</f>
        <v>1</v>
      </c>
      <c r="H42" s="87" t="str" cm="1">
        <f t="array" ref="H42">INDEX(Inputs_2!$D$6:$D$8,$G42)</f>
        <v>Meat Pie</v>
      </c>
      <c r="I42" s="88" cm="1">
        <f t="array" ref="I42">INDEX(Inputs_2!$E$6:$E$8,$G42)</f>
        <v>8</v>
      </c>
      <c r="J42" s="88" cm="1">
        <f t="array" ref="J42">INDEX(Inputs_2!$F$6:$F$8,$G42)</f>
        <v>1.2</v>
      </c>
      <c r="K42" s="88">
        <f t="shared" si="0"/>
        <v>1440</v>
      </c>
      <c r="L42" s="88">
        <f t="shared" si="1"/>
        <v>216</v>
      </c>
      <c r="M42" s="88">
        <f t="shared" si="2"/>
        <v>1224</v>
      </c>
    </row>
    <row r="43" spans="2:13" x14ac:dyDescent="0.3">
      <c r="B43" s="76">
        <v>43127</v>
      </c>
      <c r="C43" s="33" t="s">
        <v>341</v>
      </c>
      <c r="D43" s="33" t="s">
        <v>125</v>
      </c>
      <c r="E43" s="33">
        <v>75</v>
      </c>
      <c r="F43" s="40">
        <v>75</v>
      </c>
      <c r="G43" s="87">
        <f>MATCH(D43, Inputs_2!$C$6:$C$8,0)</f>
        <v>2</v>
      </c>
      <c r="H43" s="87" t="str" cm="1">
        <f t="array" ref="H43">INDEX(Inputs_2!$D$6:$D$8,$G43)</f>
        <v>Meat Pie</v>
      </c>
      <c r="I43" s="88" cm="1">
        <f t="array" ref="I43">INDEX(Inputs_2!$E$6:$E$8,$G43)</f>
        <v>8.5</v>
      </c>
      <c r="J43" s="88" cm="1">
        <f t="array" ref="J43">INDEX(Inputs_2!$F$6:$F$8,$G43)</f>
        <v>1.95</v>
      </c>
      <c r="K43" s="88">
        <f t="shared" si="0"/>
        <v>637.5</v>
      </c>
      <c r="L43" s="88">
        <f t="shared" si="1"/>
        <v>146.25</v>
      </c>
      <c r="M43" s="88">
        <f t="shared" si="2"/>
        <v>491.25</v>
      </c>
    </row>
    <row r="44" spans="2:13" x14ac:dyDescent="0.3">
      <c r="B44" s="76">
        <v>43127</v>
      </c>
      <c r="C44" s="33" t="s">
        <v>341</v>
      </c>
      <c r="D44" s="33" t="s">
        <v>126</v>
      </c>
      <c r="E44" s="33">
        <v>30</v>
      </c>
      <c r="F44" s="40">
        <v>26</v>
      </c>
      <c r="G44" s="87">
        <f>MATCH(D44, Inputs_2!$C$6:$C$8,0)</f>
        <v>3</v>
      </c>
      <c r="H44" s="87" t="str" cm="1">
        <f t="array" ref="H44">INDEX(Inputs_2!$D$6:$D$8,$G44)</f>
        <v>Veggie Pie</v>
      </c>
      <c r="I44" s="88" cm="1">
        <f t="array" ref="I44">INDEX(Inputs_2!$E$6:$E$8,$G44)</f>
        <v>7.5</v>
      </c>
      <c r="J44" s="88" cm="1">
        <f t="array" ref="J44">INDEX(Inputs_2!$F$6:$F$8,$G44)</f>
        <v>1</v>
      </c>
      <c r="K44" s="88">
        <f t="shared" si="0"/>
        <v>195</v>
      </c>
      <c r="L44" s="88">
        <f t="shared" si="1"/>
        <v>26</v>
      </c>
      <c r="M44" s="88">
        <f t="shared" si="2"/>
        <v>169</v>
      </c>
    </row>
    <row r="45" spans="2:13" x14ac:dyDescent="0.3">
      <c r="B45" s="76">
        <v>43130</v>
      </c>
      <c r="C45" s="33" t="s">
        <v>341</v>
      </c>
      <c r="D45" s="33" t="s">
        <v>123</v>
      </c>
      <c r="E45" s="33">
        <v>180</v>
      </c>
      <c r="F45" s="40">
        <v>168</v>
      </c>
      <c r="G45" s="87">
        <f>MATCH(D45, Inputs_2!$C$6:$C$8,0)</f>
        <v>1</v>
      </c>
      <c r="H45" s="87" t="str" cm="1">
        <f t="array" ref="H45">INDEX(Inputs_2!$D$6:$D$8,$G45)</f>
        <v>Meat Pie</v>
      </c>
      <c r="I45" s="88" cm="1">
        <f t="array" ref="I45">INDEX(Inputs_2!$E$6:$E$8,$G45)</f>
        <v>8</v>
      </c>
      <c r="J45" s="88" cm="1">
        <f t="array" ref="J45">INDEX(Inputs_2!$F$6:$F$8,$G45)</f>
        <v>1.2</v>
      </c>
      <c r="K45" s="88">
        <f t="shared" si="0"/>
        <v>1344</v>
      </c>
      <c r="L45" s="88">
        <f t="shared" si="1"/>
        <v>201.6</v>
      </c>
      <c r="M45" s="88">
        <f t="shared" si="2"/>
        <v>1142.4000000000001</v>
      </c>
    </row>
    <row r="46" spans="2:13" x14ac:dyDescent="0.3">
      <c r="B46" s="76">
        <v>43130</v>
      </c>
      <c r="C46" s="33" t="s">
        <v>341</v>
      </c>
      <c r="D46" s="33" t="s">
        <v>125</v>
      </c>
      <c r="E46" s="33">
        <v>75</v>
      </c>
      <c r="F46" s="40">
        <v>73</v>
      </c>
      <c r="G46" s="87">
        <f>MATCH(D46, Inputs_2!$C$6:$C$8,0)</f>
        <v>2</v>
      </c>
      <c r="H46" s="87" t="str" cm="1">
        <f t="array" ref="H46">INDEX(Inputs_2!$D$6:$D$8,$G46)</f>
        <v>Meat Pie</v>
      </c>
      <c r="I46" s="88" cm="1">
        <f t="array" ref="I46">INDEX(Inputs_2!$E$6:$E$8,$G46)</f>
        <v>8.5</v>
      </c>
      <c r="J46" s="88" cm="1">
        <f t="array" ref="J46">INDEX(Inputs_2!$F$6:$F$8,$G46)</f>
        <v>1.95</v>
      </c>
      <c r="K46" s="88">
        <f t="shared" si="0"/>
        <v>620.5</v>
      </c>
      <c r="L46" s="88">
        <f t="shared" si="1"/>
        <v>142.35</v>
      </c>
      <c r="M46" s="88">
        <f t="shared" si="2"/>
        <v>478.15</v>
      </c>
    </row>
    <row r="47" spans="2:13" x14ac:dyDescent="0.3">
      <c r="B47" s="76">
        <v>43130</v>
      </c>
      <c r="C47" s="33" t="s">
        <v>341</v>
      </c>
      <c r="D47" s="33" t="s">
        <v>126</v>
      </c>
      <c r="E47" s="33">
        <v>30</v>
      </c>
      <c r="F47" s="40">
        <v>24</v>
      </c>
      <c r="G47" s="87">
        <f>MATCH(D47, Inputs_2!$C$6:$C$8,0)</f>
        <v>3</v>
      </c>
      <c r="H47" s="87" t="str" cm="1">
        <f t="array" ref="H47">INDEX(Inputs_2!$D$6:$D$8,$G47)</f>
        <v>Veggie Pie</v>
      </c>
      <c r="I47" s="88" cm="1">
        <f t="array" ref="I47">INDEX(Inputs_2!$E$6:$E$8,$G47)</f>
        <v>7.5</v>
      </c>
      <c r="J47" s="88" cm="1">
        <f t="array" ref="J47">INDEX(Inputs_2!$F$6:$F$8,$G47)</f>
        <v>1</v>
      </c>
      <c r="K47" s="88">
        <f t="shared" si="0"/>
        <v>180</v>
      </c>
      <c r="L47" s="88">
        <f t="shared" si="1"/>
        <v>24</v>
      </c>
      <c r="M47" s="88">
        <f t="shared" si="2"/>
        <v>156</v>
      </c>
    </row>
    <row r="48" spans="2:13" x14ac:dyDescent="0.3">
      <c r="B48" s="76">
        <v>43132</v>
      </c>
      <c r="C48" s="33" t="s">
        <v>341</v>
      </c>
      <c r="D48" s="33" t="s">
        <v>123</v>
      </c>
      <c r="E48" s="33">
        <v>180</v>
      </c>
      <c r="F48" s="40">
        <v>179</v>
      </c>
      <c r="G48" s="87">
        <f>MATCH(D48, Inputs_2!$C$6:$C$8,0)</f>
        <v>1</v>
      </c>
      <c r="H48" s="87" t="str" cm="1">
        <f t="array" ref="H48">INDEX(Inputs_2!$D$6:$D$8,$G48)</f>
        <v>Meat Pie</v>
      </c>
      <c r="I48" s="88" cm="1">
        <f t="array" ref="I48">INDEX(Inputs_2!$E$6:$E$8,$G48)</f>
        <v>8</v>
      </c>
      <c r="J48" s="88" cm="1">
        <f t="array" ref="J48">INDEX(Inputs_2!$F$6:$F$8,$G48)</f>
        <v>1.2</v>
      </c>
      <c r="K48" s="88">
        <f t="shared" si="0"/>
        <v>1432</v>
      </c>
      <c r="L48" s="88">
        <f t="shared" si="1"/>
        <v>214.79999999999998</v>
      </c>
      <c r="M48" s="88">
        <f t="shared" si="2"/>
        <v>1217.2</v>
      </c>
    </row>
    <row r="49" spans="2:13" x14ac:dyDescent="0.3">
      <c r="B49" s="76">
        <v>43132</v>
      </c>
      <c r="C49" s="33" t="s">
        <v>341</v>
      </c>
      <c r="D49" s="33" t="s">
        <v>125</v>
      </c>
      <c r="E49" s="33">
        <v>75</v>
      </c>
      <c r="F49" s="40">
        <v>71</v>
      </c>
      <c r="G49" s="87">
        <f>MATCH(D49, Inputs_2!$C$6:$C$8,0)</f>
        <v>2</v>
      </c>
      <c r="H49" s="87" t="str" cm="1">
        <f t="array" ref="H49">INDEX(Inputs_2!$D$6:$D$8,$G49)</f>
        <v>Meat Pie</v>
      </c>
      <c r="I49" s="88" cm="1">
        <f t="array" ref="I49">INDEX(Inputs_2!$E$6:$E$8,$G49)</f>
        <v>8.5</v>
      </c>
      <c r="J49" s="88" cm="1">
        <f t="array" ref="J49">INDEX(Inputs_2!$F$6:$F$8,$G49)</f>
        <v>1.95</v>
      </c>
      <c r="K49" s="88">
        <f t="shared" si="0"/>
        <v>603.5</v>
      </c>
      <c r="L49" s="88">
        <f t="shared" si="1"/>
        <v>138.44999999999999</v>
      </c>
      <c r="M49" s="88">
        <f t="shared" si="2"/>
        <v>465.05</v>
      </c>
    </row>
    <row r="50" spans="2:13" x14ac:dyDescent="0.3">
      <c r="B50" s="76">
        <v>43132</v>
      </c>
      <c r="C50" s="33" t="s">
        <v>341</v>
      </c>
      <c r="D50" s="33" t="s">
        <v>126</v>
      </c>
      <c r="E50" s="33">
        <v>30</v>
      </c>
      <c r="F50" s="40">
        <v>23</v>
      </c>
      <c r="G50" s="87">
        <f>MATCH(D50, Inputs_2!$C$6:$C$8,0)</f>
        <v>3</v>
      </c>
      <c r="H50" s="87" t="str" cm="1">
        <f t="array" ref="H50">INDEX(Inputs_2!$D$6:$D$8,$G50)</f>
        <v>Veggie Pie</v>
      </c>
      <c r="I50" s="88" cm="1">
        <f t="array" ref="I50">INDEX(Inputs_2!$E$6:$E$8,$G50)</f>
        <v>7.5</v>
      </c>
      <c r="J50" s="88" cm="1">
        <f t="array" ref="J50">INDEX(Inputs_2!$F$6:$F$8,$G50)</f>
        <v>1</v>
      </c>
      <c r="K50" s="88">
        <f t="shared" si="0"/>
        <v>172.5</v>
      </c>
      <c r="L50" s="88">
        <f t="shared" si="1"/>
        <v>23</v>
      </c>
      <c r="M50" s="88">
        <f t="shared" si="2"/>
        <v>149.5</v>
      </c>
    </row>
    <row r="51" spans="2:13" x14ac:dyDescent="0.3">
      <c r="B51" s="76">
        <v>43134</v>
      </c>
      <c r="C51" s="33" t="s">
        <v>341</v>
      </c>
      <c r="D51" s="33" t="s">
        <v>123</v>
      </c>
      <c r="E51" s="33">
        <v>180</v>
      </c>
      <c r="F51" s="40">
        <v>180</v>
      </c>
      <c r="G51" s="87">
        <f>MATCH(D51, Inputs_2!$C$6:$C$8,0)</f>
        <v>1</v>
      </c>
      <c r="H51" s="87" t="str" cm="1">
        <f t="array" ref="H51">INDEX(Inputs_2!$D$6:$D$8,$G51)</f>
        <v>Meat Pie</v>
      </c>
      <c r="I51" s="88" cm="1">
        <f t="array" ref="I51">INDEX(Inputs_2!$E$6:$E$8,$G51)</f>
        <v>8</v>
      </c>
      <c r="J51" s="88" cm="1">
        <f t="array" ref="J51">INDEX(Inputs_2!$F$6:$F$8,$G51)</f>
        <v>1.2</v>
      </c>
      <c r="K51" s="88">
        <f t="shared" si="0"/>
        <v>1440</v>
      </c>
      <c r="L51" s="88">
        <f t="shared" si="1"/>
        <v>216</v>
      </c>
      <c r="M51" s="88">
        <f t="shared" si="2"/>
        <v>1224</v>
      </c>
    </row>
    <row r="52" spans="2:13" x14ac:dyDescent="0.3">
      <c r="B52" s="76">
        <v>43134</v>
      </c>
      <c r="C52" s="33" t="s">
        <v>341</v>
      </c>
      <c r="D52" s="33" t="s">
        <v>125</v>
      </c>
      <c r="E52" s="33">
        <v>75</v>
      </c>
      <c r="F52" s="40">
        <v>75</v>
      </c>
      <c r="G52" s="87">
        <f>MATCH(D52, Inputs_2!$C$6:$C$8,0)</f>
        <v>2</v>
      </c>
      <c r="H52" s="87" t="str" cm="1">
        <f t="array" ref="H52">INDEX(Inputs_2!$D$6:$D$8,$G52)</f>
        <v>Meat Pie</v>
      </c>
      <c r="I52" s="88" cm="1">
        <f t="array" ref="I52">INDEX(Inputs_2!$E$6:$E$8,$G52)</f>
        <v>8.5</v>
      </c>
      <c r="J52" s="88" cm="1">
        <f t="array" ref="J52">INDEX(Inputs_2!$F$6:$F$8,$G52)</f>
        <v>1.95</v>
      </c>
      <c r="K52" s="88">
        <f t="shared" si="0"/>
        <v>637.5</v>
      </c>
      <c r="L52" s="88">
        <f t="shared" si="1"/>
        <v>146.25</v>
      </c>
      <c r="M52" s="88">
        <f t="shared" si="2"/>
        <v>491.25</v>
      </c>
    </row>
    <row r="53" spans="2:13" x14ac:dyDescent="0.3">
      <c r="B53" s="76">
        <v>43134</v>
      </c>
      <c r="C53" s="33" t="s">
        <v>341</v>
      </c>
      <c r="D53" s="33" t="s">
        <v>126</v>
      </c>
      <c r="E53" s="33">
        <v>30</v>
      </c>
      <c r="F53" s="40">
        <v>30</v>
      </c>
      <c r="G53" s="87">
        <f>MATCH(D53, Inputs_2!$C$6:$C$8,0)</f>
        <v>3</v>
      </c>
      <c r="H53" s="87" t="str" cm="1">
        <f t="array" ref="H53">INDEX(Inputs_2!$D$6:$D$8,$G53)</f>
        <v>Veggie Pie</v>
      </c>
      <c r="I53" s="88" cm="1">
        <f t="array" ref="I53">INDEX(Inputs_2!$E$6:$E$8,$G53)</f>
        <v>7.5</v>
      </c>
      <c r="J53" s="88" cm="1">
        <f t="array" ref="J53">INDEX(Inputs_2!$F$6:$F$8,$G53)</f>
        <v>1</v>
      </c>
      <c r="K53" s="88">
        <f t="shared" si="0"/>
        <v>225</v>
      </c>
      <c r="L53" s="88">
        <f t="shared" si="1"/>
        <v>30</v>
      </c>
      <c r="M53" s="88">
        <f t="shared" si="2"/>
        <v>195</v>
      </c>
    </row>
    <row r="54" spans="2:13" x14ac:dyDescent="0.3">
      <c r="B54" s="76">
        <v>43137</v>
      </c>
      <c r="C54" s="33" t="s">
        <v>341</v>
      </c>
      <c r="D54" s="33" t="s">
        <v>123</v>
      </c>
      <c r="E54" s="33">
        <v>180</v>
      </c>
      <c r="F54" s="40">
        <v>173</v>
      </c>
      <c r="G54" s="87">
        <f>MATCH(D54, Inputs_2!$C$6:$C$8,0)</f>
        <v>1</v>
      </c>
      <c r="H54" s="87" t="str" cm="1">
        <f t="array" ref="H54">INDEX(Inputs_2!$D$6:$D$8,$G54)</f>
        <v>Meat Pie</v>
      </c>
      <c r="I54" s="88" cm="1">
        <f t="array" ref="I54">INDEX(Inputs_2!$E$6:$E$8,$G54)</f>
        <v>8</v>
      </c>
      <c r="J54" s="88" cm="1">
        <f t="array" ref="J54">INDEX(Inputs_2!$F$6:$F$8,$G54)</f>
        <v>1.2</v>
      </c>
      <c r="K54" s="88">
        <f t="shared" si="0"/>
        <v>1384</v>
      </c>
      <c r="L54" s="88">
        <f t="shared" si="1"/>
        <v>207.6</v>
      </c>
      <c r="M54" s="88">
        <f t="shared" si="2"/>
        <v>1176.4000000000001</v>
      </c>
    </row>
    <row r="55" spans="2:13" x14ac:dyDescent="0.3">
      <c r="B55" s="76">
        <v>43137</v>
      </c>
      <c r="C55" s="33" t="s">
        <v>341</v>
      </c>
      <c r="D55" s="33" t="s">
        <v>125</v>
      </c>
      <c r="E55" s="33">
        <v>75</v>
      </c>
      <c r="F55" s="40">
        <v>72</v>
      </c>
      <c r="G55" s="87">
        <f>MATCH(D55, Inputs_2!$C$6:$C$8,0)</f>
        <v>2</v>
      </c>
      <c r="H55" s="87" t="str" cm="1">
        <f t="array" ref="H55">INDEX(Inputs_2!$D$6:$D$8,$G55)</f>
        <v>Meat Pie</v>
      </c>
      <c r="I55" s="88" cm="1">
        <f t="array" ref="I55">INDEX(Inputs_2!$E$6:$E$8,$G55)</f>
        <v>8.5</v>
      </c>
      <c r="J55" s="88" cm="1">
        <f t="array" ref="J55">INDEX(Inputs_2!$F$6:$F$8,$G55)</f>
        <v>1.95</v>
      </c>
      <c r="K55" s="88">
        <f t="shared" si="0"/>
        <v>612</v>
      </c>
      <c r="L55" s="88">
        <f t="shared" si="1"/>
        <v>140.4</v>
      </c>
      <c r="M55" s="88">
        <f t="shared" si="2"/>
        <v>471.6</v>
      </c>
    </row>
    <row r="56" spans="2:13" x14ac:dyDescent="0.3">
      <c r="B56" s="76">
        <v>43137</v>
      </c>
      <c r="C56" s="33" t="s">
        <v>341</v>
      </c>
      <c r="D56" s="33" t="s">
        <v>126</v>
      </c>
      <c r="E56" s="33">
        <v>30</v>
      </c>
      <c r="F56" s="40">
        <v>26</v>
      </c>
      <c r="G56" s="87">
        <f>MATCH(D56, Inputs_2!$C$6:$C$8,0)</f>
        <v>3</v>
      </c>
      <c r="H56" s="87" t="str" cm="1">
        <f t="array" ref="H56">INDEX(Inputs_2!$D$6:$D$8,$G56)</f>
        <v>Veggie Pie</v>
      </c>
      <c r="I56" s="88" cm="1">
        <f t="array" ref="I56">INDEX(Inputs_2!$E$6:$E$8,$G56)</f>
        <v>7.5</v>
      </c>
      <c r="J56" s="88" cm="1">
        <f t="array" ref="J56">INDEX(Inputs_2!$F$6:$F$8,$G56)</f>
        <v>1</v>
      </c>
      <c r="K56" s="88">
        <f t="shared" si="0"/>
        <v>195</v>
      </c>
      <c r="L56" s="88">
        <f t="shared" si="1"/>
        <v>26</v>
      </c>
      <c r="M56" s="88">
        <f t="shared" si="2"/>
        <v>169</v>
      </c>
    </row>
    <row r="57" spans="2:13" x14ac:dyDescent="0.3">
      <c r="B57" s="76">
        <v>43139</v>
      </c>
      <c r="C57" s="33" t="s">
        <v>341</v>
      </c>
      <c r="D57" s="33" t="s">
        <v>123</v>
      </c>
      <c r="E57" s="33">
        <v>180</v>
      </c>
      <c r="F57" s="40">
        <v>178</v>
      </c>
      <c r="G57" s="87">
        <f>MATCH(D57, Inputs_2!$C$6:$C$8,0)</f>
        <v>1</v>
      </c>
      <c r="H57" s="87" t="str" cm="1">
        <f t="array" ref="H57">INDEX(Inputs_2!$D$6:$D$8,$G57)</f>
        <v>Meat Pie</v>
      </c>
      <c r="I57" s="88" cm="1">
        <f t="array" ref="I57">INDEX(Inputs_2!$E$6:$E$8,$G57)</f>
        <v>8</v>
      </c>
      <c r="J57" s="88" cm="1">
        <f t="array" ref="J57">INDEX(Inputs_2!$F$6:$F$8,$G57)</f>
        <v>1.2</v>
      </c>
      <c r="K57" s="88">
        <f t="shared" si="0"/>
        <v>1424</v>
      </c>
      <c r="L57" s="88">
        <f t="shared" si="1"/>
        <v>213.6</v>
      </c>
      <c r="M57" s="88">
        <f t="shared" si="2"/>
        <v>1210.4000000000001</v>
      </c>
    </row>
    <row r="58" spans="2:13" x14ac:dyDescent="0.3">
      <c r="B58" s="76">
        <v>43139</v>
      </c>
      <c r="C58" s="33" t="s">
        <v>341</v>
      </c>
      <c r="D58" s="33" t="s">
        <v>125</v>
      </c>
      <c r="E58" s="33">
        <v>75</v>
      </c>
      <c r="F58" s="40">
        <v>74</v>
      </c>
      <c r="G58" s="87">
        <f>MATCH(D58, Inputs_2!$C$6:$C$8,0)</f>
        <v>2</v>
      </c>
      <c r="H58" s="87" t="str" cm="1">
        <f t="array" ref="H58">INDEX(Inputs_2!$D$6:$D$8,$G58)</f>
        <v>Meat Pie</v>
      </c>
      <c r="I58" s="88" cm="1">
        <f t="array" ref="I58">INDEX(Inputs_2!$E$6:$E$8,$G58)</f>
        <v>8.5</v>
      </c>
      <c r="J58" s="88" cm="1">
        <f t="array" ref="J58">INDEX(Inputs_2!$F$6:$F$8,$G58)</f>
        <v>1.95</v>
      </c>
      <c r="K58" s="88">
        <f t="shared" si="0"/>
        <v>629</v>
      </c>
      <c r="L58" s="88">
        <f t="shared" si="1"/>
        <v>144.29999999999998</v>
      </c>
      <c r="M58" s="88">
        <f t="shared" si="2"/>
        <v>484.70000000000005</v>
      </c>
    </row>
    <row r="59" spans="2:13" x14ac:dyDescent="0.3">
      <c r="B59" s="76">
        <v>43139</v>
      </c>
      <c r="C59" s="33" t="s">
        <v>341</v>
      </c>
      <c r="D59" s="33" t="s">
        <v>126</v>
      </c>
      <c r="E59" s="33">
        <v>30</v>
      </c>
      <c r="F59" s="40">
        <v>29</v>
      </c>
      <c r="G59" s="87">
        <f>MATCH(D59, Inputs_2!$C$6:$C$8,0)</f>
        <v>3</v>
      </c>
      <c r="H59" s="87" t="str" cm="1">
        <f t="array" ref="H59">INDEX(Inputs_2!$D$6:$D$8,$G59)</f>
        <v>Veggie Pie</v>
      </c>
      <c r="I59" s="88" cm="1">
        <f t="array" ref="I59">INDEX(Inputs_2!$E$6:$E$8,$G59)</f>
        <v>7.5</v>
      </c>
      <c r="J59" s="88" cm="1">
        <f t="array" ref="J59">INDEX(Inputs_2!$F$6:$F$8,$G59)</f>
        <v>1</v>
      </c>
      <c r="K59" s="88">
        <f t="shared" si="0"/>
        <v>217.5</v>
      </c>
      <c r="L59" s="88">
        <f t="shared" si="1"/>
        <v>29</v>
      </c>
      <c r="M59" s="88">
        <f t="shared" si="2"/>
        <v>188.5</v>
      </c>
    </row>
    <row r="60" spans="2:13" x14ac:dyDescent="0.3">
      <c r="B60" s="76">
        <v>43141</v>
      </c>
      <c r="C60" s="33" t="s">
        <v>341</v>
      </c>
      <c r="D60" s="33" t="s">
        <v>123</v>
      </c>
      <c r="E60" s="33">
        <v>180</v>
      </c>
      <c r="F60" s="40">
        <v>180</v>
      </c>
      <c r="G60" s="87">
        <f>MATCH(D60, Inputs_2!$C$6:$C$8,0)</f>
        <v>1</v>
      </c>
      <c r="H60" s="87" t="str" cm="1">
        <f t="array" ref="H60">INDEX(Inputs_2!$D$6:$D$8,$G60)</f>
        <v>Meat Pie</v>
      </c>
      <c r="I60" s="88" cm="1">
        <f t="array" ref="I60">INDEX(Inputs_2!$E$6:$E$8,$G60)</f>
        <v>8</v>
      </c>
      <c r="J60" s="88" cm="1">
        <f t="array" ref="J60">INDEX(Inputs_2!$F$6:$F$8,$G60)</f>
        <v>1.2</v>
      </c>
      <c r="K60" s="88">
        <f t="shared" si="0"/>
        <v>1440</v>
      </c>
      <c r="L60" s="88">
        <f t="shared" si="1"/>
        <v>216</v>
      </c>
      <c r="M60" s="88">
        <f t="shared" si="2"/>
        <v>1224</v>
      </c>
    </row>
    <row r="61" spans="2:13" x14ac:dyDescent="0.3">
      <c r="B61" s="76">
        <v>43141</v>
      </c>
      <c r="C61" s="33" t="s">
        <v>341</v>
      </c>
      <c r="D61" s="33" t="s">
        <v>125</v>
      </c>
      <c r="E61" s="33">
        <v>75</v>
      </c>
      <c r="F61" s="40">
        <v>75</v>
      </c>
      <c r="G61" s="87">
        <f>MATCH(D61, Inputs_2!$C$6:$C$8,0)</f>
        <v>2</v>
      </c>
      <c r="H61" s="87" t="str" cm="1">
        <f t="array" ref="H61">INDEX(Inputs_2!$D$6:$D$8,$G61)</f>
        <v>Meat Pie</v>
      </c>
      <c r="I61" s="88" cm="1">
        <f t="array" ref="I61">INDEX(Inputs_2!$E$6:$E$8,$G61)</f>
        <v>8.5</v>
      </c>
      <c r="J61" s="88" cm="1">
        <f t="array" ref="J61">INDEX(Inputs_2!$F$6:$F$8,$G61)</f>
        <v>1.95</v>
      </c>
      <c r="K61" s="88">
        <f t="shared" si="0"/>
        <v>637.5</v>
      </c>
      <c r="L61" s="88">
        <f t="shared" si="1"/>
        <v>146.25</v>
      </c>
      <c r="M61" s="88">
        <f t="shared" si="2"/>
        <v>491.25</v>
      </c>
    </row>
    <row r="62" spans="2:13" x14ac:dyDescent="0.3">
      <c r="B62" s="76">
        <v>43141</v>
      </c>
      <c r="C62" s="33" t="s">
        <v>341</v>
      </c>
      <c r="D62" s="33" t="s">
        <v>126</v>
      </c>
      <c r="E62" s="33">
        <v>30</v>
      </c>
      <c r="F62" s="40">
        <v>29</v>
      </c>
      <c r="G62" s="87">
        <f>MATCH(D62, Inputs_2!$C$6:$C$8,0)</f>
        <v>3</v>
      </c>
      <c r="H62" s="87" t="str" cm="1">
        <f t="array" ref="H62">INDEX(Inputs_2!$D$6:$D$8,$G62)</f>
        <v>Veggie Pie</v>
      </c>
      <c r="I62" s="88" cm="1">
        <f t="array" ref="I62">INDEX(Inputs_2!$E$6:$E$8,$G62)</f>
        <v>7.5</v>
      </c>
      <c r="J62" s="88" cm="1">
        <f t="array" ref="J62">INDEX(Inputs_2!$F$6:$F$8,$G62)</f>
        <v>1</v>
      </c>
      <c r="K62" s="88">
        <f t="shared" si="0"/>
        <v>217.5</v>
      </c>
      <c r="L62" s="88">
        <f t="shared" si="1"/>
        <v>29</v>
      </c>
      <c r="M62" s="88">
        <f t="shared" si="2"/>
        <v>188.5</v>
      </c>
    </row>
    <row r="63" spans="2:13" x14ac:dyDescent="0.3">
      <c r="B63" s="76">
        <v>43144</v>
      </c>
      <c r="C63" s="33" t="s">
        <v>341</v>
      </c>
      <c r="D63" s="33" t="s">
        <v>123</v>
      </c>
      <c r="E63" s="33">
        <v>180</v>
      </c>
      <c r="F63" s="40">
        <v>163</v>
      </c>
      <c r="G63" s="87">
        <f>MATCH(D63, Inputs_2!$C$6:$C$8,0)</f>
        <v>1</v>
      </c>
      <c r="H63" s="87" t="str" cm="1">
        <f t="array" ref="H63">INDEX(Inputs_2!$D$6:$D$8,$G63)</f>
        <v>Meat Pie</v>
      </c>
      <c r="I63" s="88" cm="1">
        <f t="array" ref="I63">INDEX(Inputs_2!$E$6:$E$8,$G63)</f>
        <v>8</v>
      </c>
      <c r="J63" s="88" cm="1">
        <f t="array" ref="J63">INDEX(Inputs_2!$F$6:$F$8,$G63)</f>
        <v>1.2</v>
      </c>
      <c r="K63" s="88">
        <f t="shared" si="0"/>
        <v>1304</v>
      </c>
      <c r="L63" s="88">
        <f t="shared" si="1"/>
        <v>195.6</v>
      </c>
      <c r="M63" s="88">
        <f t="shared" si="2"/>
        <v>1108.4000000000001</v>
      </c>
    </row>
    <row r="64" spans="2:13" x14ac:dyDescent="0.3">
      <c r="B64" s="76">
        <v>43144</v>
      </c>
      <c r="C64" s="33" t="s">
        <v>341</v>
      </c>
      <c r="D64" s="33" t="s">
        <v>125</v>
      </c>
      <c r="E64" s="33">
        <v>75</v>
      </c>
      <c r="F64" s="40">
        <v>71</v>
      </c>
      <c r="G64" s="87">
        <f>MATCH(D64, Inputs_2!$C$6:$C$8,0)</f>
        <v>2</v>
      </c>
      <c r="H64" s="87" t="str" cm="1">
        <f t="array" ref="H64">INDEX(Inputs_2!$D$6:$D$8,$G64)</f>
        <v>Meat Pie</v>
      </c>
      <c r="I64" s="88" cm="1">
        <f t="array" ref="I64">INDEX(Inputs_2!$E$6:$E$8,$G64)</f>
        <v>8.5</v>
      </c>
      <c r="J64" s="88" cm="1">
        <f t="array" ref="J64">INDEX(Inputs_2!$F$6:$F$8,$G64)</f>
        <v>1.95</v>
      </c>
      <c r="K64" s="88">
        <f t="shared" si="0"/>
        <v>603.5</v>
      </c>
      <c r="L64" s="88">
        <f t="shared" si="1"/>
        <v>138.44999999999999</v>
      </c>
      <c r="M64" s="88">
        <f t="shared" si="2"/>
        <v>465.05</v>
      </c>
    </row>
    <row r="65" spans="2:13" x14ac:dyDescent="0.3">
      <c r="B65" s="76">
        <v>43144</v>
      </c>
      <c r="C65" s="33" t="s">
        <v>341</v>
      </c>
      <c r="D65" s="33" t="s">
        <v>126</v>
      </c>
      <c r="E65" s="33">
        <v>30</v>
      </c>
      <c r="F65" s="40">
        <v>27</v>
      </c>
      <c r="G65" s="87">
        <f>MATCH(D65, Inputs_2!$C$6:$C$8,0)</f>
        <v>3</v>
      </c>
      <c r="H65" s="87" t="str" cm="1">
        <f t="array" ref="H65">INDEX(Inputs_2!$D$6:$D$8,$G65)</f>
        <v>Veggie Pie</v>
      </c>
      <c r="I65" s="88" cm="1">
        <f t="array" ref="I65">INDEX(Inputs_2!$E$6:$E$8,$G65)</f>
        <v>7.5</v>
      </c>
      <c r="J65" s="88" cm="1">
        <f t="array" ref="J65">INDEX(Inputs_2!$F$6:$F$8,$G65)</f>
        <v>1</v>
      </c>
      <c r="K65" s="88">
        <f t="shared" si="0"/>
        <v>202.5</v>
      </c>
      <c r="L65" s="88">
        <f t="shared" si="1"/>
        <v>27</v>
      </c>
      <c r="M65" s="88">
        <f t="shared" si="2"/>
        <v>175.5</v>
      </c>
    </row>
    <row r="66" spans="2:13" x14ac:dyDescent="0.3">
      <c r="B66" s="76">
        <v>43146</v>
      </c>
      <c r="C66" s="33" t="s">
        <v>341</v>
      </c>
      <c r="D66" s="33" t="s">
        <v>123</v>
      </c>
      <c r="E66" s="33">
        <v>180</v>
      </c>
      <c r="F66" s="40">
        <v>178</v>
      </c>
      <c r="G66" s="87">
        <f>MATCH(D66, Inputs_2!$C$6:$C$8,0)</f>
        <v>1</v>
      </c>
      <c r="H66" s="87" t="str" cm="1">
        <f t="array" ref="H66">INDEX(Inputs_2!$D$6:$D$8,$G66)</f>
        <v>Meat Pie</v>
      </c>
      <c r="I66" s="88" cm="1">
        <f t="array" ref="I66">INDEX(Inputs_2!$E$6:$E$8,$G66)</f>
        <v>8</v>
      </c>
      <c r="J66" s="88" cm="1">
        <f t="array" ref="J66">INDEX(Inputs_2!$F$6:$F$8,$G66)</f>
        <v>1.2</v>
      </c>
      <c r="K66" s="88">
        <f t="shared" si="0"/>
        <v>1424</v>
      </c>
      <c r="L66" s="88">
        <f t="shared" si="1"/>
        <v>213.6</v>
      </c>
      <c r="M66" s="88">
        <f t="shared" si="2"/>
        <v>1210.4000000000001</v>
      </c>
    </row>
    <row r="67" spans="2:13" x14ac:dyDescent="0.3">
      <c r="B67" s="76">
        <v>43146</v>
      </c>
      <c r="C67" s="33" t="s">
        <v>341</v>
      </c>
      <c r="D67" s="33" t="s">
        <v>125</v>
      </c>
      <c r="E67" s="33">
        <v>75</v>
      </c>
      <c r="F67" s="40">
        <v>72</v>
      </c>
      <c r="G67" s="87">
        <f>MATCH(D67, Inputs_2!$C$6:$C$8,0)</f>
        <v>2</v>
      </c>
      <c r="H67" s="87" t="str" cm="1">
        <f t="array" ref="H67">INDEX(Inputs_2!$D$6:$D$8,$G67)</f>
        <v>Meat Pie</v>
      </c>
      <c r="I67" s="88" cm="1">
        <f t="array" ref="I67">INDEX(Inputs_2!$E$6:$E$8,$G67)</f>
        <v>8.5</v>
      </c>
      <c r="J67" s="88" cm="1">
        <f t="array" ref="J67">INDEX(Inputs_2!$F$6:$F$8,$G67)</f>
        <v>1.95</v>
      </c>
      <c r="K67" s="88">
        <f t="shared" si="0"/>
        <v>612</v>
      </c>
      <c r="L67" s="88">
        <f t="shared" si="1"/>
        <v>140.4</v>
      </c>
      <c r="M67" s="88">
        <f t="shared" si="2"/>
        <v>471.6</v>
      </c>
    </row>
    <row r="68" spans="2:13" x14ac:dyDescent="0.3">
      <c r="B68" s="76">
        <v>43146</v>
      </c>
      <c r="C68" s="33" t="s">
        <v>341</v>
      </c>
      <c r="D68" s="33" t="s">
        <v>126</v>
      </c>
      <c r="E68" s="33">
        <v>30</v>
      </c>
      <c r="F68" s="40">
        <v>25</v>
      </c>
      <c r="G68" s="87">
        <f>MATCH(D68, Inputs_2!$C$6:$C$8,0)</f>
        <v>3</v>
      </c>
      <c r="H68" s="87" t="str" cm="1">
        <f t="array" ref="H68">INDEX(Inputs_2!$D$6:$D$8,$G68)</f>
        <v>Veggie Pie</v>
      </c>
      <c r="I68" s="88" cm="1">
        <f t="array" ref="I68">INDEX(Inputs_2!$E$6:$E$8,$G68)</f>
        <v>7.5</v>
      </c>
      <c r="J68" s="88" cm="1">
        <f t="array" ref="J68">INDEX(Inputs_2!$F$6:$F$8,$G68)</f>
        <v>1</v>
      </c>
      <c r="K68" s="88">
        <f t="shared" si="0"/>
        <v>187.5</v>
      </c>
      <c r="L68" s="88">
        <f t="shared" si="1"/>
        <v>25</v>
      </c>
      <c r="M68" s="88">
        <f t="shared" si="2"/>
        <v>162.5</v>
      </c>
    </row>
    <row r="69" spans="2:13" x14ac:dyDescent="0.3">
      <c r="B69" s="76">
        <v>43148</v>
      </c>
      <c r="C69" s="33" t="s">
        <v>341</v>
      </c>
      <c r="D69" s="33" t="s">
        <v>123</v>
      </c>
      <c r="E69" s="33">
        <v>180</v>
      </c>
      <c r="F69" s="40">
        <v>180</v>
      </c>
      <c r="G69" s="87">
        <f>MATCH(D69, Inputs_2!$C$6:$C$8,0)</f>
        <v>1</v>
      </c>
      <c r="H69" s="87" t="str" cm="1">
        <f t="array" ref="H69">INDEX(Inputs_2!$D$6:$D$8,$G69)</f>
        <v>Meat Pie</v>
      </c>
      <c r="I69" s="88" cm="1">
        <f t="array" ref="I69">INDEX(Inputs_2!$E$6:$E$8,$G69)</f>
        <v>8</v>
      </c>
      <c r="J69" s="88" cm="1">
        <f t="array" ref="J69">INDEX(Inputs_2!$F$6:$F$8,$G69)</f>
        <v>1.2</v>
      </c>
      <c r="K69" s="88">
        <f t="shared" si="0"/>
        <v>1440</v>
      </c>
      <c r="L69" s="88">
        <f t="shared" si="1"/>
        <v>216</v>
      </c>
      <c r="M69" s="88">
        <f t="shared" si="2"/>
        <v>1224</v>
      </c>
    </row>
    <row r="70" spans="2:13" x14ac:dyDescent="0.3">
      <c r="B70" s="76">
        <v>43148</v>
      </c>
      <c r="C70" s="33" t="s">
        <v>341</v>
      </c>
      <c r="D70" s="33" t="s">
        <v>125</v>
      </c>
      <c r="E70" s="33">
        <v>75</v>
      </c>
      <c r="F70" s="40">
        <v>75</v>
      </c>
      <c r="G70" s="87">
        <f>MATCH(D70, Inputs_2!$C$6:$C$8,0)</f>
        <v>2</v>
      </c>
      <c r="H70" s="87" t="str" cm="1">
        <f t="array" ref="H70">INDEX(Inputs_2!$D$6:$D$8,$G70)</f>
        <v>Meat Pie</v>
      </c>
      <c r="I70" s="88" cm="1">
        <f t="array" ref="I70">INDEX(Inputs_2!$E$6:$E$8,$G70)</f>
        <v>8.5</v>
      </c>
      <c r="J70" s="88" cm="1">
        <f t="array" ref="J70">INDEX(Inputs_2!$F$6:$F$8,$G70)</f>
        <v>1.95</v>
      </c>
      <c r="K70" s="88">
        <f t="shared" si="0"/>
        <v>637.5</v>
      </c>
      <c r="L70" s="88">
        <f t="shared" si="1"/>
        <v>146.25</v>
      </c>
      <c r="M70" s="88">
        <f t="shared" si="2"/>
        <v>491.25</v>
      </c>
    </row>
    <row r="71" spans="2:13" x14ac:dyDescent="0.3">
      <c r="B71" s="76">
        <v>43148</v>
      </c>
      <c r="C71" s="33" t="s">
        <v>341</v>
      </c>
      <c r="D71" s="33" t="s">
        <v>126</v>
      </c>
      <c r="E71" s="33">
        <v>30</v>
      </c>
      <c r="F71" s="40">
        <v>29</v>
      </c>
      <c r="G71" s="87">
        <f>MATCH(D71, Inputs_2!$C$6:$C$8,0)</f>
        <v>3</v>
      </c>
      <c r="H71" s="87" t="str" cm="1">
        <f t="array" ref="H71">INDEX(Inputs_2!$D$6:$D$8,$G71)</f>
        <v>Veggie Pie</v>
      </c>
      <c r="I71" s="88" cm="1">
        <f t="array" ref="I71">INDEX(Inputs_2!$E$6:$E$8,$G71)</f>
        <v>7.5</v>
      </c>
      <c r="J71" s="88" cm="1">
        <f t="array" ref="J71">INDEX(Inputs_2!$F$6:$F$8,$G71)</f>
        <v>1</v>
      </c>
      <c r="K71" s="88">
        <f t="shared" si="0"/>
        <v>217.5</v>
      </c>
      <c r="L71" s="88">
        <f t="shared" si="1"/>
        <v>29</v>
      </c>
      <c r="M71" s="88">
        <f t="shared" si="2"/>
        <v>188.5</v>
      </c>
    </row>
    <row r="72" spans="2:13" x14ac:dyDescent="0.3">
      <c r="B72" s="76">
        <v>43151</v>
      </c>
      <c r="C72" s="33" t="s">
        <v>341</v>
      </c>
      <c r="D72" s="33" t="s">
        <v>123</v>
      </c>
      <c r="E72" s="33">
        <v>180</v>
      </c>
      <c r="F72" s="40">
        <v>171</v>
      </c>
      <c r="G72" s="87">
        <f>MATCH(D72, Inputs_2!$C$6:$C$8,0)</f>
        <v>1</v>
      </c>
      <c r="H72" s="87" t="str" cm="1">
        <f t="array" ref="H72">INDEX(Inputs_2!$D$6:$D$8,$G72)</f>
        <v>Meat Pie</v>
      </c>
      <c r="I72" s="88" cm="1">
        <f t="array" ref="I72">INDEX(Inputs_2!$E$6:$E$8,$G72)</f>
        <v>8</v>
      </c>
      <c r="J72" s="88" cm="1">
        <f t="array" ref="J72">INDEX(Inputs_2!$F$6:$F$8,$G72)</f>
        <v>1.2</v>
      </c>
      <c r="K72" s="88">
        <f t="shared" si="0"/>
        <v>1368</v>
      </c>
      <c r="L72" s="88">
        <f t="shared" si="1"/>
        <v>205.2</v>
      </c>
      <c r="M72" s="88">
        <f t="shared" si="2"/>
        <v>1162.8</v>
      </c>
    </row>
    <row r="73" spans="2:13" x14ac:dyDescent="0.3">
      <c r="B73" s="76">
        <v>43151</v>
      </c>
      <c r="C73" s="33" t="s">
        <v>341</v>
      </c>
      <c r="D73" s="33" t="s">
        <v>125</v>
      </c>
      <c r="E73" s="33">
        <v>75</v>
      </c>
      <c r="F73" s="40">
        <v>64</v>
      </c>
      <c r="G73" s="87">
        <f>MATCH(D73, Inputs_2!$C$6:$C$8,0)</f>
        <v>2</v>
      </c>
      <c r="H73" s="87" t="str" cm="1">
        <f t="array" ref="H73">INDEX(Inputs_2!$D$6:$D$8,$G73)</f>
        <v>Meat Pie</v>
      </c>
      <c r="I73" s="88" cm="1">
        <f t="array" ref="I73">INDEX(Inputs_2!$E$6:$E$8,$G73)</f>
        <v>8.5</v>
      </c>
      <c r="J73" s="88" cm="1">
        <f t="array" ref="J73">INDEX(Inputs_2!$F$6:$F$8,$G73)</f>
        <v>1.95</v>
      </c>
      <c r="K73" s="88">
        <f t="shared" si="0"/>
        <v>544</v>
      </c>
      <c r="L73" s="88">
        <f t="shared" si="1"/>
        <v>124.8</v>
      </c>
      <c r="M73" s="88">
        <f t="shared" si="2"/>
        <v>419.2</v>
      </c>
    </row>
    <row r="74" spans="2:13" x14ac:dyDescent="0.3">
      <c r="B74" s="76">
        <v>43151</v>
      </c>
      <c r="C74" s="33" t="s">
        <v>341</v>
      </c>
      <c r="D74" s="33" t="s">
        <v>126</v>
      </c>
      <c r="E74" s="33">
        <v>30</v>
      </c>
      <c r="F74" s="40">
        <v>25</v>
      </c>
      <c r="G74" s="87">
        <f>MATCH(D74, Inputs_2!$C$6:$C$8,0)</f>
        <v>3</v>
      </c>
      <c r="H74" s="87" t="str" cm="1">
        <f t="array" ref="H74">INDEX(Inputs_2!$D$6:$D$8,$G74)</f>
        <v>Veggie Pie</v>
      </c>
      <c r="I74" s="88" cm="1">
        <f t="array" ref="I74">INDEX(Inputs_2!$E$6:$E$8,$G74)</f>
        <v>7.5</v>
      </c>
      <c r="J74" s="88" cm="1">
        <f t="array" ref="J74">INDEX(Inputs_2!$F$6:$F$8,$G74)</f>
        <v>1</v>
      </c>
      <c r="K74" s="88">
        <f t="shared" ref="K74:K137" si="3">F74 * I74</f>
        <v>187.5</v>
      </c>
      <c r="L74" s="88">
        <f t="shared" ref="L74:L137" si="4">F74 * J74</f>
        <v>25</v>
      </c>
      <c r="M74" s="88">
        <f t="shared" ref="M74:M137" si="5">K74 - L74</f>
        <v>162.5</v>
      </c>
    </row>
    <row r="75" spans="2:13" x14ac:dyDescent="0.3">
      <c r="B75" s="76">
        <v>43153</v>
      </c>
      <c r="C75" s="33" t="s">
        <v>341</v>
      </c>
      <c r="D75" s="33" t="s">
        <v>123</v>
      </c>
      <c r="E75" s="33">
        <v>180</v>
      </c>
      <c r="F75" s="40">
        <v>179</v>
      </c>
      <c r="G75" s="87">
        <f>MATCH(D75, Inputs_2!$C$6:$C$8,0)</f>
        <v>1</v>
      </c>
      <c r="H75" s="87" t="str" cm="1">
        <f t="array" ref="H75">INDEX(Inputs_2!$D$6:$D$8,$G75)</f>
        <v>Meat Pie</v>
      </c>
      <c r="I75" s="88" cm="1">
        <f t="array" ref="I75">INDEX(Inputs_2!$E$6:$E$8,$G75)</f>
        <v>8</v>
      </c>
      <c r="J75" s="88" cm="1">
        <f t="array" ref="J75">INDEX(Inputs_2!$F$6:$F$8,$G75)</f>
        <v>1.2</v>
      </c>
      <c r="K75" s="88">
        <f t="shared" si="3"/>
        <v>1432</v>
      </c>
      <c r="L75" s="88">
        <f t="shared" si="4"/>
        <v>214.79999999999998</v>
      </c>
      <c r="M75" s="88">
        <f t="shared" si="5"/>
        <v>1217.2</v>
      </c>
    </row>
    <row r="76" spans="2:13" x14ac:dyDescent="0.3">
      <c r="B76" s="76">
        <v>43153</v>
      </c>
      <c r="C76" s="33" t="s">
        <v>341</v>
      </c>
      <c r="D76" s="33" t="s">
        <v>125</v>
      </c>
      <c r="E76" s="33">
        <v>75</v>
      </c>
      <c r="F76" s="40">
        <v>74</v>
      </c>
      <c r="G76" s="87">
        <f>MATCH(D76, Inputs_2!$C$6:$C$8,0)</f>
        <v>2</v>
      </c>
      <c r="H76" s="87" t="str" cm="1">
        <f t="array" ref="H76">INDEX(Inputs_2!$D$6:$D$8,$G76)</f>
        <v>Meat Pie</v>
      </c>
      <c r="I76" s="88" cm="1">
        <f t="array" ref="I76">INDEX(Inputs_2!$E$6:$E$8,$G76)</f>
        <v>8.5</v>
      </c>
      <c r="J76" s="88" cm="1">
        <f t="array" ref="J76">INDEX(Inputs_2!$F$6:$F$8,$G76)</f>
        <v>1.95</v>
      </c>
      <c r="K76" s="88">
        <f t="shared" si="3"/>
        <v>629</v>
      </c>
      <c r="L76" s="88">
        <f t="shared" si="4"/>
        <v>144.29999999999998</v>
      </c>
      <c r="M76" s="88">
        <f t="shared" si="5"/>
        <v>484.70000000000005</v>
      </c>
    </row>
    <row r="77" spans="2:13" x14ac:dyDescent="0.3">
      <c r="B77" s="76">
        <v>43153</v>
      </c>
      <c r="C77" s="33" t="s">
        <v>341</v>
      </c>
      <c r="D77" s="33" t="s">
        <v>126</v>
      </c>
      <c r="E77" s="33">
        <v>30</v>
      </c>
      <c r="F77" s="40">
        <v>23</v>
      </c>
      <c r="G77" s="87">
        <f>MATCH(D77, Inputs_2!$C$6:$C$8,0)</f>
        <v>3</v>
      </c>
      <c r="H77" s="87" t="str" cm="1">
        <f t="array" ref="H77">INDEX(Inputs_2!$D$6:$D$8,$G77)</f>
        <v>Veggie Pie</v>
      </c>
      <c r="I77" s="88" cm="1">
        <f t="array" ref="I77">INDEX(Inputs_2!$E$6:$E$8,$G77)</f>
        <v>7.5</v>
      </c>
      <c r="J77" s="88" cm="1">
        <f t="array" ref="J77">INDEX(Inputs_2!$F$6:$F$8,$G77)</f>
        <v>1</v>
      </c>
      <c r="K77" s="88">
        <f t="shared" si="3"/>
        <v>172.5</v>
      </c>
      <c r="L77" s="88">
        <f t="shared" si="4"/>
        <v>23</v>
      </c>
      <c r="M77" s="88">
        <f t="shared" si="5"/>
        <v>149.5</v>
      </c>
    </row>
    <row r="78" spans="2:13" x14ac:dyDescent="0.3">
      <c r="B78" s="76">
        <v>43155</v>
      </c>
      <c r="C78" s="33" t="s">
        <v>341</v>
      </c>
      <c r="D78" s="33" t="s">
        <v>123</v>
      </c>
      <c r="E78" s="33">
        <v>180</v>
      </c>
      <c r="F78" s="40">
        <v>180</v>
      </c>
      <c r="G78" s="87">
        <f>MATCH(D78, Inputs_2!$C$6:$C$8,0)</f>
        <v>1</v>
      </c>
      <c r="H78" s="87" t="str" cm="1">
        <f t="array" ref="H78">INDEX(Inputs_2!$D$6:$D$8,$G78)</f>
        <v>Meat Pie</v>
      </c>
      <c r="I78" s="88" cm="1">
        <f t="array" ref="I78">INDEX(Inputs_2!$E$6:$E$8,$G78)</f>
        <v>8</v>
      </c>
      <c r="J78" s="88" cm="1">
        <f t="array" ref="J78">INDEX(Inputs_2!$F$6:$F$8,$G78)</f>
        <v>1.2</v>
      </c>
      <c r="K78" s="88">
        <f t="shared" si="3"/>
        <v>1440</v>
      </c>
      <c r="L78" s="88">
        <f t="shared" si="4"/>
        <v>216</v>
      </c>
      <c r="M78" s="88">
        <f t="shared" si="5"/>
        <v>1224</v>
      </c>
    </row>
    <row r="79" spans="2:13" x14ac:dyDescent="0.3">
      <c r="B79" s="76">
        <v>43155</v>
      </c>
      <c r="C79" s="33" t="s">
        <v>341</v>
      </c>
      <c r="D79" s="33" t="s">
        <v>125</v>
      </c>
      <c r="E79" s="33">
        <v>75</v>
      </c>
      <c r="F79" s="40">
        <v>75</v>
      </c>
      <c r="G79" s="87">
        <f>MATCH(D79, Inputs_2!$C$6:$C$8,0)</f>
        <v>2</v>
      </c>
      <c r="H79" s="87" t="str" cm="1">
        <f t="array" ref="H79">INDEX(Inputs_2!$D$6:$D$8,$G79)</f>
        <v>Meat Pie</v>
      </c>
      <c r="I79" s="88" cm="1">
        <f t="array" ref="I79">INDEX(Inputs_2!$E$6:$E$8,$G79)</f>
        <v>8.5</v>
      </c>
      <c r="J79" s="88" cm="1">
        <f t="array" ref="J79">INDEX(Inputs_2!$F$6:$F$8,$G79)</f>
        <v>1.95</v>
      </c>
      <c r="K79" s="88">
        <f t="shared" si="3"/>
        <v>637.5</v>
      </c>
      <c r="L79" s="88">
        <f t="shared" si="4"/>
        <v>146.25</v>
      </c>
      <c r="M79" s="88">
        <f t="shared" si="5"/>
        <v>491.25</v>
      </c>
    </row>
    <row r="80" spans="2:13" x14ac:dyDescent="0.3">
      <c r="B80" s="76">
        <v>43155</v>
      </c>
      <c r="C80" s="33" t="s">
        <v>341</v>
      </c>
      <c r="D80" s="33" t="s">
        <v>126</v>
      </c>
      <c r="E80" s="33">
        <v>30</v>
      </c>
      <c r="F80" s="40">
        <v>30</v>
      </c>
      <c r="G80" s="87">
        <f>MATCH(D80, Inputs_2!$C$6:$C$8,0)</f>
        <v>3</v>
      </c>
      <c r="H80" s="87" t="str" cm="1">
        <f t="array" ref="H80">INDEX(Inputs_2!$D$6:$D$8,$G80)</f>
        <v>Veggie Pie</v>
      </c>
      <c r="I80" s="88" cm="1">
        <f t="array" ref="I80">INDEX(Inputs_2!$E$6:$E$8,$G80)</f>
        <v>7.5</v>
      </c>
      <c r="J80" s="88" cm="1">
        <f t="array" ref="J80">INDEX(Inputs_2!$F$6:$F$8,$G80)</f>
        <v>1</v>
      </c>
      <c r="K80" s="88">
        <f t="shared" si="3"/>
        <v>225</v>
      </c>
      <c r="L80" s="88">
        <f t="shared" si="4"/>
        <v>30</v>
      </c>
      <c r="M80" s="88">
        <f t="shared" si="5"/>
        <v>195</v>
      </c>
    </row>
    <row r="81" spans="2:13" x14ac:dyDescent="0.3">
      <c r="B81" s="76">
        <v>43158</v>
      </c>
      <c r="C81" s="33" t="s">
        <v>341</v>
      </c>
      <c r="D81" s="33" t="s">
        <v>123</v>
      </c>
      <c r="E81" s="33">
        <v>180</v>
      </c>
      <c r="F81" s="40">
        <v>178</v>
      </c>
      <c r="G81" s="87">
        <f>MATCH(D81, Inputs_2!$C$6:$C$8,0)</f>
        <v>1</v>
      </c>
      <c r="H81" s="87" t="str" cm="1">
        <f t="array" ref="H81">INDEX(Inputs_2!$D$6:$D$8,$G81)</f>
        <v>Meat Pie</v>
      </c>
      <c r="I81" s="88" cm="1">
        <f t="array" ref="I81">INDEX(Inputs_2!$E$6:$E$8,$G81)</f>
        <v>8</v>
      </c>
      <c r="J81" s="88" cm="1">
        <f t="array" ref="J81">INDEX(Inputs_2!$F$6:$F$8,$G81)</f>
        <v>1.2</v>
      </c>
      <c r="K81" s="88">
        <f t="shared" si="3"/>
        <v>1424</v>
      </c>
      <c r="L81" s="88">
        <f t="shared" si="4"/>
        <v>213.6</v>
      </c>
      <c r="M81" s="88">
        <f t="shared" si="5"/>
        <v>1210.4000000000001</v>
      </c>
    </row>
    <row r="82" spans="2:13" x14ac:dyDescent="0.3">
      <c r="B82" s="76">
        <v>43158</v>
      </c>
      <c r="C82" s="33" t="s">
        <v>341</v>
      </c>
      <c r="D82" s="33" t="s">
        <v>125</v>
      </c>
      <c r="E82" s="33">
        <v>75</v>
      </c>
      <c r="F82" s="40">
        <v>64</v>
      </c>
      <c r="G82" s="87">
        <f>MATCH(D82, Inputs_2!$C$6:$C$8,0)</f>
        <v>2</v>
      </c>
      <c r="H82" s="87" t="str" cm="1">
        <f t="array" ref="H82">INDEX(Inputs_2!$D$6:$D$8,$G82)</f>
        <v>Meat Pie</v>
      </c>
      <c r="I82" s="88" cm="1">
        <f t="array" ref="I82">INDEX(Inputs_2!$E$6:$E$8,$G82)</f>
        <v>8.5</v>
      </c>
      <c r="J82" s="88" cm="1">
        <f t="array" ref="J82">INDEX(Inputs_2!$F$6:$F$8,$G82)</f>
        <v>1.95</v>
      </c>
      <c r="K82" s="88">
        <f t="shared" si="3"/>
        <v>544</v>
      </c>
      <c r="L82" s="88">
        <f t="shared" si="4"/>
        <v>124.8</v>
      </c>
      <c r="M82" s="88">
        <f t="shared" si="5"/>
        <v>419.2</v>
      </c>
    </row>
    <row r="83" spans="2:13" x14ac:dyDescent="0.3">
      <c r="B83" s="76">
        <v>43158</v>
      </c>
      <c r="C83" s="33" t="s">
        <v>341</v>
      </c>
      <c r="D83" s="33" t="s">
        <v>126</v>
      </c>
      <c r="E83" s="33">
        <v>30</v>
      </c>
      <c r="F83" s="40">
        <v>22</v>
      </c>
      <c r="G83" s="87">
        <f>MATCH(D83, Inputs_2!$C$6:$C$8,0)</f>
        <v>3</v>
      </c>
      <c r="H83" s="87" t="str" cm="1">
        <f t="array" ref="H83">INDEX(Inputs_2!$D$6:$D$8,$G83)</f>
        <v>Veggie Pie</v>
      </c>
      <c r="I83" s="88" cm="1">
        <f t="array" ref="I83">INDEX(Inputs_2!$E$6:$E$8,$G83)</f>
        <v>7.5</v>
      </c>
      <c r="J83" s="88" cm="1">
        <f t="array" ref="J83">INDEX(Inputs_2!$F$6:$F$8,$G83)</f>
        <v>1</v>
      </c>
      <c r="K83" s="88">
        <f t="shared" si="3"/>
        <v>165</v>
      </c>
      <c r="L83" s="88">
        <f t="shared" si="4"/>
        <v>22</v>
      </c>
      <c r="M83" s="88">
        <f t="shared" si="5"/>
        <v>143</v>
      </c>
    </row>
    <row r="84" spans="2:13" x14ac:dyDescent="0.3">
      <c r="B84" s="76">
        <v>43160</v>
      </c>
      <c r="C84" s="33" t="s">
        <v>341</v>
      </c>
      <c r="D84" s="33" t="s">
        <v>123</v>
      </c>
      <c r="E84" s="33">
        <v>180</v>
      </c>
      <c r="F84" s="40">
        <v>178</v>
      </c>
      <c r="G84" s="87">
        <f>MATCH(D84, Inputs_2!$C$6:$C$8,0)</f>
        <v>1</v>
      </c>
      <c r="H84" s="87" t="str" cm="1">
        <f t="array" ref="H84">INDEX(Inputs_2!$D$6:$D$8,$G84)</f>
        <v>Meat Pie</v>
      </c>
      <c r="I84" s="88" cm="1">
        <f t="array" ref="I84">INDEX(Inputs_2!$E$6:$E$8,$G84)</f>
        <v>8</v>
      </c>
      <c r="J84" s="88" cm="1">
        <f t="array" ref="J84">INDEX(Inputs_2!$F$6:$F$8,$G84)</f>
        <v>1.2</v>
      </c>
      <c r="K84" s="88">
        <f t="shared" si="3"/>
        <v>1424</v>
      </c>
      <c r="L84" s="88">
        <f t="shared" si="4"/>
        <v>213.6</v>
      </c>
      <c r="M84" s="88">
        <f t="shared" si="5"/>
        <v>1210.4000000000001</v>
      </c>
    </row>
    <row r="85" spans="2:13" x14ac:dyDescent="0.3">
      <c r="B85" s="76">
        <v>43160</v>
      </c>
      <c r="C85" s="33" t="s">
        <v>341</v>
      </c>
      <c r="D85" s="33" t="s">
        <v>125</v>
      </c>
      <c r="E85" s="33">
        <v>75</v>
      </c>
      <c r="F85" s="40">
        <v>70</v>
      </c>
      <c r="G85" s="87">
        <f>MATCH(D85, Inputs_2!$C$6:$C$8,0)</f>
        <v>2</v>
      </c>
      <c r="H85" s="87" t="str" cm="1">
        <f t="array" ref="H85">INDEX(Inputs_2!$D$6:$D$8,$G85)</f>
        <v>Meat Pie</v>
      </c>
      <c r="I85" s="88" cm="1">
        <f t="array" ref="I85">INDEX(Inputs_2!$E$6:$E$8,$G85)</f>
        <v>8.5</v>
      </c>
      <c r="J85" s="88" cm="1">
        <f t="array" ref="J85">INDEX(Inputs_2!$F$6:$F$8,$G85)</f>
        <v>1.95</v>
      </c>
      <c r="K85" s="88">
        <f t="shared" si="3"/>
        <v>595</v>
      </c>
      <c r="L85" s="88">
        <f t="shared" si="4"/>
        <v>136.5</v>
      </c>
      <c r="M85" s="88">
        <f t="shared" si="5"/>
        <v>458.5</v>
      </c>
    </row>
    <row r="86" spans="2:13" x14ac:dyDescent="0.3">
      <c r="B86" s="76">
        <v>43160</v>
      </c>
      <c r="C86" s="33" t="s">
        <v>341</v>
      </c>
      <c r="D86" s="33" t="s">
        <v>126</v>
      </c>
      <c r="E86" s="33">
        <v>30</v>
      </c>
      <c r="F86" s="40">
        <v>23</v>
      </c>
      <c r="G86" s="87">
        <f>MATCH(D86, Inputs_2!$C$6:$C$8,0)</f>
        <v>3</v>
      </c>
      <c r="H86" s="87" t="str" cm="1">
        <f t="array" ref="H86">INDEX(Inputs_2!$D$6:$D$8,$G86)</f>
        <v>Veggie Pie</v>
      </c>
      <c r="I86" s="88" cm="1">
        <f t="array" ref="I86">INDEX(Inputs_2!$E$6:$E$8,$G86)</f>
        <v>7.5</v>
      </c>
      <c r="J86" s="88" cm="1">
        <f t="array" ref="J86">INDEX(Inputs_2!$F$6:$F$8,$G86)</f>
        <v>1</v>
      </c>
      <c r="K86" s="88">
        <f t="shared" si="3"/>
        <v>172.5</v>
      </c>
      <c r="L86" s="88">
        <f t="shared" si="4"/>
        <v>23</v>
      </c>
      <c r="M86" s="88">
        <f t="shared" si="5"/>
        <v>149.5</v>
      </c>
    </row>
    <row r="87" spans="2:13" x14ac:dyDescent="0.3">
      <c r="B87" s="76">
        <v>43162</v>
      </c>
      <c r="C87" s="33" t="s">
        <v>341</v>
      </c>
      <c r="D87" s="33" t="s">
        <v>123</v>
      </c>
      <c r="E87" s="33">
        <v>180</v>
      </c>
      <c r="F87" s="40">
        <v>180</v>
      </c>
      <c r="G87" s="87">
        <f>MATCH(D87, Inputs_2!$C$6:$C$8,0)</f>
        <v>1</v>
      </c>
      <c r="H87" s="87" t="str" cm="1">
        <f t="array" ref="H87">INDEX(Inputs_2!$D$6:$D$8,$G87)</f>
        <v>Meat Pie</v>
      </c>
      <c r="I87" s="88" cm="1">
        <f t="array" ref="I87">INDEX(Inputs_2!$E$6:$E$8,$G87)</f>
        <v>8</v>
      </c>
      <c r="J87" s="88" cm="1">
        <f t="array" ref="J87">INDEX(Inputs_2!$F$6:$F$8,$G87)</f>
        <v>1.2</v>
      </c>
      <c r="K87" s="88">
        <f t="shared" si="3"/>
        <v>1440</v>
      </c>
      <c r="L87" s="88">
        <f t="shared" si="4"/>
        <v>216</v>
      </c>
      <c r="M87" s="88">
        <f t="shared" si="5"/>
        <v>1224</v>
      </c>
    </row>
    <row r="88" spans="2:13" x14ac:dyDescent="0.3">
      <c r="B88" s="76">
        <v>43162</v>
      </c>
      <c r="C88" s="33" t="s">
        <v>341</v>
      </c>
      <c r="D88" s="33" t="s">
        <v>125</v>
      </c>
      <c r="E88" s="33">
        <v>75</v>
      </c>
      <c r="F88" s="40">
        <v>75</v>
      </c>
      <c r="G88" s="87">
        <f>MATCH(D88, Inputs_2!$C$6:$C$8,0)</f>
        <v>2</v>
      </c>
      <c r="H88" s="87" t="str" cm="1">
        <f t="array" ref="H88">INDEX(Inputs_2!$D$6:$D$8,$G88)</f>
        <v>Meat Pie</v>
      </c>
      <c r="I88" s="88" cm="1">
        <f t="array" ref="I88">INDEX(Inputs_2!$E$6:$E$8,$G88)</f>
        <v>8.5</v>
      </c>
      <c r="J88" s="88" cm="1">
        <f t="array" ref="J88">INDEX(Inputs_2!$F$6:$F$8,$G88)</f>
        <v>1.95</v>
      </c>
      <c r="K88" s="88">
        <f t="shared" si="3"/>
        <v>637.5</v>
      </c>
      <c r="L88" s="88">
        <f t="shared" si="4"/>
        <v>146.25</v>
      </c>
      <c r="M88" s="88">
        <f t="shared" si="5"/>
        <v>491.25</v>
      </c>
    </row>
    <row r="89" spans="2:13" x14ac:dyDescent="0.3">
      <c r="B89" s="76">
        <v>43162</v>
      </c>
      <c r="C89" s="33" t="s">
        <v>341</v>
      </c>
      <c r="D89" s="33" t="s">
        <v>126</v>
      </c>
      <c r="E89" s="33">
        <v>30</v>
      </c>
      <c r="F89" s="40">
        <v>30</v>
      </c>
      <c r="G89" s="87">
        <f>MATCH(D89, Inputs_2!$C$6:$C$8,0)</f>
        <v>3</v>
      </c>
      <c r="H89" s="87" t="str" cm="1">
        <f t="array" ref="H89">INDEX(Inputs_2!$D$6:$D$8,$G89)</f>
        <v>Veggie Pie</v>
      </c>
      <c r="I89" s="88" cm="1">
        <f t="array" ref="I89">INDEX(Inputs_2!$E$6:$E$8,$G89)</f>
        <v>7.5</v>
      </c>
      <c r="J89" s="88" cm="1">
        <f t="array" ref="J89">INDEX(Inputs_2!$F$6:$F$8,$G89)</f>
        <v>1</v>
      </c>
      <c r="K89" s="88">
        <f t="shared" si="3"/>
        <v>225</v>
      </c>
      <c r="L89" s="88">
        <f t="shared" si="4"/>
        <v>30</v>
      </c>
      <c r="M89" s="88">
        <f t="shared" si="5"/>
        <v>195</v>
      </c>
    </row>
    <row r="90" spans="2:13" x14ac:dyDescent="0.3">
      <c r="B90" s="76">
        <v>43165</v>
      </c>
      <c r="C90" s="33" t="s">
        <v>341</v>
      </c>
      <c r="D90" s="33" t="s">
        <v>123</v>
      </c>
      <c r="E90" s="33">
        <v>180</v>
      </c>
      <c r="F90" s="40">
        <v>174</v>
      </c>
      <c r="G90" s="87">
        <f>MATCH(D90, Inputs_2!$C$6:$C$8,0)</f>
        <v>1</v>
      </c>
      <c r="H90" s="87" t="str" cm="1">
        <f t="array" ref="H90">INDEX(Inputs_2!$D$6:$D$8,$G90)</f>
        <v>Meat Pie</v>
      </c>
      <c r="I90" s="88" cm="1">
        <f t="array" ref="I90">INDEX(Inputs_2!$E$6:$E$8,$G90)</f>
        <v>8</v>
      </c>
      <c r="J90" s="88" cm="1">
        <f t="array" ref="J90">INDEX(Inputs_2!$F$6:$F$8,$G90)</f>
        <v>1.2</v>
      </c>
      <c r="K90" s="88">
        <f t="shared" si="3"/>
        <v>1392</v>
      </c>
      <c r="L90" s="88">
        <f t="shared" si="4"/>
        <v>208.79999999999998</v>
      </c>
      <c r="M90" s="88">
        <f t="shared" si="5"/>
        <v>1183.2</v>
      </c>
    </row>
    <row r="91" spans="2:13" x14ac:dyDescent="0.3">
      <c r="B91" s="76">
        <v>43165</v>
      </c>
      <c r="C91" s="33" t="s">
        <v>341</v>
      </c>
      <c r="D91" s="33" t="s">
        <v>125</v>
      </c>
      <c r="E91" s="33">
        <v>75</v>
      </c>
      <c r="F91" s="40">
        <v>72</v>
      </c>
      <c r="G91" s="87">
        <f>MATCH(D91, Inputs_2!$C$6:$C$8,0)</f>
        <v>2</v>
      </c>
      <c r="H91" s="87" t="str" cm="1">
        <f t="array" ref="H91">INDEX(Inputs_2!$D$6:$D$8,$G91)</f>
        <v>Meat Pie</v>
      </c>
      <c r="I91" s="88" cm="1">
        <f t="array" ref="I91">INDEX(Inputs_2!$E$6:$E$8,$G91)</f>
        <v>8.5</v>
      </c>
      <c r="J91" s="88" cm="1">
        <f t="array" ref="J91">INDEX(Inputs_2!$F$6:$F$8,$G91)</f>
        <v>1.95</v>
      </c>
      <c r="K91" s="88">
        <f t="shared" si="3"/>
        <v>612</v>
      </c>
      <c r="L91" s="88">
        <f t="shared" si="4"/>
        <v>140.4</v>
      </c>
      <c r="M91" s="88">
        <f t="shared" si="5"/>
        <v>471.6</v>
      </c>
    </row>
    <row r="92" spans="2:13" x14ac:dyDescent="0.3">
      <c r="B92" s="76">
        <v>43165</v>
      </c>
      <c r="C92" s="33" t="s">
        <v>341</v>
      </c>
      <c r="D92" s="33" t="s">
        <v>126</v>
      </c>
      <c r="E92" s="33">
        <v>30</v>
      </c>
      <c r="F92" s="40">
        <v>22</v>
      </c>
      <c r="G92" s="87">
        <f>MATCH(D92, Inputs_2!$C$6:$C$8,0)</f>
        <v>3</v>
      </c>
      <c r="H92" s="87" t="str" cm="1">
        <f t="array" ref="H92">INDEX(Inputs_2!$D$6:$D$8,$G92)</f>
        <v>Veggie Pie</v>
      </c>
      <c r="I92" s="88" cm="1">
        <f t="array" ref="I92">INDEX(Inputs_2!$E$6:$E$8,$G92)</f>
        <v>7.5</v>
      </c>
      <c r="J92" s="88" cm="1">
        <f t="array" ref="J92">INDEX(Inputs_2!$F$6:$F$8,$G92)</f>
        <v>1</v>
      </c>
      <c r="K92" s="88">
        <f t="shared" si="3"/>
        <v>165</v>
      </c>
      <c r="L92" s="88">
        <f t="shared" si="4"/>
        <v>22</v>
      </c>
      <c r="M92" s="88">
        <f t="shared" si="5"/>
        <v>143</v>
      </c>
    </row>
    <row r="93" spans="2:13" x14ac:dyDescent="0.3">
      <c r="B93" s="76">
        <v>43167</v>
      </c>
      <c r="C93" s="33" t="s">
        <v>341</v>
      </c>
      <c r="D93" s="33" t="s">
        <v>123</v>
      </c>
      <c r="E93" s="33">
        <v>180</v>
      </c>
      <c r="F93" s="40">
        <v>180</v>
      </c>
      <c r="G93" s="87">
        <f>MATCH(D93, Inputs_2!$C$6:$C$8,0)</f>
        <v>1</v>
      </c>
      <c r="H93" s="87" t="str" cm="1">
        <f t="array" ref="H93">INDEX(Inputs_2!$D$6:$D$8,$G93)</f>
        <v>Meat Pie</v>
      </c>
      <c r="I93" s="88" cm="1">
        <f t="array" ref="I93">INDEX(Inputs_2!$E$6:$E$8,$G93)</f>
        <v>8</v>
      </c>
      <c r="J93" s="88" cm="1">
        <f t="array" ref="J93">INDEX(Inputs_2!$F$6:$F$8,$G93)</f>
        <v>1.2</v>
      </c>
      <c r="K93" s="88">
        <f t="shared" si="3"/>
        <v>1440</v>
      </c>
      <c r="L93" s="88">
        <f t="shared" si="4"/>
        <v>216</v>
      </c>
      <c r="M93" s="88">
        <f t="shared" si="5"/>
        <v>1224</v>
      </c>
    </row>
    <row r="94" spans="2:13" x14ac:dyDescent="0.3">
      <c r="B94" s="76">
        <v>43167</v>
      </c>
      <c r="C94" s="33" t="s">
        <v>341</v>
      </c>
      <c r="D94" s="33" t="s">
        <v>125</v>
      </c>
      <c r="E94" s="33">
        <v>75</v>
      </c>
      <c r="F94" s="40">
        <v>72</v>
      </c>
      <c r="G94" s="87">
        <f>MATCH(D94, Inputs_2!$C$6:$C$8,0)</f>
        <v>2</v>
      </c>
      <c r="H94" s="87" t="str" cm="1">
        <f t="array" ref="H94">INDEX(Inputs_2!$D$6:$D$8,$G94)</f>
        <v>Meat Pie</v>
      </c>
      <c r="I94" s="88" cm="1">
        <f t="array" ref="I94">INDEX(Inputs_2!$E$6:$E$8,$G94)</f>
        <v>8.5</v>
      </c>
      <c r="J94" s="88" cm="1">
        <f t="array" ref="J94">INDEX(Inputs_2!$F$6:$F$8,$G94)</f>
        <v>1.95</v>
      </c>
      <c r="K94" s="88">
        <f t="shared" si="3"/>
        <v>612</v>
      </c>
      <c r="L94" s="88">
        <f t="shared" si="4"/>
        <v>140.4</v>
      </c>
      <c r="M94" s="88">
        <f t="shared" si="5"/>
        <v>471.6</v>
      </c>
    </row>
    <row r="95" spans="2:13" x14ac:dyDescent="0.3">
      <c r="B95" s="76">
        <v>43167</v>
      </c>
      <c r="C95" s="33" t="s">
        <v>341</v>
      </c>
      <c r="D95" s="33" t="s">
        <v>126</v>
      </c>
      <c r="E95" s="33">
        <v>30</v>
      </c>
      <c r="F95" s="40">
        <v>28</v>
      </c>
      <c r="G95" s="87">
        <f>MATCH(D95, Inputs_2!$C$6:$C$8,0)</f>
        <v>3</v>
      </c>
      <c r="H95" s="87" t="str" cm="1">
        <f t="array" ref="H95">INDEX(Inputs_2!$D$6:$D$8,$G95)</f>
        <v>Veggie Pie</v>
      </c>
      <c r="I95" s="88" cm="1">
        <f t="array" ref="I95">INDEX(Inputs_2!$E$6:$E$8,$G95)</f>
        <v>7.5</v>
      </c>
      <c r="J95" s="88" cm="1">
        <f t="array" ref="J95">INDEX(Inputs_2!$F$6:$F$8,$G95)</f>
        <v>1</v>
      </c>
      <c r="K95" s="88">
        <f t="shared" si="3"/>
        <v>210</v>
      </c>
      <c r="L95" s="88">
        <f t="shared" si="4"/>
        <v>28</v>
      </c>
      <c r="M95" s="88">
        <f t="shared" si="5"/>
        <v>182</v>
      </c>
    </row>
    <row r="96" spans="2:13" x14ac:dyDescent="0.3">
      <c r="B96" s="76">
        <v>43169</v>
      </c>
      <c r="C96" s="33" t="s">
        <v>341</v>
      </c>
      <c r="D96" s="33" t="s">
        <v>123</v>
      </c>
      <c r="E96" s="33">
        <v>180</v>
      </c>
      <c r="F96" s="40">
        <v>180</v>
      </c>
      <c r="G96" s="87">
        <f>MATCH(D96, Inputs_2!$C$6:$C$8,0)</f>
        <v>1</v>
      </c>
      <c r="H96" s="87" t="str" cm="1">
        <f t="array" ref="H96">INDEX(Inputs_2!$D$6:$D$8,$G96)</f>
        <v>Meat Pie</v>
      </c>
      <c r="I96" s="88" cm="1">
        <f t="array" ref="I96">INDEX(Inputs_2!$E$6:$E$8,$G96)</f>
        <v>8</v>
      </c>
      <c r="J96" s="88" cm="1">
        <f t="array" ref="J96">INDEX(Inputs_2!$F$6:$F$8,$G96)</f>
        <v>1.2</v>
      </c>
      <c r="K96" s="88">
        <f t="shared" si="3"/>
        <v>1440</v>
      </c>
      <c r="L96" s="88">
        <f t="shared" si="4"/>
        <v>216</v>
      </c>
      <c r="M96" s="88">
        <f t="shared" si="5"/>
        <v>1224</v>
      </c>
    </row>
    <row r="97" spans="2:13" x14ac:dyDescent="0.3">
      <c r="B97" s="76">
        <v>43169</v>
      </c>
      <c r="C97" s="33" t="s">
        <v>341</v>
      </c>
      <c r="D97" s="33" t="s">
        <v>125</v>
      </c>
      <c r="E97" s="33">
        <v>75</v>
      </c>
      <c r="F97" s="40">
        <v>75</v>
      </c>
      <c r="G97" s="87">
        <f>MATCH(D97, Inputs_2!$C$6:$C$8,0)</f>
        <v>2</v>
      </c>
      <c r="H97" s="87" t="str" cm="1">
        <f t="array" ref="H97">INDEX(Inputs_2!$D$6:$D$8,$G97)</f>
        <v>Meat Pie</v>
      </c>
      <c r="I97" s="88" cm="1">
        <f t="array" ref="I97">INDEX(Inputs_2!$E$6:$E$8,$G97)</f>
        <v>8.5</v>
      </c>
      <c r="J97" s="88" cm="1">
        <f t="array" ref="J97">INDEX(Inputs_2!$F$6:$F$8,$G97)</f>
        <v>1.95</v>
      </c>
      <c r="K97" s="88">
        <f t="shared" si="3"/>
        <v>637.5</v>
      </c>
      <c r="L97" s="88">
        <f t="shared" si="4"/>
        <v>146.25</v>
      </c>
      <c r="M97" s="88">
        <f t="shared" si="5"/>
        <v>491.25</v>
      </c>
    </row>
    <row r="98" spans="2:13" x14ac:dyDescent="0.3">
      <c r="B98" s="76">
        <v>43169</v>
      </c>
      <c r="C98" s="33" t="s">
        <v>341</v>
      </c>
      <c r="D98" s="33" t="s">
        <v>126</v>
      </c>
      <c r="E98" s="33">
        <v>30</v>
      </c>
      <c r="F98" s="40">
        <v>25</v>
      </c>
      <c r="G98" s="87">
        <f>MATCH(D98, Inputs_2!$C$6:$C$8,0)</f>
        <v>3</v>
      </c>
      <c r="H98" s="87" t="str" cm="1">
        <f t="array" ref="H98">INDEX(Inputs_2!$D$6:$D$8,$G98)</f>
        <v>Veggie Pie</v>
      </c>
      <c r="I98" s="88" cm="1">
        <f t="array" ref="I98">INDEX(Inputs_2!$E$6:$E$8,$G98)</f>
        <v>7.5</v>
      </c>
      <c r="J98" s="88" cm="1">
        <f t="array" ref="J98">INDEX(Inputs_2!$F$6:$F$8,$G98)</f>
        <v>1</v>
      </c>
      <c r="K98" s="88">
        <f t="shared" si="3"/>
        <v>187.5</v>
      </c>
      <c r="L98" s="88">
        <f t="shared" si="4"/>
        <v>25</v>
      </c>
      <c r="M98" s="88">
        <f t="shared" si="5"/>
        <v>162.5</v>
      </c>
    </row>
    <row r="99" spans="2:13" x14ac:dyDescent="0.3">
      <c r="B99" s="76">
        <v>43172</v>
      </c>
      <c r="C99" s="33" t="s">
        <v>341</v>
      </c>
      <c r="D99" s="33" t="s">
        <v>123</v>
      </c>
      <c r="E99" s="33">
        <v>180</v>
      </c>
      <c r="F99" s="40">
        <v>178</v>
      </c>
      <c r="G99" s="87">
        <f>MATCH(D99, Inputs_2!$C$6:$C$8,0)</f>
        <v>1</v>
      </c>
      <c r="H99" s="87" t="str" cm="1">
        <f t="array" ref="H99">INDEX(Inputs_2!$D$6:$D$8,$G99)</f>
        <v>Meat Pie</v>
      </c>
      <c r="I99" s="88" cm="1">
        <f t="array" ref="I99">INDEX(Inputs_2!$E$6:$E$8,$G99)</f>
        <v>8</v>
      </c>
      <c r="J99" s="88" cm="1">
        <f t="array" ref="J99">INDEX(Inputs_2!$F$6:$F$8,$G99)</f>
        <v>1.2</v>
      </c>
      <c r="K99" s="88">
        <f t="shared" si="3"/>
        <v>1424</v>
      </c>
      <c r="L99" s="88">
        <f t="shared" si="4"/>
        <v>213.6</v>
      </c>
      <c r="M99" s="88">
        <f t="shared" si="5"/>
        <v>1210.4000000000001</v>
      </c>
    </row>
    <row r="100" spans="2:13" x14ac:dyDescent="0.3">
      <c r="B100" s="76">
        <v>43172</v>
      </c>
      <c r="C100" s="33" t="s">
        <v>341</v>
      </c>
      <c r="D100" s="33" t="s">
        <v>125</v>
      </c>
      <c r="E100" s="33">
        <v>75</v>
      </c>
      <c r="F100" s="40">
        <v>72</v>
      </c>
      <c r="G100" s="87">
        <f>MATCH(D100, Inputs_2!$C$6:$C$8,0)</f>
        <v>2</v>
      </c>
      <c r="H100" s="87" t="str" cm="1">
        <f t="array" ref="H100">INDEX(Inputs_2!$D$6:$D$8,$G100)</f>
        <v>Meat Pie</v>
      </c>
      <c r="I100" s="88" cm="1">
        <f t="array" ref="I100">INDEX(Inputs_2!$E$6:$E$8,$G100)</f>
        <v>8.5</v>
      </c>
      <c r="J100" s="88" cm="1">
        <f t="array" ref="J100">INDEX(Inputs_2!$F$6:$F$8,$G100)</f>
        <v>1.95</v>
      </c>
      <c r="K100" s="88">
        <f t="shared" si="3"/>
        <v>612</v>
      </c>
      <c r="L100" s="88">
        <f t="shared" si="4"/>
        <v>140.4</v>
      </c>
      <c r="M100" s="88">
        <f t="shared" si="5"/>
        <v>471.6</v>
      </c>
    </row>
    <row r="101" spans="2:13" x14ac:dyDescent="0.3">
      <c r="B101" s="76">
        <v>43172</v>
      </c>
      <c r="C101" s="33" t="s">
        <v>341</v>
      </c>
      <c r="D101" s="33" t="s">
        <v>126</v>
      </c>
      <c r="E101" s="33">
        <v>30</v>
      </c>
      <c r="F101" s="40">
        <v>21</v>
      </c>
      <c r="G101" s="87">
        <f>MATCH(D101, Inputs_2!$C$6:$C$8,0)</f>
        <v>3</v>
      </c>
      <c r="H101" s="87" t="str" cm="1">
        <f t="array" ref="H101">INDEX(Inputs_2!$D$6:$D$8,$G101)</f>
        <v>Veggie Pie</v>
      </c>
      <c r="I101" s="88" cm="1">
        <f t="array" ref="I101">INDEX(Inputs_2!$E$6:$E$8,$G101)</f>
        <v>7.5</v>
      </c>
      <c r="J101" s="88" cm="1">
        <f t="array" ref="J101">INDEX(Inputs_2!$F$6:$F$8,$G101)</f>
        <v>1</v>
      </c>
      <c r="K101" s="88">
        <f t="shared" si="3"/>
        <v>157.5</v>
      </c>
      <c r="L101" s="88">
        <f t="shared" si="4"/>
        <v>21</v>
      </c>
      <c r="M101" s="88">
        <f t="shared" si="5"/>
        <v>136.5</v>
      </c>
    </row>
    <row r="102" spans="2:13" x14ac:dyDescent="0.3">
      <c r="B102" s="76">
        <v>43174</v>
      </c>
      <c r="C102" s="33" t="s">
        <v>341</v>
      </c>
      <c r="D102" s="33" t="s">
        <v>123</v>
      </c>
      <c r="E102" s="33">
        <v>180</v>
      </c>
      <c r="F102" s="40">
        <v>180</v>
      </c>
      <c r="G102" s="87">
        <f>MATCH(D102, Inputs_2!$C$6:$C$8,0)</f>
        <v>1</v>
      </c>
      <c r="H102" s="87" t="str" cm="1">
        <f t="array" ref="H102">INDEX(Inputs_2!$D$6:$D$8,$G102)</f>
        <v>Meat Pie</v>
      </c>
      <c r="I102" s="88" cm="1">
        <f t="array" ref="I102">INDEX(Inputs_2!$E$6:$E$8,$G102)</f>
        <v>8</v>
      </c>
      <c r="J102" s="88" cm="1">
        <f t="array" ref="J102">INDEX(Inputs_2!$F$6:$F$8,$G102)</f>
        <v>1.2</v>
      </c>
      <c r="K102" s="88">
        <f t="shared" si="3"/>
        <v>1440</v>
      </c>
      <c r="L102" s="88">
        <f t="shared" si="4"/>
        <v>216</v>
      </c>
      <c r="M102" s="88">
        <f t="shared" si="5"/>
        <v>1224</v>
      </c>
    </row>
    <row r="103" spans="2:13" x14ac:dyDescent="0.3">
      <c r="B103" s="76">
        <v>43174</v>
      </c>
      <c r="C103" s="33" t="s">
        <v>341</v>
      </c>
      <c r="D103" s="33" t="s">
        <v>125</v>
      </c>
      <c r="E103" s="33">
        <v>75</v>
      </c>
      <c r="F103" s="40">
        <v>72</v>
      </c>
      <c r="G103" s="87">
        <f>MATCH(D103, Inputs_2!$C$6:$C$8,0)</f>
        <v>2</v>
      </c>
      <c r="H103" s="87" t="str" cm="1">
        <f t="array" ref="H103">INDEX(Inputs_2!$D$6:$D$8,$G103)</f>
        <v>Meat Pie</v>
      </c>
      <c r="I103" s="88" cm="1">
        <f t="array" ref="I103">INDEX(Inputs_2!$E$6:$E$8,$G103)</f>
        <v>8.5</v>
      </c>
      <c r="J103" s="88" cm="1">
        <f t="array" ref="J103">INDEX(Inputs_2!$F$6:$F$8,$G103)</f>
        <v>1.95</v>
      </c>
      <c r="K103" s="88">
        <f t="shared" si="3"/>
        <v>612</v>
      </c>
      <c r="L103" s="88">
        <f t="shared" si="4"/>
        <v>140.4</v>
      </c>
      <c r="M103" s="88">
        <f t="shared" si="5"/>
        <v>471.6</v>
      </c>
    </row>
    <row r="104" spans="2:13" x14ac:dyDescent="0.3">
      <c r="B104" s="76">
        <v>43174</v>
      </c>
      <c r="C104" s="33" t="s">
        <v>341</v>
      </c>
      <c r="D104" s="33" t="s">
        <v>126</v>
      </c>
      <c r="E104" s="33">
        <v>30</v>
      </c>
      <c r="F104" s="40">
        <v>27</v>
      </c>
      <c r="G104" s="87">
        <f>MATCH(D104, Inputs_2!$C$6:$C$8,0)</f>
        <v>3</v>
      </c>
      <c r="H104" s="87" t="str" cm="1">
        <f t="array" ref="H104">INDEX(Inputs_2!$D$6:$D$8,$G104)</f>
        <v>Veggie Pie</v>
      </c>
      <c r="I104" s="88" cm="1">
        <f t="array" ref="I104">INDEX(Inputs_2!$E$6:$E$8,$G104)</f>
        <v>7.5</v>
      </c>
      <c r="J104" s="88" cm="1">
        <f t="array" ref="J104">INDEX(Inputs_2!$F$6:$F$8,$G104)</f>
        <v>1</v>
      </c>
      <c r="K104" s="88">
        <f t="shared" si="3"/>
        <v>202.5</v>
      </c>
      <c r="L104" s="88">
        <f t="shared" si="4"/>
        <v>27</v>
      </c>
      <c r="M104" s="88">
        <f t="shared" si="5"/>
        <v>175.5</v>
      </c>
    </row>
    <row r="105" spans="2:13" x14ac:dyDescent="0.3">
      <c r="B105" s="76">
        <v>43176</v>
      </c>
      <c r="C105" s="33" t="s">
        <v>341</v>
      </c>
      <c r="D105" s="33" t="s">
        <v>123</v>
      </c>
      <c r="E105" s="33">
        <v>180</v>
      </c>
      <c r="F105" s="40">
        <v>180</v>
      </c>
      <c r="G105" s="87">
        <f>MATCH(D105, Inputs_2!$C$6:$C$8,0)</f>
        <v>1</v>
      </c>
      <c r="H105" s="87" t="str" cm="1">
        <f t="array" ref="H105">INDEX(Inputs_2!$D$6:$D$8,$G105)</f>
        <v>Meat Pie</v>
      </c>
      <c r="I105" s="88" cm="1">
        <f t="array" ref="I105">INDEX(Inputs_2!$E$6:$E$8,$G105)</f>
        <v>8</v>
      </c>
      <c r="J105" s="88" cm="1">
        <f t="array" ref="J105">INDEX(Inputs_2!$F$6:$F$8,$G105)</f>
        <v>1.2</v>
      </c>
      <c r="K105" s="88">
        <f t="shared" si="3"/>
        <v>1440</v>
      </c>
      <c r="L105" s="88">
        <f t="shared" si="4"/>
        <v>216</v>
      </c>
      <c r="M105" s="88">
        <f t="shared" si="5"/>
        <v>1224</v>
      </c>
    </row>
    <row r="106" spans="2:13" x14ac:dyDescent="0.3">
      <c r="B106" s="76">
        <v>43176</v>
      </c>
      <c r="C106" s="33" t="s">
        <v>341</v>
      </c>
      <c r="D106" s="33" t="s">
        <v>125</v>
      </c>
      <c r="E106" s="33">
        <v>75</v>
      </c>
      <c r="F106" s="40">
        <v>75</v>
      </c>
      <c r="G106" s="87">
        <f>MATCH(D106, Inputs_2!$C$6:$C$8,0)</f>
        <v>2</v>
      </c>
      <c r="H106" s="87" t="str" cm="1">
        <f t="array" ref="H106">INDEX(Inputs_2!$D$6:$D$8,$G106)</f>
        <v>Meat Pie</v>
      </c>
      <c r="I106" s="88" cm="1">
        <f t="array" ref="I106">INDEX(Inputs_2!$E$6:$E$8,$G106)</f>
        <v>8.5</v>
      </c>
      <c r="J106" s="88" cm="1">
        <f t="array" ref="J106">INDEX(Inputs_2!$F$6:$F$8,$G106)</f>
        <v>1.95</v>
      </c>
      <c r="K106" s="88">
        <f t="shared" si="3"/>
        <v>637.5</v>
      </c>
      <c r="L106" s="88">
        <f t="shared" si="4"/>
        <v>146.25</v>
      </c>
      <c r="M106" s="88">
        <f t="shared" si="5"/>
        <v>491.25</v>
      </c>
    </row>
    <row r="107" spans="2:13" x14ac:dyDescent="0.3">
      <c r="B107" s="76">
        <v>43176</v>
      </c>
      <c r="C107" s="33" t="s">
        <v>341</v>
      </c>
      <c r="D107" s="33" t="s">
        <v>126</v>
      </c>
      <c r="E107" s="33">
        <v>30</v>
      </c>
      <c r="F107" s="40">
        <v>28</v>
      </c>
      <c r="G107" s="87">
        <f>MATCH(D107, Inputs_2!$C$6:$C$8,0)</f>
        <v>3</v>
      </c>
      <c r="H107" s="87" t="str" cm="1">
        <f t="array" ref="H107">INDEX(Inputs_2!$D$6:$D$8,$G107)</f>
        <v>Veggie Pie</v>
      </c>
      <c r="I107" s="88" cm="1">
        <f t="array" ref="I107">INDEX(Inputs_2!$E$6:$E$8,$G107)</f>
        <v>7.5</v>
      </c>
      <c r="J107" s="88" cm="1">
        <f t="array" ref="J107">INDEX(Inputs_2!$F$6:$F$8,$G107)</f>
        <v>1</v>
      </c>
      <c r="K107" s="88">
        <f t="shared" si="3"/>
        <v>210</v>
      </c>
      <c r="L107" s="88">
        <f t="shared" si="4"/>
        <v>28</v>
      </c>
      <c r="M107" s="88">
        <f t="shared" si="5"/>
        <v>182</v>
      </c>
    </row>
    <row r="108" spans="2:13" x14ac:dyDescent="0.3">
      <c r="B108" s="76">
        <v>43179</v>
      </c>
      <c r="C108" s="33" t="s">
        <v>341</v>
      </c>
      <c r="D108" s="33" t="s">
        <v>123</v>
      </c>
      <c r="E108" s="33">
        <v>180</v>
      </c>
      <c r="F108" s="40">
        <v>178</v>
      </c>
      <c r="G108" s="87">
        <f>MATCH(D108, Inputs_2!$C$6:$C$8,0)</f>
        <v>1</v>
      </c>
      <c r="H108" s="87" t="str" cm="1">
        <f t="array" ref="H108">INDEX(Inputs_2!$D$6:$D$8,$G108)</f>
        <v>Meat Pie</v>
      </c>
      <c r="I108" s="88" cm="1">
        <f t="array" ref="I108">INDEX(Inputs_2!$E$6:$E$8,$G108)</f>
        <v>8</v>
      </c>
      <c r="J108" s="88" cm="1">
        <f t="array" ref="J108">INDEX(Inputs_2!$F$6:$F$8,$G108)</f>
        <v>1.2</v>
      </c>
      <c r="K108" s="88">
        <f t="shared" si="3"/>
        <v>1424</v>
      </c>
      <c r="L108" s="88">
        <f t="shared" si="4"/>
        <v>213.6</v>
      </c>
      <c r="M108" s="88">
        <f t="shared" si="5"/>
        <v>1210.4000000000001</v>
      </c>
    </row>
    <row r="109" spans="2:13" x14ac:dyDescent="0.3">
      <c r="B109" s="76">
        <v>43179</v>
      </c>
      <c r="C109" s="33" t="s">
        <v>341</v>
      </c>
      <c r="D109" s="33" t="s">
        <v>125</v>
      </c>
      <c r="E109" s="33">
        <v>75</v>
      </c>
      <c r="F109" s="40">
        <v>74</v>
      </c>
      <c r="G109" s="87">
        <f>MATCH(D109, Inputs_2!$C$6:$C$8,0)</f>
        <v>2</v>
      </c>
      <c r="H109" s="87" t="str" cm="1">
        <f t="array" ref="H109">INDEX(Inputs_2!$D$6:$D$8,$G109)</f>
        <v>Meat Pie</v>
      </c>
      <c r="I109" s="88" cm="1">
        <f t="array" ref="I109">INDEX(Inputs_2!$E$6:$E$8,$G109)</f>
        <v>8.5</v>
      </c>
      <c r="J109" s="88" cm="1">
        <f t="array" ref="J109">INDEX(Inputs_2!$F$6:$F$8,$G109)</f>
        <v>1.95</v>
      </c>
      <c r="K109" s="88">
        <f t="shared" si="3"/>
        <v>629</v>
      </c>
      <c r="L109" s="88">
        <f t="shared" si="4"/>
        <v>144.29999999999998</v>
      </c>
      <c r="M109" s="88">
        <f t="shared" si="5"/>
        <v>484.70000000000005</v>
      </c>
    </row>
    <row r="110" spans="2:13" x14ac:dyDescent="0.3">
      <c r="B110" s="76">
        <v>43179</v>
      </c>
      <c r="C110" s="33" t="s">
        <v>341</v>
      </c>
      <c r="D110" s="33" t="s">
        <v>126</v>
      </c>
      <c r="E110" s="33">
        <v>30</v>
      </c>
      <c r="F110" s="40">
        <v>20</v>
      </c>
      <c r="G110" s="87">
        <f>MATCH(D110, Inputs_2!$C$6:$C$8,0)</f>
        <v>3</v>
      </c>
      <c r="H110" s="87" t="str" cm="1">
        <f t="array" ref="H110">INDEX(Inputs_2!$D$6:$D$8,$G110)</f>
        <v>Veggie Pie</v>
      </c>
      <c r="I110" s="88" cm="1">
        <f t="array" ref="I110">INDEX(Inputs_2!$E$6:$E$8,$G110)</f>
        <v>7.5</v>
      </c>
      <c r="J110" s="88" cm="1">
        <f t="array" ref="J110">INDEX(Inputs_2!$F$6:$F$8,$G110)</f>
        <v>1</v>
      </c>
      <c r="K110" s="88">
        <f t="shared" si="3"/>
        <v>150</v>
      </c>
      <c r="L110" s="88">
        <f t="shared" si="4"/>
        <v>20</v>
      </c>
      <c r="M110" s="88">
        <f t="shared" si="5"/>
        <v>130</v>
      </c>
    </row>
    <row r="111" spans="2:13" x14ac:dyDescent="0.3">
      <c r="B111" s="76">
        <v>43181</v>
      </c>
      <c r="C111" s="33" t="s">
        <v>341</v>
      </c>
      <c r="D111" s="33" t="s">
        <v>123</v>
      </c>
      <c r="E111" s="33">
        <v>180</v>
      </c>
      <c r="F111" s="40">
        <v>178</v>
      </c>
      <c r="G111" s="87">
        <f>MATCH(D111, Inputs_2!$C$6:$C$8,0)</f>
        <v>1</v>
      </c>
      <c r="H111" s="87" t="str" cm="1">
        <f t="array" ref="H111">INDEX(Inputs_2!$D$6:$D$8,$G111)</f>
        <v>Meat Pie</v>
      </c>
      <c r="I111" s="88" cm="1">
        <f t="array" ref="I111">INDEX(Inputs_2!$E$6:$E$8,$G111)</f>
        <v>8</v>
      </c>
      <c r="J111" s="88" cm="1">
        <f t="array" ref="J111">INDEX(Inputs_2!$F$6:$F$8,$G111)</f>
        <v>1.2</v>
      </c>
      <c r="K111" s="88">
        <f t="shared" si="3"/>
        <v>1424</v>
      </c>
      <c r="L111" s="88">
        <f t="shared" si="4"/>
        <v>213.6</v>
      </c>
      <c r="M111" s="88">
        <f t="shared" si="5"/>
        <v>1210.4000000000001</v>
      </c>
    </row>
    <row r="112" spans="2:13" x14ac:dyDescent="0.3">
      <c r="B112" s="76">
        <v>43181</v>
      </c>
      <c r="C112" s="33" t="s">
        <v>341</v>
      </c>
      <c r="D112" s="33" t="s">
        <v>125</v>
      </c>
      <c r="E112" s="33">
        <v>75</v>
      </c>
      <c r="F112" s="40">
        <v>69</v>
      </c>
      <c r="G112" s="87">
        <f>MATCH(D112, Inputs_2!$C$6:$C$8,0)</f>
        <v>2</v>
      </c>
      <c r="H112" s="87" t="str" cm="1">
        <f t="array" ref="H112">INDEX(Inputs_2!$D$6:$D$8,$G112)</f>
        <v>Meat Pie</v>
      </c>
      <c r="I112" s="88" cm="1">
        <f t="array" ref="I112">INDEX(Inputs_2!$E$6:$E$8,$G112)</f>
        <v>8.5</v>
      </c>
      <c r="J112" s="88" cm="1">
        <f t="array" ref="J112">INDEX(Inputs_2!$F$6:$F$8,$G112)</f>
        <v>1.95</v>
      </c>
      <c r="K112" s="88">
        <f t="shared" si="3"/>
        <v>586.5</v>
      </c>
      <c r="L112" s="88">
        <f t="shared" si="4"/>
        <v>134.54999999999998</v>
      </c>
      <c r="M112" s="88">
        <f t="shared" si="5"/>
        <v>451.95000000000005</v>
      </c>
    </row>
    <row r="113" spans="2:13" x14ac:dyDescent="0.3">
      <c r="B113" s="76">
        <v>43181</v>
      </c>
      <c r="C113" s="33" t="s">
        <v>341</v>
      </c>
      <c r="D113" s="33" t="s">
        <v>126</v>
      </c>
      <c r="E113" s="33">
        <v>30</v>
      </c>
      <c r="F113" s="40">
        <v>27</v>
      </c>
      <c r="G113" s="87">
        <f>MATCH(D113, Inputs_2!$C$6:$C$8,0)</f>
        <v>3</v>
      </c>
      <c r="H113" s="87" t="str" cm="1">
        <f t="array" ref="H113">INDEX(Inputs_2!$D$6:$D$8,$G113)</f>
        <v>Veggie Pie</v>
      </c>
      <c r="I113" s="88" cm="1">
        <f t="array" ref="I113">INDEX(Inputs_2!$E$6:$E$8,$G113)</f>
        <v>7.5</v>
      </c>
      <c r="J113" s="88" cm="1">
        <f t="array" ref="J113">INDEX(Inputs_2!$F$6:$F$8,$G113)</f>
        <v>1</v>
      </c>
      <c r="K113" s="88">
        <f t="shared" si="3"/>
        <v>202.5</v>
      </c>
      <c r="L113" s="88">
        <f t="shared" si="4"/>
        <v>27</v>
      </c>
      <c r="M113" s="88">
        <f t="shared" si="5"/>
        <v>175.5</v>
      </c>
    </row>
    <row r="114" spans="2:13" x14ac:dyDescent="0.3">
      <c r="B114" s="76">
        <v>43183</v>
      </c>
      <c r="C114" s="33" t="s">
        <v>341</v>
      </c>
      <c r="D114" s="33" t="s">
        <v>123</v>
      </c>
      <c r="E114" s="33">
        <v>180</v>
      </c>
      <c r="F114" s="40">
        <v>180</v>
      </c>
      <c r="G114" s="87">
        <f>MATCH(D114, Inputs_2!$C$6:$C$8,0)</f>
        <v>1</v>
      </c>
      <c r="H114" s="87" t="str" cm="1">
        <f t="array" ref="H114">INDEX(Inputs_2!$D$6:$D$8,$G114)</f>
        <v>Meat Pie</v>
      </c>
      <c r="I114" s="88" cm="1">
        <f t="array" ref="I114">INDEX(Inputs_2!$E$6:$E$8,$G114)</f>
        <v>8</v>
      </c>
      <c r="J114" s="88" cm="1">
        <f t="array" ref="J114">INDEX(Inputs_2!$F$6:$F$8,$G114)</f>
        <v>1.2</v>
      </c>
      <c r="K114" s="88">
        <f t="shared" si="3"/>
        <v>1440</v>
      </c>
      <c r="L114" s="88">
        <f t="shared" si="4"/>
        <v>216</v>
      </c>
      <c r="M114" s="88">
        <f t="shared" si="5"/>
        <v>1224</v>
      </c>
    </row>
    <row r="115" spans="2:13" x14ac:dyDescent="0.3">
      <c r="B115" s="76">
        <v>43183</v>
      </c>
      <c r="C115" s="33" t="s">
        <v>341</v>
      </c>
      <c r="D115" s="33" t="s">
        <v>125</v>
      </c>
      <c r="E115" s="33">
        <v>75</v>
      </c>
      <c r="F115" s="40">
        <v>75</v>
      </c>
      <c r="G115" s="87">
        <f>MATCH(D115, Inputs_2!$C$6:$C$8,0)</f>
        <v>2</v>
      </c>
      <c r="H115" s="87" t="str" cm="1">
        <f t="array" ref="H115">INDEX(Inputs_2!$D$6:$D$8,$G115)</f>
        <v>Meat Pie</v>
      </c>
      <c r="I115" s="88" cm="1">
        <f t="array" ref="I115">INDEX(Inputs_2!$E$6:$E$8,$G115)</f>
        <v>8.5</v>
      </c>
      <c r="J115" s="88" cm="1">
        <f t="array" ref="J115">INDEX(Inputs_2!$F$6:$F$8,$G115)</f>
        <v>1.95</v>
      </c>
      <c r="K115" s="88">
        <f t="shared" si="3"/>
        <v>637.5</v>
      </c>
      <c r="L115" s="88">
        <f t="shared" si="4"/>
        <v>146.25</v>
      </c>
      <c r="M115" s="88">
        <f t="shared" si="5"/>
        <v>491.25</v>
      </c>
    </row>
    <row r="116" spans="2:13" x14ac:dyDescent="0.3">
      <c r="B116" s="76">
        <v>43183</v>
      </c>
      <c r="C116" s="33" t="s">
        <v>341</v>
      </c>
      <c r="D116" s="33" t="s">
        <v>126</v>
      </c>
      <c r="E116" s="33">
        <v>30</v>
      </c>
      <c r="F116" s="40">
        <v>30</v>
      </c>
      <c r="G116" s="87">
        <f>MATCH(D116, Inputs_2!$C$6:$C$8,0)</f>
        <v>3</v>
      </c>
      <c r="H116" s="87" t="str" cm="1">
        <f t="array" ref="H116">INDEX(Inputs_2!$D$6:$D$8,$G116)</f>
        <v>Veggie Pie</v>
      </c>
      <c r="I116" s="88" cm="1">
        <f t="array" ref="I116">INDEX(Inputs_2!$E$6:$E$8,$G116)</f>
        <v>7.5</v>
      </c>
      <c r="J116" s="88" cm="1">
        <f t="array" ref="J116">INDEX(Inputs_2!$F$6:$F$8,$G116)</f>
        <v>1</v>
      </c>
      <c r="K116" s="88">
        <f t="shared" si="3"/>
        <v>225</v>
      </c>
      <c r="L116" s="88">
        <f t="shared" si="4"/>
        <v>30</v>
      </c>
      <c r="M116" s="88">
        <f t="shared" si="5"/>
        <v>195</v>
      </c>
    </row>
    <row r="117" spans="2:13" x14ac:dyDescent="0.3">
      <c r="B117" s="76">
        <v>43186</v>
      </c>
      <c r="C117" s="33" t="s">
        <v>341</v>
      </c>
      <c r="D117" s="33" t="s">
        <v>123</v>
      </c>
      <c r="E117" s="33">
        <v>180</v>
      </c>
      <c r="F117" s="40">
        <v>178</v>
      </c>
      <c r="G117" s="87">
        <f>MATCH(D117, Inputs_2!$C$6:$C$8,0)</f>
        <v>1</v>
      </c>
      <c r="H117" s="87" t="str" cm="1">
        <f t="array" ref="H117">INDEX(Inputs_2!$D$6:$D$8,$G117)</f>
        <v>Meat Pie</v>
      </c>
      <c r="I117" s="88" cm="1">
        <f t="array" ref="I117">INDEX(Inputs_2!$E$6:$E$8,$G117)</f>
        <v>8</v>
      </c>
      <c r="J117" s="88" cm="1">
        <f t="array" ref="J117">INDEX(Inputs_2!$F$6:$F$8,$G117)</f>
        <v>1.2</v>
      </c>
      <c r="K117" s="88">
        <f t="shared" si="3"/>
        <v>1424</v>
      </c>
      <c r="L117" s="88">
        <f t="shared" si="4"/>
        <v>213.6</v>
      </c>
      <c r="M117" s="88">
        <f t="shared" si="5"/>
        <v>1210.4000000000001</v>
      </c>
    </row>
    <row r="118" spans="2:13" x14ac:dyDescent="0.3">
      <c r="B118" s="76">
        <v>43186</v>
      </c>
      <c r="C118" s="33" t="s">
        <v>341</v>
      </c>
      <c r="D118" s="33" t="s">
        <v>125</v>
      </c>
      <c r="E118" s="33">
        <v>75</v>
      </c>
      <c r="F118" s="40">
        <v>72</v>
      </c>
      <c r="G118" s="87">
        <f>MATCH(D118, Inputs_2!$C$6:$C$8,0)</f>
        <v>2</v>
      </c>
      <c r="H118" s="87" t="str" cm="1">
        <f t="array" ref="H118">INDEX(Inputs_2!$D$6:$D$8,$G118)</f>
        <v>Meat Pie</v>
      </c>
      <c r="I118" s="88" cm="1">
        <f t="array" ref="I118">INDEX(Inputs_2!$E$6:$E$8,$G118)</f>
        <v>8.5</v>
      </c>
      <c r="J118" s="88" cm="1">
        <f t="array" ref="J118">INDEX(Inputs_2!$F$6:$F$8,$G118)</f>
        <v>1.95</v>
      </c>
      <c r="K118" s="88">
        <f t="shared" si="3"/>
        <v>612</v>
      </c>
      <c r="L118" s="88">
        <f t="shared" si="4"/>
        <v>140.4</v>
      </c>
      <c r="M118" s="88">
        <f t="shared" si="5"/>
        <v>471.6</v>
      </c>
    </row>
    <row r="119" spans="2:13" x14ac:dyDescent="0.3">
      <c r="B119" s="76">
        <v>43186</v>
      </c>
      <c r="C119" s="33" t="s">
        <v>341</v>
      </c>
      <c r="D119" s="33" t="s">
        <v>126</v>
      </c>
      <c r="E119" s="33">
        <v>30</v>
      </c>
      <c r="F119" s="40">
        <v>23</v>
      </c>
      <c r="G119" s="87">
        <f>MATCH(D119, Inputs_2!$C$6:$C$8,0)</f>
        <v>3</v>
      </c>
      <c r="H119" s="87" t="str" cm="1">
        <f t="array" ref="H119">INDEX(Inputs_2!$D$6:$D$8,$G119)</f>
        <v>Veggie Pie</v>
      </c>
      <c r="I119" s="88" cm="1">
        <f t="array" ref="I119">INDEX(Inputs_2!$E$6:$E$8,$G119)</f>
        <v>7.5</v>
      </c>
      <c r="J119" s="88" cm="1">
        <f t="array" ref="J119">INDEX(Inputs_2!$F$6:$F$8,$G119)</f>
        <v>1</v>
      </c>
      <c r="K119" s="88">
        <f t="shared" si="3"/>
        <v>172.5</v>
      </c>
      <c r="L119" s="88">
        <f t="shared" si="4"/>
        <v>23</v>
      </c>
      <c r="M119" s="88">
        <f t="shared" si="5"/>
        <v>149.5</v>
      </c>
    </row>
    <row r="120" spans="2:13" x14ac:dyDescent="0.3">
      <c r="B120" s="76">
        <v>43188</v>
      </c>
      <c r="C120" s="33" t="s">
        <v>341</v>
      </c>
      <c r="D120" s="33" t="s">
        <v>123</v>
      </c>
      <c r="E120" s="33">
        <v>180</v>
      </c>
      <c r="F120" s="40">
        <v>180</v>
      </c>
      <c r="G120" s="87">
        <f>MATCH(D120, Inputs_2!$C$6:$C$8,0)</f>
        <v>1</v>
      </c>
      <c r="H120" s="87" t="str" cm="1">
        <f t="array" ref="H120">INDEX(Inputs_2!$D$6:$D$8,$G120)</f>
        <v>Meat Pie</v>
      </c>
      <c r="I120" s="88" cm="1">
        <f t="array" ref="I120">INDEX(Inputs_2!$E$6:$E$8,$G120)</f>
        <v>8</v>
      </c>
      <c r="J120" s="88" cm="1">
        <f t="array" ref="J120">INDEX(Inputs_2!$F$6:$F$8,$G120)</f>
        <v>1.2</v>
      </c>
      <c r="K120" s="88">
        <f t="shared" si="3"/>
        <v>1440</v>
      </c>
      <c r="L120" s="88">
        <f t="shared" si="4"/>
        <v>216</v>
      </c>
      <c r="M120" s="88">
        <f t="shared" si="5"/>
        <v>1224</v>
      </c>
    </row>
    <row r="121" spans="2:13" x14ac:dyDescent="0.3">
      <c r="B121" s="76">
        <v>43188</v>
      </c>
      <c r="C121" s="33" t="s">
        <v>341</v>
      </c>
      <c r="D121" s="33" t="s">
        <v>125</v>
      </c>
      <c r="E121" s="33">
        <v>75</v>
      </c>
      <c r="F121" s="40">
        <v>74</v>
      </c>
      <c r="G121" s="87">
        <f>MATCH(D121, Inputs_2!$C$6:$C$8,0)</f>
        <v>2</v>
      </c>
      <c r="H121" s="87" t="str" cm="1">
        <f t="array" ref="H121">INDEX(Inputs_2!$D$6:$D$8,$G121)</f>
        <v>Meat Pie</v>
      </c>
      <c r="I121" s="88" cm="1">
        <f t="array" ref="I121">INDEX(Inputs_2!$E$6:$E$8,$G121)</f>
        <v>8.5</v>
      </c>
      <c r="J121" s="88" cm="1">
        <f t="array" ref="J121">INDEX(Inputs_2!$F$6:$F$8,$G121)</f>
        <v>1.95</v>
      </c>
      <c r="K121" s="88">
        <f t="shared" si="3"/>
        <v>629</v>
      </c>
      <c r="L121" s="88">
        <f t="shared" si="4"/>
        <v>144.29999999999998</v>
      </c>
      <c r="M121" s="88">
        <f t="shared" si="5"/>
        <v>484.70000000000005</v>
      </c>
    </row>
    <row r="122" spans="2:13" x14ac:dyDescent="0.3">
      <c r="B122" s="76">
        <v>43188</v>
      </c>
      <c r="C122" s="33" t="s">
        <v>341</v>
      </c>
      <c r="D122" s="33" t="s">
        <v>126</v>
      </c>
      <c r="E122" s="33">
        <v>30</v>
      </c>
      <c r="F122" s="40">
        <v>27</v>
      </c>
      <c r="G122" s="87">
        <f>MATCH(D122, Inputs_2!$C$6:$C$8,0)</f>
        <v>3</v>
      </c>
      <c r="H122" s="87" t="str" cm="1">
        <f t="array" ref="H122">INDEX(Inputs_2!$D$6:$D$8,$G122)</f>
        <v>Veggie Pie</v>
      </c>
      <c r="I122" s="88" cm="1">
        <f t="array" ref="I122">INDEX(Inputs_2!$E$6:$E$8,$G122)</f>
        <v>7.5</v>
      </c>
      <c r="J122" s="88" cm="1">
        <f t="array" ref="J122">INDEX(Inputs_2!$F$6:$F$8,$G122)</f>
        <v>1</v>
      </c>
      <c r="K122" s="88">
        <f t="shared" si="3"/>
        <v>202.5</v>
      </c>
      <c r="L122" s="88">
        <f t="shared" si="4"/>
        <v>27</v>
      </c>
      <c r="M122" s="88">
        <f t="shared" si="5"/>
        <v>175.5</v>
      </c>
    </row>
    <row r="123" spans="2:13" x14ac:dyDescent="0.3">
      <c r="B123" s="76">
        <v>43190</v>
      </c>
      <c r="C123" s="33" t="s">
        <v>341</v>
      </c>
      <c r="D123" s="33" t="s">
        <v>123</v>
      </c>
      <c r="E123" s="33">
        <v>180</v>
      </c>
      <c r="F123" s="40">
        <v>180</v>
      </c>
      <c r="G123" s="87">
        <f>MATCH(D123, Inputs_2!$C$6:$C$8,0)</f>
        <v>1</v>
      </c>
      <c r="H123" s="87" t="str" cm="1">
        <f t="array" ref="H123">INDEX(Inputs_2!$D$6:$D$8,$G123)</f>
        <v>Meat Pie</v>
      </c>
      <c r="I123" s="88" cm="1">
        <f t="array" ref="I123">INDEX(Inputs_2!$E$6:$E$8,$G123)</f>
        <v>8</v>
      </c>
      <c r="J123" s="88" cm="1">
        <f t="array" ref="J123">INDEX(Inputs_2!$F$6:$F$8,$G123)</f>
        <v>1.2</v>
      </c>
      <c r="K123" s="88">
        <f t="shared" si="3"/>
        <v>1440</v>
      </c>
      <c r="L123" s="88">
        <f t="shared" si="4"/>
        <v>216</v>
      </c>
      <c r="M123" s="88">
        <f t="shared" si="5"/>
        <v>1224</v>
      </c>
    </row>
    <row r="124" spans="2:13" x14ac:dyDescent="0.3">
      <c r="B124" s="76">
        <v>43190</v>
      </c>
      <c r="C124" s="33" t="s">
        <v>341</v>
      </c>
      <c r="D124" s="33" t="s">
        <v>125</v>
      </c>
      <c r="E124" s="33">
        <v>75</v>
      </c>
      <c r="F124" s="40">
        <v>74</v>
      </c>
      <c r="G124" s="87">
        <f>MATCH(D124, Inputs_2!$C$6:$C$8,0)</f>
        <v>2</v>
      </c>
      <c r="H124" s="87" t="str" cm="1">
        <f t="array" ref="H124">INDEX(Inputs_2!$D$6:$D$8,$G124)</f>
        <v>Meat Pie</v>
      </c>
      <c r="I124" s="88" cm="1">
        <f t="array" ref="I124">INDEX(Inputs_2!$E$6:$E$8,$G124)</f>
        <v>8.5</v>
      </c>
      <c r="J124" s="88" cm="1">
        <f t="array" ref="J124">INDEX(Inputs_2!$F$6:$F$8,$G124)</f>
        <v>1.95</v>
      </c>
      <c r="K124" s="88">
        <f t="shared" si="3"/>
        <v>629</v>
      </c>
      <c r="L124" s="88">
        <f t="shared" si="4"/>
        <v>144.29999999999998</v>
      </c>
      <c r="M124" s="88">
        <f t="shared" si="5"/>
        <v>484.70000000000005</v>
      </c>
    </row>
    <row r="125" spans="2:13" x14ac:dyDescent="0.3">
      <c r="B125" s="76">
        <v>43190</v>
      </c>
      <c r="C125" s="33" t="s">
        <v>341</v>
      </c>
      <c r="D125" s="33" t="s">
        <v>126</v>
      </c>
      <c r="E125" s="33">
        <v>30</v>
      </c>
      <c r="F125" s="40">
        <v>27</v>
      </c>
      <c r="G125" s="87">
        <f>MATCH(D125, Inputs_2!$C$6:$C$8,0)</f>
        <v>3</v>
      </c>
      <c r="H125" s="87" t="str" cm="1">
        <f t="array" ref="H125">INDEX(Inputs_2!$D$6:$D$8,$G125)</f>
        <v>Veggie Pie</v>
      </c>
      <c r="I125" s="88" cm="1">
        <f t="array" ref="I125">INDEX(Inputs_2!$E$6:$E$8,$G125)</f>
        <v>7.5</v>
      </c>
      <c r="J125" s="88" cm="1">
        <f t="array" ref="J125">INDEX(Inputs_2!$F$6:$F$8,$G125)</f>
        <v>1</v>
      </c>
      <c r="K125" s="88">
        <f t="shared" si="3"/>
        <v>202.5</v>
      </c>
      <c r="L125" s="88">
        <f t="shared" si="4"/>
        <v>27</v>
      </c>
      <c r="M125" s="88">
        <f t="shared" si="5"/>
        <v>175.5</v>
      </c>
    </row>
    <row r="126" spans="2:13" x14ac:dyDescent="0.3">
      <c r="B126" s="76">
        <v>43193</v>
      </c>
      <c r="C126" s="33" t="s">
        <v>341</v>
      </c>
      <c r="D126" s="33" t="s">
        <v>123</v>
      </c>
      <c r="E126" s="33">
        <v>180</v>
      </c>
      <c r="F126" s="40">
        <v>174</v>
      </c>
      <c r="G126" s="87">
        <f>MATCH(D126, Inputs_2!$C$6:$C$8,0)</f>
        <v>1</v>
      </c>
      <c r="H126" s="87" t="str" cm="1">
        <f t="array" ref="H126">INDEX(Inputs_2!$D$6:$D$8,$G126)</f>
        <v>Meat Pie</v>
      </c>
      <c r="I126" s="88" cm="1">
        <f t="array" ref="I126">INDEX(Inputs_2!$E$6:$E$8,$G126)</f>
        <v>8</v>
      </c>
      <c r="J126" s="88" cm="1">
        <f t="array" ref="J126">INDEX(Inputs_2!$F$6:$F$8,$G126)</f>
        <v>1.2</v>
      </c>
      <c r="K126" s="88">
        <f t="shared" si="3"/>
        <v>1392</v>
      </c>
      <c r="L126" s="88">
        <f t="shared" si="4"/>
        <v>208.79999999999998</v>
      </c>
      <c r="M126" s="88">
        <f t="shared" si="5"/>
        <v>1183.2</v>
      </c>
    </row>
    <row r="127" spans="2:13" x14ac:dyDescent="0.3">
      <c r="B127" s="76">
        <v>43193</v>
      </c>
      <c r="C127" s="33" t="s">
        <v>341</v>
      </c>
      <c r="D127" s="33" t="s">
        <v>125</v>
      </c>
      <c r="E127" s="33">
        <v>75</v>
      </c>
      <c r="F127" s="40">
        <v>71</v>
      </c>
      <c r="G127" s="87">
        <f>MATCH(D127, Inputs_2!$C$6:$C$8,0)</f>
        <v>2</v>
      </c>
      <c r="H127" s="87" t="str" cm="1">
        <f t="array" ref="H127">INDEX(Inputs_2!$D$6:$D$8,$G127)</f>
        <v>Meat Pie</v>
      </c>
      <c r="I127" s="88" cm="1">
        <f t="array" ref="I127">INDEX(Inputs_2!$E$6:$E$8,$G127)</f>
        <v>8.5</v>
      </c>
      <c r="J127" s="88" cm="1">
        <f t="array" ref="J127">INDEX(Inputs_2!$F$6:$F$8,$G127)</f>
        <v>1.95</v>
      </c>
      <c r="K127" s="88">
        <f t="shared" si="3"/>
        <v>603.5</v>
      </c>
      <c r="L127" s="88">
        <f t="shared" si="4"/>
        <v>138.44999999999999</v>
      </c>
      <c r="M127" s="88">
        <f t="shared" si="5"/>
        <v>465.05</v>
      </c>
    </row>
    <row r="128" spans="2:13" x14ac:dyDescent="0.3">
      <c r="B128" s="76">
        <v>43193</v>
      </c>
      <c r="C128" s="33" t="s">
        <v>341</v>
      </c>
      <c r="D128" s="33" t="s">
        <v>126</v>
      </c>
      <c r="E128" s="33">
        <v>30</v>
      </c>
      <c r="F128" s="40">
        <v>26</v>
      </c>
      <c r="G128" s="87">
        <f>MATCH(D128, Inputs_2!$C$6:$C$8,0)</f>
        <v>3</v>
      </c>
      <c r="H128" s="87" t="str" cm="1">
        <f t="array" ref="H128">INDEX(Inputs_2!$D$6:$D$8,$G128)</f>
        <v>Veggie Pie</v>
      </c>
      <c r="I128" s="88" cm="1">
        <f t="array" ref="I128">INDEX(Inputs_2!$E$6:$E$8,$G128)</f>
        <v>7.5</v>
      </c>
      <c r="J128" s="88" cm="1">
        <f t="array" ref="J128">INDEX(Inputs_2!$F$6:$F$8,$G128)</f>
        <v>1</v>
      </c>
      <c r="K128" s="88">
        <f t="shared" si="3"/>
        <v>195</v>
      </c>
      <c r="L128" s="88">
        <f t="shared" si="4"/>
        <v>26</v>
      </c>
      <c r="M128" s="88">
        <f t="shared" si="5"/>
        <v>169</v>
      </c>
    </row>
    <row r="129" spans="2:13" x14ac:dyDescent="0.3">
      <c r="B129" s="76">
        <v>43195</v>
      </c>
      <c r="C129" s="33" t="s">
        <v>341</v>
      </c>
      <c r="D129" s="33" t="s">
        <v>123</v>
      </c>
      <c r="E129" s="33">
        <v>180</v>
      </c>
      <c r="F129" s="40">
        <v>180</v>
      </c>
      <c r="G129" s="87">
        <f>MATCH(D129, Inputs_2!$C$6:$C$8,0)</f>
        <v>1</v>
      </c>
      <c r="H129" s="87" t="str" cm="1">
        <f t="array" ref="H129">INDEX(Inputs_2!$D$6:$D$8,$G129)</f>
        <v>Meat Pie</v>
      </c>
      <c r="I129" s="88" cm="1">
        <f t="array" ref="I129">INDEX(Inputs_2!$E$6:$E$8,$G129)</f>
        <v>8</v>
      </c>
      <c r="J129" s="88" cm="1">
        <f t="array" ref="J129">INDEX(Inputs_2!$F$6:$F$8,$G129)</f>
        <v>1.2</v>
      </c>
      <c r="K129" s="88">
        <f t="shared" si="3"/>
        <v>1440</v>
      </c>
      <c r="L129" s="88">
        <f t="shared" si="4"/>
        <v>216</v>
      </c>
      <c r="M129" s="88">
        <f t="shared" si="5"/>
        <v>1224</v>
      </c>
    </row>
    <row r="130" spans="2:13" x14ac:dyDescent="0.3">
      <c r="B130" s="76">
        <v>43195</v>
      </c>
      <c r="C130" s="33" t="s">
        <v>341</v>
      </c>
      <c r="D130" s="33" t="s">
        <v>125</v>
      </c>
      <c r="E130" s="33">
        <v>75</v>
      </c>
      <c r="F130" s="40">
        <v>75</v>
      </c>
      <c r="G130" s="87">
        <f>MATCH(D130, Inputs_2!$C$6:$C$8,0)</f>
        <v>2</v>
      </c>
      <c r="H130" s="87" t="str" cm="1">
        <f t="array" ref="H130">INDEX(Inputs_2!$D$6:$D$8,$G130)</f>
        <v>Meat Pie</v>
      </c>
      <c r="I130" s="88" cm="1">
        <f t="array" ref="I130">INDEX(Inputs_2!$E$6:$E$8,$G130)</f>
        <v>8.5</v>
      </c>
      <c r="J130" s="88" cm="1">
        <f t="array" ref="J130">INDEX(Inputs_2!$F$6:$F$8,$G130)</f>
        <v>1.95</v>
      </c>
      <c r="K130" s="88">
        <f t="shared" si="3"/>
        <v>637.5</v>
      </c>
      <c r="L130" s="88">
        <f t="shared" si="4"/>
        <v>146.25</v>
      </c>
      <c r="M130" s="88">
        <f t="shared" si="5"/>
        <v>491.25</v>
      </c>
    </row>
    <row r="131" spans="2:13" x14ac:dyDescent="0.3">
      <c r="B131" s="76">
        <v>43195</v>
      </c>
      <c r="C131" s="33" t="s">
        <v>341</v>
      </c>
      <c r="D131" s="33" t="s">
        <v>126</v>
      </c>
      <c r="E131" s="33">
        <v>30</v>
      </c>
      <c r="F131" s="40">
        <v>24</v>
      </c>
      <c r="G131" s="87">
        <f>MATCH(D131, Inputs_2!$C$6:$C$8,0)</f>
        <v>3</v>
      </c>
      <c r="H131" s="87" t="str" cm="1">
        <f t="array" ref="H131">INDEX(Inputs_2!$D$6:$D$8,$G131)</f>
        <v>Veggie Pie</v>
      </c>
      <c r="I131" s="88" cm="1">
        <f t="array" ref="I131">INDEX(Inputs_2!$E$6:$E$8,$G131)</f>
        <v>7.5</v>
      </c>
      <c r="J131" s="88" cm="1">
        <f t="array" ref="J131">INDEX(Inputs_2!$F$6:$F$8,$G131)</f>
        <v>1</v>
      </c>
      <c r="K131" s="88">
        <f t="shared" si="3"/>
        <v>180</v>
      </c>
      <c r="L131" s="88">
        <f t="shared" si="4"/>
        <v>24</v>
      </c>
      <c r="M131" s="88">
        <f t="shared" si="5"/>
        <v>156</v>
      </c>
    </row>
    <row r="132" spans="2:13" x14ac:dyDescent="0.3">
      <c r="B132" s="76">
        <v>43197</v>
      </c>
      <c r="C132" s="33" t="s">
        <v>341</v>
      </c>
      <c r="D132" s="33" t="s">
        <v>123</v>
      </c>
      <c r="E132" s="33">
        <v>180</v>
      </c>
      <c r="F132" s="40">
        <v>180</v>
      </c>
      <c r="G132" s="87">
        <f>MATCH(D132, Inputs_2!$C$6:$C$8,0)</f>
        <v>1</v>
      </c>
      <c r="H132" s="87" t="str" cm="1">
        <f t="array" ref="H132">INDEX(Inputs_2!$D$6:$D$8,$G132)</f>
        <v>Meat Pie</v>
      </c>
      <c r="I132" s="88" cm="1">
        <f t="array" ref="I132">INDEX(Inputs_2!$E$6:$E$8,$G132)</f>
        <v>8</v>
      </c>
      <c r="J132" s="88" cm="1">
        <f t="array" ref="J132">INDEX(Inputs_2!$F$6:$F$8,$G132)</f>
        <v>1.2</v>
      </c>
      <c r="K132" s="88">
        <f t="shared" si="3"/>
        <v>1440</v>
      </c>
      <c r="L132" s="88">
        <f t="shared" si="4"/>
        <v>216</v>
      </c>
      <c r="M132" s="88">
        <f t="shared" si="5"/>
        <v>1224</v>
      </c>
    </row>
    <row r="133" spans="2:13" x14ac:dyDescent="0.3">
      <c r="B133" s="76">
        <v>43197</v>
      </c>
      <c r="C133" s="33" t="s">
        <v>341</v>
      </c>
      <c r="D133" s="33" t="s">
        <v>125</v>
      </c>
      <c r="E133" s="33">
        <v>75</v>
      </c>
      <c r="F133" s="40">
        <v>75</v>
      </c>
      <c r="G133" s="87">
        <f>MATCH(D133, Inputs_2!$C$6:$C$8,0)</f>
        <v>2</v>
      </c>
      <c r="H133" s="87" t="str" cm="1">
        <f t="array" ref="H133">INDEX(Inputs_2!$D$6:$D$8,$G133)</f>
        <v>Meat Pie</v>
      </c>
      <c r="I133" s="88" cm="1">
        <f t="array" ref="I133">INDEX(Inputs_2!$E$6:$E$8,$G133)</f>
        <v>8.5</v>
      </c>
      <c r="J133" s="88" cm="1">
        <f t="array" ref="J133">INDEX(Inputs_2!$F$6:$F$8,$G133)</f>
        <v>1.95</v>
      </c>
      <c r="K133" s="88">
        <f t="shared" si="3"/>
        <v>637.5</v>
      </c>
      <c r="L133" s="88">
        <f t="shared" si="4"/>
        <v>146.25</v>
      </c>
      <c r="M133" s="88">
        <f t="shared" si="5"/>
        <v>491.25</v>
      </c>
    </row>
    <row r="134" spans="2:13" x14ac:dyDescent="0.3">
      <c r="B134" s="76">
        <v>43197</v>
      </c>
      <c r="C134" s="33" t="s">
        <v>341</v>
      </c>
      <c r="D134" s="33" t="s">
        <v>126</v>
      </c>
      <c r="E134" s="33">
        <v>30</v>
      </c>
      <c r="F134" s="40">
        <v>30</v>
      </c>
      <c r="G134" s="87">
        <f>MATCH(D134, Inputs_2!$C$6:$C$8,0)</f>
        <v>3</v>
      </c>
      <c r="H134" s="87" t="str" cm="1">
        <f t="array" ref="H134">INDEX(Inputs_2!$D$6:$D$8,$G134)</f>
        <v>Veggie Pie</v>
      </c>
      <c r="I134" s="88" cm="1">
        <f t="array" ref="I134">INDEX(Inputs_2!$E$6:$E$8,$G134)</f>
        <v>7.5</v>
      </c>
      <c r="J134" s="88" cm="1">
        <f t="array" ref="J134">INDEX(Inputs_2!$F$6:$F$8,$G134)</f>
        <v>1</v>
      </c>
      <c r="K134" s="88">
        <f t="shared" si="3"/>
        <v>225</v>
      </c>
      <c r="L134" s="88">
        <f t="shared" si="4"/>
        <v>30</v>
      </c>
      <c r="M134" s="88">
        <f t="shared" si="5"/>
        <v>195</v>
      </c>
    </row>
    <row r="135" spans="2:13" x14ac:dyDescent="0.3">
      <c r="B135" s="76">
        <v>43200</v>
      </c>
      <c r="C135" s="33" t="s">
        <v>341</v>
      </c>
      <c r="D135" s="33" t="s">
        <v>123</v>
      </c>
      <c r="E135" s="33">
        <v>180</v>
      </c>
      <c r="F135" s="40">
        <v>178</v>
      </c>
      <c r="G135" s="87">
        <f>MATCH(D135, Inputs_2!$C$6:$C$8,0)</f>
        <v>1</v>
      </c>
      <c r="H135" s="87" t="str" cm="1">
        <f t="array" ref="H135">INDEX(Inputs_2!$D$6:$D$8,$G135)</f>
        <v>Meat Pie</v>
      </c>
      <c r="I135" s="88" cm="1">
        <f t="array" ref="I135">INDEX(Inputs_2!$E$6:$E$8,$G135)</f>
        <v>8</v>
      </c>
      <c r="J135" s="88" cm="1">
        <f t="array" ref="J135">INDEX(Inputs_2!$F$6:$F$8,$G135)</f>
        <v>1.2</v>
      </c>
      <c r="K135" s="88">
        <f t="shared" si="3"/>
        <v>1424</v>
      </c>
      <c r="L135" s="88">
        <f t="shared" si="4"/>
        <v>213.6</v>
      </c>
      <c r="M135" s="88">
        <f t="shared" si="5"/>
        <v>1210.4000000000001</v>
      </c>
    </row>
    <row r="136" spans="2:13" x14ac:dyDescent="0.3">
      <c r="B136" s="76">
        <v>43200</v>
      </c>
      <c r="C136" s="33" t="s">
        <v>341</v>
      </c>
      <c r="D136" s="33" t="s">
        <v>125</v>
      </c>
      <c r="E136" s="33">
        <v>75</v>
      </c>
      <c r="F136" s="40">
        <v>71</v>
      </c>
      <c r="G136" s="87">
        <f>MATCH(D136, Inputs_2!$C$6:$C$8,0)</f>
        <v>2</v>
      </c>
      <c r="H136" s="87" t="str" cm="1">
        <f t="array" ref="H136">INDEX(Inputs_2!$D$6:$D$8,$G136)</f>
        <v>Meat Pie</v>
      </c>
      <c r="I136" s="88" cm="1">
        <f t="array" ref="I136">INDEX(Inputs_2!$E$6:$E$8,$G136)</f>
        <v>8.5</v>
      </c>
      <c r="J136" s="88" cm="1">
        <f t="array" ref="J136">INDEX(Inputs_2!$F$6:$F$8,$G136)</f>
        <v>1.95</v>
      </c>
      <c r="K136" s="88">
        <f t="shared" si="3"/>
        <v>603.5</v>
      </c>
      <c r="L136" s="88">
        <f t="shared" si="4"/>
        <v>138.44999999999999</v>
      </c>
      <c r="M136" s="88">
        <f t="shared" si="5"/>
        <v>465.05</v>
      </c>
    </row>
    <row r="137" spans="2:13" x14ac:dyDescent="0.3">
      <c r="B137" s="76">
        <v>43200</v>
      </c>
      <c r="C137" s="33" t="s">
        <v>341</v>
      </c>
      <c r="D137" s="33" t="s">
        <v>126</v>
      </c>
      <c r="E137" s="33">
        <v>30</v>
      </c>
      <c r="F137" s="40">
        <v>28</v>
      </c>
      <c r="G137" s="87">
        <f>MATCH(D137, Inputs_2!$C$6:$C$8,0)</f>
        <v>3</v>
      </c>
      <c r="H137" s="87" t="str" cm="1">
        <f t="array" ref="H137">INDEX(Inputs_2!$D$6:$D$8,$G137)</f>
        <v>Veggie Pie</v>
      </c>
      <c r="I137" s="88" cm="1">
        <f t="array" ref="I137">INDEX(Inputs_2!$E$6:$E$8,$G137)</f>
        <v>7.5</v>
      </c>
      <c r="J137" s="88" cm="1">
        <f t="array" ref="J137">INDEX(Inputs_2!$F$6:$F$8,$G137)</f>
        <v>1</v>
      </c>
      <c r="K137" s="88">
        <f t="shared" si="3"/>
        <v>210</v>
      </c>
      <c r="L137" s="88">
        <f t="shared" si="4"/>
        <v>28</v>
      </c>
      <c r="M137" s="88">
        <f t="shared" si="5"/>
        <v>182</v>
      </c>
    </row>
    <row r="138" spans="2:13" x14ac:dyDescent="0.3">
      <c r="B138" s="76">
        <v>43202</v>
      </c>
      <c r="C138" s="33" t="s">
        <v>341</v>
      </c>
      <c r="D138" s="33" t="s">
        <v>123</v>
      </c>
      <c r="E138" s="33">
        <v>180</v>
      </c>
      <c r="F138" s="40">
        <v>180</v>
      </c>
      <c r="G138" s="87">
        <f>MATCH(D138, Inputs_2!$C$6:$C$8,0)</f>
        <v>1</v>
      </c>
      <c r="H138" s="87" t="str" cm="1">
        <f t="array" ref="H138">INDEX(Inputs_2!$D$6:$D$8,$G138)</f>
        <v>Meat Pie</v>
      </c>
      <c r="I138" s="88" cm="1">
        <f t="array" ref="I138">INDEX(Inputs_2!$E$6:$E$8,$G138)</f>
        <v>8</v>
      </c>
      <c r="J138" s="88" cm="1">
        <f t="array" ref="J138">INDEX(Inputs_2!$F$6:$F$8,$G138)</f>
        <v>1.2</v>
      </c>
      <c r="K138" s="88">
        <f t="shared" ref="K138:K201" si="6">F138 * I138</f>
        <v>1440</v>
      </c>
      <c r="L138" s="88">
        <f t="shared" ref="L138:L201" si="7">F138 * J138</f>
        <v>216</v>
      </c>
      <c r="M138" s="88">
        <f t="shared" ref="M138:M201" si="8">K138 - L138</f>
        <v>1224</v>
      </c>
    </row>
    <row r="139" spans="2:13" x14ac:dyDescent="0.3">
      <c r="B139" s="76">
        <v>43202</v>
      </c>
      <c r="C139" s="33" t="s">
        <v>341</v>
      </c>
      <c r="D139" s="33" t="s">
        <v>125</v>
      </c>
      <c r="E139" s="33">
        <v>75</v>
      </c>
      <c r="F139" s="40">
        <v>75</v>
      </c>
      <c r="G139" s="87">
        <f>MATCH(D139, Inputs_2!$C$6:$C$8,0)</f>
        <v>2</v>
      </c>
      <c r="H139" s="87" t="str" cm="1">
        <f t="array" ref="H139">INDEX(Inputs_2!$D$6:$D$8,$G139)</f>
        <v>Meat Pie</v>
      </c>
      <c r="I139" s="88" cm="1">
        <f t="array" ref="I139">INDEX(Inputs_2!$E$6:$E$8,$G139)</f>
        <v>8.5</v>
      </c>
      <c r="J139" s="88" cm="1">
        <f t="array" ref="J139">INDEX(Inputs_2!$F$6:$F$8,$G139)</f>
        <v>1.95</v>
      </c>
      <c r="K139" s="88">
        <f t="shared" si="6"/>
        <v>637.5</v>
      </c>
      <c r="L139" s="88">
        <f t="shared" si="7"/>
        <v>146.25</v>
      </c>
      <c r="M139" s="88">
        <f t="shared" si="8"/>
        <v>491.25</v>
      </c>
    </row>
    <row r="140" spans="2:13" x14ac:dyDescent="0.3">
      <c r="B140" s="76">
        <v>43202</v>
      </c>
      <c r="C140" s="33" t="s">
        <v>341</v>
      </c>
      <c r="D140" s="33" t="s">
        <v>126</v>
      </c>
      <c r="E140" s="33">
        <v>30</v>
      </c>
      <c r="F140" s="40">
        <v>30</v>
      </c>
      <c r="G140" s="87">
        <f>MATCH(D140, Inputs_2!$C$6:$C$8,0)</f>
        <v>3</v>
      </c>
      <c r="H140" s="87" t="str" cm="1">
        <f t="array" ref="H140">INDEX(Inputs_2!$D$6:$D$8,$G140)</f>
        <v>Veggie Pie</v>
      </c>
      <c r="I140" s="88" cm="1">
        <f t="array" ref="I140">INDEX(Inputs_2!$E$6:$E$8,$G140)</f>
        <v>7.5</v>
      </c>
      <c r="J140" s="88" cm="1">
        <f t="array" ref="J140">INDEX(Inputs_2!$F$6:$F$8,$G140)</f>
        <v>1</v>
      </c>
      <c r="K140" s="88">
        <f t="shared" si="6"/>
        <v>225</v>
      </c>
      <c r="L140" s="88">
        <f t="shared" si="7"/>
        <v>30</v>
      </c>
      <c r="M140" s="88">
        <f t="shared" si="8"/>
        <v>195</v>
      </c>
    </row>
    <row r="141" spans="2:13" x14ac:dyDescent="0.3">
      <c r="B141" s="76">
        <v>43204</v>
      </c>
      <c r="C141" s="33" t="s">
        <v>341</v>
      </c>
      <c r="D141" s="33" t="s">
        <v>123</v>
      </c>
      <c r="E141" s="33">
        <v>180</v>
      </c>
      <c r="F141" s="40">
        <v>180</v>
      </c>
      <c r="G141" s="87">
        <f>MATCH(D141, Inputs_2!$C$6:$C$8,0)</f>
        <v>1</v>
      </c>
      <c r="H141" s="87" t="str" cm="1">
        <f t="array" ref="H141">INDEX(Inputs_2!$D$6:$D$8,$G141)</f>
        <v>Meat Pie</v>
      </c>
      <c r="I141" s="88" cm="1">
        <f t="array" ref="I141">INDEX(Inputs_2!$E$6:$E$8,$G141)</f>
        <v>8</v>
      </c>
      <c r="J141" s="88" cm="1">
        <f t="array" ref="J141">INDEX(Inputs_2!$F$6:$F$8,$G141)</f>
        <v>1.2</v>
      </c>
      <c r="K141" s="88">
        <f t="shared" si="6"/>
        <v>1440</v>
      </c>
      <c r="L141" s="88">
        <f t="shared" si="7"/>
        <v>216</v>
      </c>
      <c r="M141" s="88">
        <f t="shared" si="8"/>
        <v>1224</v>
      </c>
    </row>
    <row r="142" spans="2:13" x14ac:dyDescent="0.3">
      <c r="B142" s="76">
        <v>43204</v>
      </c>
      <c r="C142" s="33" t="s">
        <v>341</v>
      </c>
      <c r="D142" s="33" t="s">
        <v>125</v>
      </c>
      <c r="E142" s="33">
        <v>75</v>
      </c>
      <c r="F142" s="40">
        <v>75</v>
      </c>
      <c r="G142" s="87">
        <f>MATCH(D142, Inputs_2!$C$6:$C$8,0)</f>
        <v>2</v>
      </c>
      <c r="H142" s="87" t="str" cm="1">
        <f t="array" ref="H142">INDEX(Inputs_2!$D$6:$D$8,$G142)</f>
        <v>Meat Pie</v>
      </c>
      <c r="I142" s="88" cm="1">
        <f t="array" ref="I142">INDEX(Inputs_2!$E$6:$E$8,$G142)</f>
        <v>8.5</v>
      </c>
      <c r="J142" s="88" cm="1">
        <f t="array" ref="J142">INDEX(Inputs_2!$F$6:$F$8,$G142)</f>
        <v>1.95</v>
      </c>
      <c r="K142" s="88">
        <f t="shared" si="6"/>
        <v>637.5</v>
      </c>
      <c r="L142" s="88">
        <f t="shared" si="7"/>
        <v>146.25</v>
      </c>
      <c r="M142" s="88">
        <f t="shared" si="8"/>
        <v>491.25</v>
      </c>
    </row>
    <row r="143" spans="2:13" x14ac:dyDescent="0.3">
      <c r="B143" s="76">
        <v>43204</v>
      </c>
      <c r="C143" s="33" t="s">
        <v>341</v>
      </c>
      <c r="D143" s="33" t="s">
        <v>126</v>
      </c>
      <c r="E143" s="33">
        <v>30</v>
      </c>
      <c r="F143" s="40">
        <v>28</v>
      </c>
      <c r="G143" s="87">
        <f>MATCH(D143, Inputs_2!$C$6:$C$8,0)</f>
        <v>3</v>
      </c>
      <c r="H143" s="87" t="str" cm="1">
        <f t="array" ref="H143">INDEX(Inputs_2!$D$6:$D$8,$G143)</f>
        <v>Veggie Pie</v>
      </c>
      <c r="I143" s="88" cm="1">
        <f t="array" ref="I143">INDEX(Inputs_2!$E$6:$E$8,$G143)</f>
        <v>7.5</v>
      </c>
      <c r="J143" s="88" cm="1">
        <f t="array" ref="J143">INDEX(Inputs_2!$F$6:$F$8,$G143)</f>
        <v>1</v>
      </c>
      <c r="K143" s="88">
        <f t="shared" si="6"/>
        <v>210</v>
      </c>
      <c r="L143" s="88">
        <f t="shared" si="7"/>
        <v>28</v>
      </c>
      <c r="M143" s="88">
        <f t="shared" si="8"/>
        <v>182</v>
      </c>
    </row>
    <row r="144" spans="2:13" x14ac:dyDescent="0.3">
      <c r="B144" s="76">
        <v>43207</v>
      </c>
      <c r="C144" s="33" t="s">
        <v>341</v>
      </c>
      <c r="D144" s="33" t="s">
        <v>123</v>
      </c>
      <c r="E144" s="33">
        <v>180</v>
      </c>
      <c r="F144" s="40">
        <v>180</v>
      </c>
      <c r="G144" s="87">
        <f>MATCH(D144, Inputs_2!$C$6:$C$8,0)</f>
        <v>1</v>
      </c>
      <c r="H144" s="87" t="str" cm="1">
        <f t="array" ref="H144">INDEX(Inputs_2!$D$6:$D$8,$G144)</f>
        <v>Meat Pie</v>
      </c>
      <c r="I144" s="88" cm="1">
        <f t="array" ref="I144">INDEX(Inputs_2!$E$6:$E$8,$G144)</f>
        <v>8</v>
      </c>
      <c r="J144" s="88" cm="1">
        <f t="array" ref="J144">INDEX(Inputs_2!$F$6:$F$8,$G144)</f>
        <v>1.2</v>
      </c>
      <c r="K144" s="88">
        <f t="shared" si="6"/>
        <v>1440</v>
      </c>
      <c r="L144" s="88">
        <f t="shared" si="7"/>
        <v>216</v>
      </c>
      <c r="M144" s="88">
        <f t="shared" si="8"/>
        <v>1224</v>
      </c>
    </row>
    <row r="145" spans="2:13" x14ac:dyDescent="0.3">
      <c r="B145" s="76">
        <v>43207</v>
      </c>
      <c r="C145" s="33" t="s">
        <v>341</v>
      </c>
      <c r="D145" s="33" t="s">
        <v>125</v>
      </c>
      <c r="E145" s="33">
        <v>75</v>
      </c>
      <c r="F145" s="40">
        <v>74</v>
      </c>
      <c r="G145" s="87">
        <f>MATCH(D145, Inputs_2!$C$6:$C$8,0)</f>
        <v>2</v>
      </c>
      <c r="H145" s="87" t="str" cm="1">
        <f t="array" ref="H145">INDEX(Inputs_2!$D$6:$D$8,$G145)</f>
        <v>Meat Pie</v>
      </c>
      <c r="I145" s="88" cm="1">
        <f t="array" ref="I145">INDEX(Inputs_2!$E$6:$E$8,$G145)</f>
        <v>8.5</v>
      </c>
      <c r="J145" s="88" cm="1">
        <f t="array" ref="J145">INDEX(Inputs_2!$F$6:$F$8,$G145)</f>
        <v>1.95</v>
      </c>
      <c r="K145" s="88">
        <f t="shared" si="6"/>
        <v>629</v>
      </c>
      <c r="L145" s="88">
        <f t="shared" si="7"/>
        <v>144.29999999999998</v>
      </c>
      <c r="M145" s="88">
        <f t="shared" si="8"/>
        <v>484.70000000000005</v>
      </c>
    </row>
    <row r="146" spans="2:13" x14ac:dyDescent="0.3">
      <c r="B146" s="76">
        <v>43207</v>
      </c>
      <c r="C146" s="33" t="s">
        <v>341</v>
      </c>
      <c r="D146" s="33" t="s">
        <v>126</v>
      </c>
      <c r="E146" s="33">
        <v>30</v>
      </c>
      <c r="F146" s="40">
        <v>26</v>
      </c>
      <c r="G146" s="87">
        <f>MATCH(D146, Inputs_2!$C$6:$C$8,0)</f>
        <v>3</v>
      </c>
      <c r="H146" s="87" t="str" cm="1">
        <f t="array" ref="H146">INDEX(Inputs_2!$D$6:$D$8,$G146)</f>
        <v>Veggie Pie</v>
      </c>
      <c r="I146" s="88" cm="1">
        <f t="array" ref="I146">INDEX(Inputs_2!$E$6:$E$8,$G146)</f>
        <v>7.5</v>
      </c>
      <c r="J146" s="88" cm="1">
        <f t="array" ref="J146">INDEX(Inputs_2!$F$6:$F$8,$G146)</f>
        <v>1</v>
      </c>
      <c r="K146" s="88">
        <f t="shared" si="6"/>
        <v>195</v>
      </c>
      <c r="L146" s="88">
        <f t="shared" si="7"/>
        <v>26</v>
      </c>
      <c r="M146" s="88">
        <f t="shared" si="8"/>
        <v>169</v>
      </c>
    </row>
    <row r="147" spans="2:13" x14ac:dyDescent="0.3">
      <c r="B147" s="76">
        <v>43209</v>
      </c>
      <c r="C147" s="33" t="s">
        <v>341</v>
      </c>
      <c r="D147" s="33" t="s">
        <v>123</v>
      </c>
      <c r="E147" s="33">
        <v>180</v>
      </c>
      <c r="F147" s="40">
        <v>178</v>
      </c>
      <c r="G147" s="87">
        <f>MATCH(D147, Inputs_2!$C$6:$C$8,0)</f>
        <v>1</v>
      </c>
      <c r="H147" s="87" t="str" cm="1">
        <f t="array" ref="H147">INDEX(Inputs_2!$D$6:$D$8,$G147)</f>
        <v>Meat Pie</v>
      </c>
      <c r="I147" s="88" cm="1">
        <f t="array" ref="I147">INDEX(Inputs_2!$E$6:$E$8,$G147)</f>
        <v>8</v>
      </c>
      <c r="J147" s="88" cm="1">
        <f t="array" ref="J147">INDEX(Inputs_2!$F$6:$F$8,$G147)</f>
        <v>1.2</v>
      </c>
      <c r="K147" s="88">
        <f t="shared" si="6"/>
        <v>1424</v>
      </c>
      <c r="L147" s="88">
        <f t="shared" si="7"/>
        <v>213.6</v>
      </c>
      <c r="M147" s="88">
        <f t="shared" si="8"/>
        <v>1210.4000000000001</v>
      </c>
    </row>
    <row r="148" spans="2:13" x14ac:dyDescent="0.3">
      <c r="B148" s="76">
        <v>43209</v>
      </c>
      <c r="C148" s="33" t="s">
        <v>341</v>
      </c>
      <c r="D148" s="33" t="s">
        <v>125</v>
      </c>
      <c r="E148" s="33">
        <v>75</v>
      </c>
      <c r="F148" s="40">
        <v>71</v>
      </c>
      <c r="G148" s="87">
        <f>MATCH(D148, Inputs_2!$C$6:$C$8,0)</f>
        <v>2</v>
      </c>
      <c r="H148" s="87" t="str" cm="1">
        <f t="array" ref="H148">INDEX(Inputs_2!$D$6:$D$8,$G148)</f>
        <v>Meat Pie</v>
      </c>
      <c r="I148" s="88" cm="1">
        <f t="array" ref="I148">INDEX(Inputs_2!$E$6:$E$8,$G148)</f>
        <v>8.5</v>
      </c>
      <c r="J148" s="88" cm="1">
        <f t="array" ref="J148">INDEX(Inputs_2!$F$6:$F$8,$G148)</f>
        <v>1.95</v>
      </c>
      <c r="K148" s="88">
        <f t="shared" si="6"/>
        <v>603.5</v>
      </c>
      <c r="L148" s="88">
        <f t="shared" si="7"/>
        <v>138.44999999999999</v>
      </c>
      <c r="M148" s="88">
        <f t="shared" si="8"/>
        <v>465.05</v>
      </c>
    </row>
    <row r="149" spans="2:13" x14ac:dyDescent="0.3">
      <c r="B149" s="76">
        <v>43209</v>
      </c>
      <c r="C149" s="33" t="s">
        <v>341</v>
      </c>
      <c r="D149" s="33" t="s">
        <v>126</v>
      </c>
      <c r="E149" s="33">
        <v>30</v>
      </c>
      <c r="F149" s="40">
        <v>24</v>
      </c>
      <c r="G149" s="87">
        <f>MATCH(D149, Inputs_2!$C$6:$C$8,0)</f>
        <v>3</v>
      </c>
      <c r="H149" s="87" t="str" cm="1">
        <f t="array" ref="H149">INDEX(Inputs_2!$D$6:$D$8,$G149)</f>
        <v>Veggie Pie</v>
      </c>
      <c r="I149" s="88" cm="1">
        <f t="array" ref="I149">INDEX(Inputs_2!$E$6:$E$8,$G149)</f>
        <v>7.5</v>
      </c>
      <c r="J149" s="88" cm="1">
        <f t="array" ref="J149">INDEX(Inputs_2!$F$6:$F$8,$G149)</f>
        <v>1</v>
      </c>
      <c r="K149" s="88">
        <f t="shared" si="6"/>
        <v>180</v>
      </c>
      <c r="L149" s="88">
        <f t="shared" si="7"/>
        <v>24</v>
      </c>
      <c r="M149" s="88">
        <f t="shared" si="8"/>
        <v>156</v>
      </c>
    </row>
    <row r="150" spans="2:13" x14ac:dyDescent="0.3">
      <c r="B150" s="76">
        <v>43211</v>
      </c>
      <c r="C150" s="33" t="s">
        <v>341</v>
      </c>
      <c r="D150" s="33" t="s">
        <v>123</v>
      </c>
      <c r="E150" s="33">
        <v>180</v>
      </c>
      <c r="F150" s="40">
        <v>180</v>
      </c>
      <c r="G150" s="87">
        <f>MATCH(D150, Inputs_2!$C$6:$C$8,0)</f>
        <v>1</v>
      </c>
      <c r="H150" s="87" t="str" cm="1">
        <f t="array" ref="H150">INDEX(Inputs_2!$D$6:$D$8,$G150)</f>
        <v>Meat Pie</v>
      </c>
      <c r="I150" s="88" cm="1">
        <f t="array" ref="I150">INDEX(Inputs_2!$E$6:$E$8,$G150)</f>
        <v>8</v>
      </c>
      <c r="J150" s="88" cm="1">
        <f t="array" ref="J150">INDEX(Inputs_2!$F$6:$F$8,$G150)</f>
        <v>1.2</v>
      </c>
      <c r="K150" s="88">
        <f t="shared" si="6"/>
        <v>1440</v>
      </c>
      <c r="L150" s="88">
        <f t="shared" si="7"/>
        <v>216</v>
      </c>
      <c r="M150" s="88">
        <f t="shared" si="8"/>
        <v>1224</v>
      </c>
    </row>
    <row r="151" spans="2:13" x14ac:dyDescent="0.3">
      <c r="B151" s="76">
        <v>43211</v>
      </c>
      <c r="C151" s="33" t="s">
        <v>341</v>
      </c>
      <c r="D151" s="33" t="s">
        <v>125</v>
      </c>
      <c r="E151" s="33">
        <v>75</v>
      </c>
      <c r="F151" s="40">
        <v>75</v>
      </c>
      <c r="G151" s="87">
        <f>MATCH(D151, Inputs_2!$C$6:$C$8,0)</f>
        <v>2</v>
      </c>
      <c r="H151" s="87" t="str" cm="1">
        <f t="array" ref="H151">INDEX(Inputs_2!$D$6:$D$8,$G151)</f>
        <v>Meat Pie</v>
      </c>
      <c r="I151" s="88" cm="1">
        <f t="array" ref="I151">INDEX(Inputs_2!$E$6:$E$8,$G151)</f>
        <v>8.5</v>
      </c>
      <c r="J151" s="88" cm="1">
        <f t="array" ref="J151">INDEX(Inputs_2!$F$6:$F$8,$G151)</f>
        <v>1.95</v>
      </c>
      <c r="K151" s="88">
        <f t="shared" si="6"/>
        <v>637.5</v>
      </c>
      <c r="L151" s="88">
        <f t="shared" si="7"/>
        <v>146.25</v>
      </c>
      <c r="M151" s="88">
        <f t="shared" si="8"/>
        <v>491.25</v>
      </c>
    </row>
    <row r="152" spans="2:13" x14ac:dyDescent="0.3">
      <c r="B152" s="76">
        <v>43211</v>
      </c>
      <c r="C152" s="33" t="s">
        <v>341</v>
      </c>
      <c r="D152" s="33" t="s">
        <v>126</v>
      </c>
      <c r="E152" s="33">
        <v>30</v>
      </c>
      <c r="F152" s="40">
        <v>30</v>
      </c>
      <c r="G152" s="87">
        <f>MATCH(D152, Inputs_2!$C$6:$C$8,0)</f>
        <v>3</v>
      </c>
      <c r="H152" s="87" t="str" cm="1">
        <f t="array" ref="H152">INDEX(Inputs_2!$D$6:$D$8,$G152)</f>
        <v>Veggie Pie</v>
      </c>
      <c r="I152" s="88" cm="1">
        <f t="array" ref="I152">INDEX(Inputs_2!$E$6:$E$8,$G152)</f>
        <v>7.5</v>
      </c>
      <c r="J152" s="88" cm="1">
        <f t="array" ref="J152">INDEX(Inputs_2!$F$6:$F$8,$G152)</f>
        <v>1</v>
      </c>
      <c r="K152" s="88">
        <f t="shared" si="6"/>
        <v>225</v>
      </c>
      <c r="L152" s="88">
        <f t="shared" si="7"/>
        <v>30</v>
      </c>
      <c r="M152" s="88">
        <f t="shared" si="8"/>
        <v>195</v>
      </c>
    </row>
    <row r="153" spans="2:13" x14ac:dyDescent="0.3">
      <c r="B153" s="76">
        <v>43214</v>
      </c>
      <c r="C153" s="33" t="s">
        <v>341</v>
      </c>
      <c r="D153" s="33" t="s">
        <v>123</v>
      </c>
      <c r="E153" s="33">
        <v>180</v>
      </c>
      <c r="F153" s="40">
        <v>168</v>
      </c>
      <c r="G153" s="87">
        <f>MATCH(D153, Inputs_2!$C$6:$C$8,0)</f>
        <v>1</v>
      </c>
      <c r="H153" s="87" t="str" cm="1">
        <f t="array" ref="H153">INDEX(Inputs_2!$D$6:$D$8,$G153)</f>
        <v>Meat Pie</v>
      </c>
      <c r="I153" s="88" cm="1">
        <f t="array" ref="I153">INDEX(Inputs_2!$E$6:$E$8,$G153)</f>
        <v>8</v>
      </c>
      <c r="J153" s="88" cm="1">
        <f t="array" ref="J153">INDEX(Inputs_2!$F$6:$F$8,$G153)</f>
        <v>1.2</v>
      </c>
      <c r="K153" s="88">
        <f t="shared" si="6"/>
        <v>1344</v>
      </c>
      <c r="L153" s="88">
        <f t="shared" si="7"/>
        <v>201.6</v>
      </c>
      <c r="M153" s="88">
        <f t="shared" si="8"/>
        <v>1142.4000000000001</v>
      </c>
    </row>
    <row r="154" spans="2:13" x14ac:dyDescent="0.3">
      <c r="B154" s="76">
        <v>43214</v>
      </c>
      <c r="C154" s="33" t="s">
        <v>341</v>
      </c>
      <c r="D154" s="33" t="s">
        <v>125</v>
      </c>
      <c r="E154" s="33">
        <v>75</v>
      </c>
      <c r="F154" s="40">
        <v>67</v>
      </c>
      <c r="G154" s="87">
        <f>MATCH(D154, Inputs_2!$C$6:$C$8,0)</f>
        <v>2</v>
      </c>
      <c r="H154" s="87" t="str" cm="1">
        <f t="array" ref="H154">INDEX(Inputs_2!$D$6:$D$8,$G154)</f>
        <v>Meat Pie</v>
      </c>
      <c r="I154" s="88" cm="1">
        <f t="array" ref="I154">INDEX(Inputs_2!$E$6:$E$8,$G154)</f>
        <v>8.5</v>
      </c>
      <c r="J154" s="88" cm="1">
        <f t="array" ref="J154">INDEX(Inputs_2!$F$6:$F$8,$G154)</f>
        <v>1.95</v>
      </c>
      <c r="K154" s="88">
        <f t="shared" si="6"/>
        <v>569.5</v>
      </c>
      <c r="L154" s="88">
        <f t="shared" si="7"/>
        <v>130.65</v>
      </c>
      <c r="M154" s="88">
        <f t="shared" si="8"/>
        <v>438.85</v>
      </c>
    </row>
    <row r="155" spans="2:13" x14ac:dyDescent="0.3">
      <c r="B155" s="76">
        <v>43214</v>
      </c>
      <c r="C155" s="33" t="s">
        <v>341</v>
      </c>
      <c r="D155" s="33" t="s">
        <v>126</v>
      </c>
      <c r="E155" s="33">
        <v>30</v>
      </c>
      <c r="F155" s="40">
        <v>20</v>
      </c>
      <c r="G155" s="87">
        <f>MATCH(D155, Inputs_2!$C$6:$C$8,0)</f>
        <v>3</v>
      </c>
      <c r="H155" s="87" t="str" cm="1">
        <f t="array" ref="H155">INDEX(Inputs_2!$D$6:$D$8,$G155)</f>
        <v>Veggie Pie</v>
      </c>
      <c r="I155" s="88" cm="1">
        <f t="array" ref="I155">INDEX(Inputs_2!$E$6:$E$8,$G155)</f>
        <v>7.5</v>
      </c>
      <c r="J155" s="88" cm="1">
        <f t="array" ref="J155">INDEX(Inputs_2!$F$6:$F$8,$G155)</f>
        <v>1</v>
      </c>
      <c r="K155" s="88">
        <f t="shared" si="6"/>
        <v>150</v>
      </c>
      <c r="L155" s="88">
        <f t="shared" si="7"/>
        <v>20</v>
      </c>
      <c r="M155" s="88">
        <f t="shared" si="8"/>
        <v>130</v>
      </c>
    </row>
    <row r="156" spans="2:13" x14ac:dyDescent="0.3">
      <c r="B156" s="76">
        <v>43216</v>
      </c>
      <c r="C156" s="33" t="s">
        <v>341</v>
      </c>
      <c r="D156" s="33" t="s">
        <v>123</v>
      </c>
      <c r="E156" s="33">
        <v>180</v>
      </c>
      <c r="F156" s="40">
        <v>180</v>
      </c>
      <c r="G156" s="87">
        <f>MATCH(D156, Inputs_2!$C$6:$C$8,0)</f>
        <v>1</v>
      </c>
      <c r="H156" s="87" t="str" cm="1">
        <f t="array" ref="H156">INDEX(Inputs_2!$D$6:$D$8,$G156)</f>
        <v>Meat Pie</v>
      </c>
      <c r="I156" s="88" cm="1">
        <f t="array" ref="I156">INDEX(Inputs_2!$E$6:$E$8,$G156)</f>
        <v>8</v>
      </c>
      <c r="J156" s="88" cm="1">
        <f t="array" ref="J156">INDEX(Inputs_2!$F$6:$F$8,$G156)</f>
        <v>1.2</v>
      </c>
      <c r="K156" s="88">
        <f t="shared" si="6"/>
        <v>1440</v>
      </c>
      <c r="L156" s="88">
        <f t="shared" si="7"/>
        <v>216</v>
      </c>
      <c r="M156" s="88">
        <f t="shared" si="8"/>
        <v>1224</v>
      </c>
    </row>
    <row r="157" spans="2:13" x14ac:dyDescent="0.3">
      <c r="B157" s="76">
        <v>43216</v>
      </c>
      <c r="C157" s="33" t="s">
        <v>341</v>
      </c>
      <c r="D157" s="33" t="s">
        <v>125</v>
      </c>
      <c r="E157" s="33">
        <v>75</v>
      </c>
      <c r="F157" s="40">
        <v>74</v>
      </c>
      <c r="G157" s="87">
        <f>MATCH(D157, Inputs_2!$C$6:$C$8,0)</f>
        <v>2</v>
      </c>
      <c r="H157" s="87" t="str" cm="1">
        <f t="array" ref="H157">INDEX(Inputs_2!$D$6:$D$8,$G157)</f>
        <v>Meat Pie</v>
      </c>
      <c r="I157" s="88" cm="1">
        <f t="array" ref="I157">INDEX(Inputs_2!$E$6:$E$8,$G157)</f>
        <v>8.5</v>
      </c>
      <c r="J157" s="88" cm="1">
        <f t="array" ref="J157">INDEX(Inputs_2!$F$6:$F$8,$G157)</f>
        <v>1.95</v>
      </c>
      <c r="K157" s="88">
        <f t="shared" si="6"/>
        <v>629</v>
      </c>
      <c r="L157" s="88">
        <f t="shared" si="7"/>
        <v>144.29999999999998</v>
      </c>
      <c r="M157" s="88">
        <f t="shared" si="8"/>
        <v>484.70000000000005</v>
      </c>
    </row>
    <row r="158" spans="2:13" x14ac:dyDescent="0.3">
      <c r="B158" s="76">
        <v>43216</v>
      </c>
      <c r="C158" s="33" t="s">
        <v>341</v>
      </c>
      <c r="D158" s="33" t="s">
        <v>126</v>
      </c>
      <c r="E158" s="33">
        <v>30</v>
      </c>
      <c r="F158" s="40">
        <v>28</v>
      </c>
      <c r="G158" s="87">
        <f>MATCH(D158, Inputs_2!$C$6:$C$8,0)</f>
        <v>3</v>
      </c>
      <c r="H158" s="87" t="str" cm="1">
        <f t="array" ref="H158">INDEX(Inputs_2!$D$6:$D$8,$G158)</f>
        <v>Veggie Pie</v>
      </c>
      <c r="I158" s="88" cm="1">
        <f t="array" ref="I158">INDEX(Inputs_2!$E$6:$E$8,$G158)</f>
        <v>7.5</v>
      </c>
      <c r="J158" s="88" cm="1">
        <f t="array" ref="J158">INDEX(Inputs_2!$F$6:$F$8,$G158)</f>
        <v>1</v>
      </c>
      <c r="K158" s="88">
        <f t="shared" si="6"/>
        <v>210</v>
      </c>
      <c r="L158" s="88">
        <f t="shared" si="7"/>
        <v>28</v>
      </c>
      <c r="M158" s="88">
        <f t="shared" si="8"/>
        <v>182</v>
      </c>
    </row>
    <row r="159" spans="2:13" x14ac:dyDescent="0.3">
      <c r="B159" s="76">
        <v>43218</v>
      </c>
      <c r="C159" s="33" t="s">
        <v>341</v>
      </c>
      <c r="D159" s="33" t="s">
        <v>123</v>
      </c>
      <c r="E159" s="33">
        <v>180</v>
      </c>
      <c r="F159" s="40">
        <v>180</v>
      </c>
      <c r="G159" s="87">
        <f>MATCH(D159, Inputs_2!$C$6:$C$8,0)</f>
        <v>1</v>
      </c>
      <c r="H159" s="87" t="str" cm="1">
        <f t="array" ref="H159">INDEX(Inputs_2!$D$6:$D$8,$G159)</f>
        <v>Meat Pie</v>
      </c>
      <c r="I159" s="88" cm="1">
        <f t="array" ref="I159">INDEX(Inputs_2!$E$6:$E$8,$G159)</f>
        <v>8</v>
      </c>
      <c r="J159" s="88" cm="1">
        <f t="array" ref="J159">INDEX(Inputs_2!$F$6:$F$8,$G159)</f>
        <v>1.2</v>
      </c>
      <c r="K159" s="88">
        <f t="shared" si="6"/>
        <v>1440</v>
      </c>
      <c r="L159" s="88">
        <f t="shared" si="7"/>
        <v>216</v>
      </c>
      <c r="M159" s="88">
        <f t="shared" si="8"/>
        <v>1224</v>
      </c>
    </row>
    <row r="160" spans="2:13" x14ac:dyDescent="0.3">
      <c r="B160" s="76">
        <v>43218</v>
      </c>
      <c r="C160" s="33" t="s">
        <v>341</v>
      </c>
      <c r="D160" s="33" t="s">
        <v>125</v>
      </c>
      <c r="E160" s="33">
        <v>75</v>
      </c>
      <c r="F160" s="40">
        <v>75</v>
      </c>
      <c r="G160" s="87">
        <f>MATCH(D160, Inputs_2!$C$6:$C$8,0)</f>
        <v>2</v>
      </c>
      <c r="H160" s="87" t="str" cm="1">
        <f t="array" ref="H160">INDEX(Inputs_2!$D$6:$D$8,$G160)</f>
        <v>Meat Pie</v>
      </c>
      <c r="I160" s="88" cm="1">
        <f t="array" ref="I160">INDEX(Inputs_2!$E$6:$E$8,$G160)</f>
        <v>8.5</v>
      </c>
      <c r="J160" s="88" cm="1">
        <f t="array" ref="J160">INDEX(Inputs_2!$F$6:$F$8,$G160)</f>
        <v>1.95</v>
      </c>
      <c r="K160" s="88">
        <f t="shared" si="6"/>
        <v>637.5</v>
      </c>
      <c r="L160" s="88">
        <f t="shared" si="7"/>
        <v>146.25</v>
      </c>
      <c r="M160" s="88">
        <f t="shared" si="8"/>
        <v>491.25</v>
      </c>
    </row>
    <row r="161" spans="2:13" x14ac:dyDescent="0.3">
      <c r="B161" s="76">
        <v>43218</v>
      </c>
      <c r="C161" s="33" t="s">
        <v>341</v>
      </c>
      <c r="D161" s="33" t="s">
        <v>126</v>
      </c>
      <c r="E161" s="33">
        <v>30</v>
      </c>
      <c r="F161" s="40">
        <v>30</v>
      </c>
      <c r="G161" s="87">
        <f>MATCH(D161, Inputs_2!$C$6:$C$8,0)</f>
        <v>3</v>
      </c>
      <c r="H161" s="87" t="str" cm="1">
        <f t="array" ref="H161">INDEX(Inputs_2!$D$6:$D$8,$G161)</f>
        <v>Veggie Pie</v>
      </c>
      <c r="I161" s="88" cm="1">
        <f t="array" ref="I161">INDEX(Inputs_2!$E$6:$E$8,$G161)</f>
        <v>7.5</v>
      </c>
      <c r="J161" s="88" cm="1">
        <f t="array" ref="J161">INDEX(Inputs_2!$F$6:$F$8,$G161)</f>
        <v>1</v>
      </c>
      <c r="K161" s="88">
        <f t="shared" si="6"/>
        <v>225</v>
      </c>
      <c r="L161" s="88">
        <f t="shared" si="7"/>
        <v>30</v>
      </c>
      <c r="M161" s="88">
        <f t="shared" si="8"/>
        <v>195</v>
      </c>
    </row>
    <row r="162" spans="2:13" x14ac:dyDescent="0.3">
      <c r="B162" s="76">
        <v>43221</v>
      </c>
      <c r="C162" s="33" t="s">
        <v>341</v>
      </c>
      <c r="D162" s="33" t="s">
        <v>123</v>
      </c>
      <c r="E162" s="33">
        <v>180</v>
      </c>
      <c r="F162" s="40">
        <v>178</v>
      </c>
      <c r="G162" s="87">
        <f>MATCH(D162, Inputs_2!$C$6:$C$8,0)</f>
        <v>1</v>
      </c>
      <c r="H162" s="87" t="str" cm="1">
        <f t="array" ref="H162">INDEX(Inputs_2!$D$6:$D$8,$G162)</f>
        <v>Meat Pie</v>
      </c>
      <c r="I162" s="88" cm="1">
        <f t="array" ref="I162">INDEX(Inputs_2!$E$6:$E$8,$G162)</f>
        <v>8</v>
      </c>
      <c r="J162" s="88" cm="1">
        <f t="array" ref="J162">INDEX(Inputs_2!$F$6:$F$8,$G162)</f>
        <v>1.2</v>
      </c>
      <c r="K162" s="88">
        <f t="shared" si="6"/>
        <v>1424</v>
      </c>
      <c r="L162" s="88">
        <f t="shared" si="7"/>
        <v>213.6</v>
      </c>
      <c r="M162" s="88">
        <f t="shared" si="8"/>
        <v>1210.4000000000001</v>
      </c>
    </row>
    <row r="163" spans="2:13" x14ac:dyDescent="0.3">
      <c r="B163" s="76">
        <v>43221</v>
      </c>
      <c r="C163" s="33" t="s">
        <v>341</v>
      </c>
      <c r="D163" s="33" t="s">
        <v>125</v>
      </c>
      <c r="E163" s="33">
        <v>75</v>
      </c>
      <c r="F163" s="40">
        <v>71</v>
      </c>
      <c r="G163" s="87">
        <f>MATCH(D163, Inputs_2!$C$6:$C$8,0)</f>
        <v>2</v>
      </c>
      <c r="H163" s="87" t="str" cm="1">
        <f t="array" ref="H163">INDEX(Inputs_2!$D$6:$D$8,$G163)</f>
        <v>Meat Pie</v>
      </c>
      <c r="I163" s="88" cm="1">
        <f t="array" ref="I163">INDEX(Inputs_2!$E$6:$E$8,$G163)</f>
        <v>8.5</v>
      </c>
      <c r="J163" s="88" cm="1">
        <f t="array" ref="J163">INDEX(Inputs_2!$F$6:$F$8,$G163)</f>
        <v>1.95</v>
      </c>
      <c r="K163" s="88">
        <f t="shared" si="6"/>
        <v>603.5</v>
      </c>
      <c r="L163" s="88">
        <f t="shared" si="7"/>
        <v>138.44999999999999</v>
      </c>
      <c r="M163" s="88">
        <f t="shared" si="8"/>
        <v>465.05</v>
      </c>
    </row>
    <row r="164" spans="2:13" x14ac:dyDescent="0.3">
      <c r="B164" s="76">
        <v>43221</v>
      </c>
      <c r="C164" s="33" t="s">
        <v>341</v>
      </c>
      <c r="D164" s="33" t="s">
        <v>126</v>
      </c>
      <c r="E164" s="33">
        <v>30</v>
      </c>
      <c r="F164" s="40">
        <v>28</v>
      </c>
      <c r="G164" s="87">
        <f>MATCH(D164, Inputs_2!$C$6:$C$8,0)</f>
        <v>3</v>
      </c>
      <c r="H164" s="87" t="str" cm="1">
        <f t="array" ref="H164">INDEX(Inputs_2!$D$6:$D$8,$G164)</f>
        <v>Veggie Pie</v>
      </c>
      <c r="I164" s="88" cm="1">
        <f t="array" ref="I164">INDEX(Inputs_2!$E$6:$E$8,$G164)</f>
        <v>7.5</v>
      </c>
      <c r="J164" s="88" cm="1">
        <f t="array" ref="J164">INDEX(Inputs_2!$F$6:$F$8,$G164)</f>
        <v>1</v>
      </c>
      <c r="K164" s="88">
        <f t="shared" si="6"/>
        <v>210</v>
      </c>
      <c r="L164" s="88">
        <f t="shared" si="7"/>
        <v>28</v>
      </c>
      <c r="M164" s="88">
        <f t="shared" si="8"/>
        <v>182</v>
      </c>
    </row>
    <row r="165" spans="2:13" x14ac:dyDescent="0.3">
      <c r="B165" s="76">
        <v>43223</v>
      </c>
      <c r="C165" s="33" t="s">
        <v>341</v>
      </c>
      <c r="D165" s="33" t="s">
        <v>123</v>
      </c>
      <c r="E165" s="33">
        <v>180</v>
      </c>
      <c r="F165" s="40">
        <v>180</v>
      </c>
      <c r="G165" s="87">
        <f>MATCH(D165, Inputs_2!$C$6:$C$8,0)</f>
        <v>1</v>
      </c>
      <c r="H165" s="87" t="str" cm="1">
        <f t="array" ref="H165">INDEX(Inputs_2!$D$6:$D$8,$G165)</f>
        <v>Meat Pie</v>
      </c>
      <c r="I165" s="88" cm="1">
        <f t="array" ref="I165">INDEX(Inputs_2!$E$6:$E$8,$G165)</f>
        <v>8</v>
      </c>
      <c r="J165" s="88" cm="1">
        <f t="array" ref="J165">INDEX(Inputs_2!$F$6:$F$8,$G165)</f>
        <v>1.2</v>
      </c>
      <c r="K165" s="88">
        <f t="shared" si="6"/>
        <v>1440</v>
      </c>
      <c r="L165" s="88">
        <f t="shared" si="7"/>
        <v>216</v>
      </c>
      <c r="M165" s="88">
        <f t="shared" si="8"/>
        <v>1224</v>
      </c>
    </row>
    <row r="166" spans="2:13" x14ac:dyDescent="0.3">
      <c r="B166" s="76">
        <v>43223</v>
      </c>
      <c r="C166" s="33" t="s">
        <v>341</v>
      </c>
      <c r="D166" s="33" t="s">
        <v>125</v>
      </c>
      <c r="E166" s="33">
        <v>75</v>
      </c>
      <c r="F166" s="40">
        <v>70</v>
      </c>
      <c r="G166" s="87">
        <f>MATCH(D166, Inputs_2!$C$6:$C$8,0)</f>
        <v>2</v>
      </c>
      <c r="H166" s="87" t="str" cm="1">
        <f t="array" ref="H166">INDEX(Inputs_2!$D$6:$D$8,$G166)</f>
        <v>Meat Pie</v>
      </c>
      <c r="I166" s="88" cm="1">
        <f t="array" ref="I166">INDEX(Inputs_2!$E$6:$E$8,$G166)</f>
        <v>8.5</v>
      </c>
      <c r="J166" s="88" cm="1">
        <f t="array" ref="J166">INDEX(Inputs_2!$F$6:$F$8,$G166)</f>
        <v>1.95</v>
      </c>
      <c r="K166" s="88">
        <f t="shared" si="6"/>
        <v>595</v>
      </c>
      <c r="L166" s="88">
        <f t="shared" si="7"/>
        <v>136.5</v>
      </c>
      <c r="M166" s="88">
        <f t="shared" si="8"/>
        <v>458.5</v>
      </c>
    </row>
    <row r="167" spans="2:13" x14ac:dyDescent="0.3">
      <c r="B167" s="76">
        <v>43223</v>
      </c>
      <c r="C167" s="33" t="s">
        <v>341</v>
      </c>
      <c r="D167" s="33" t="s">
        <v>126</v>
      </c>
      <c r="E167" s="33">
        <v>30</v>
      </c>
      <c r="F167" s="40">
        <v>23</v>
      </c>
      <c r="G167" s="87">
        <f>MATCH(D167, Inputs_2!$C$6:$C$8,0)</f>
        <v>3</v>
      </c>
      <c r="H167" s="87" t="str" cm="1">
        <f t="array" ref="H167">INDEX(Inputs_2!$D$6:$D$8,$G167)</f>
        <v>Veggie Pie</v>
      </c>
      <c r="I167" s="88" cm="1">
        <f t="array" ref="I167">INDEX(Inputs_2!$E$6:$E$8,$G167)</f>
        <v>7.5</v>
      </c>
      <c r="J167" s="88" cm="1">
        <f t="array" ref="J167">INDEX(Inputs_2!$F$6:$F$8,$G167)</f>
        <v>1</v>
      </c>
      <c r="K167" s="88">
        <f t="shared" si="6"/>
        <v>172.5</v>
      </c>
      <c r="L167" s="88">
        <f t="shared" si="7"/>
        <v>23</v>
      </c>
      <c r="M167" s="88">
        <f t="shared" si="8"/>
        <v>149.5</v>
      </c>
    </row>
    <row r="168" spans="2:13" x14ac:dyDescent="0.3">
      <c r="B168" s="76">
        <v>43225</v>
      </c>
      <c r="C168" s="33" t="s">
        <v>341</v>
      </c>
      <c r="D168" s="33" t="s">
        <v>123</v>
      </c>
      <c r="E168" s="33">
        <v>180</v>
      </c>
      <c r="F168" s="40">
        <v>180</v>
      </c>
      <c r="G168" s="87">
        <f>MATCH(D168, Inputs_2!$C$6:$C$8,0)</f>
        <v>1</v>
      </c>
      <c r="H168" s="87" t="str" cm="1">
        <f t="array" ref="H168">INDEX(Inputs_2!$D$6:$D$8,$G168)</f>
        <v>Meat Pie</v>
      </c>
      <c r="I168" s="88" cm="1">
        <f t="array" ref="I168">INDEX(Inputs_2!$E$6:$E$8,$G168)</f>
        <v>8</v>
      </c>
      <c r="J168" s="88" cm="1">
        <f t="array" ref="J168">INDEX(Inputs_2!$F$6:$F$8,$G168)</f>
        <v>1.2</v>
      </c>
      <c r="K168" s="88">
        <f t="shared" si="6"/>
        <v>1440</v>
      </c>
      <c r="L168" s="88">
        <f t="shared" si="7"/>
        <v>216</v>
      </c>
      <c r="M168" s="88">
        <f t="shared" si="8"/>
        <v>1224</v>
      </c>
    </row>
    <row r="169" spans="2:13" x14ac:dyDescent="0.3">
      <c r="B169" s="76">
        <v>43225</v>
      </c>
      <c r="C169" s="33" t="s">
        <v>341</v>
      </c>
      <c r="D169" s="33" t="s">
        <v>125</v>
      </c>
      <c r="E169" s="33">
        <v>75</v>
      </c>
      <c r="F169" s="40">
        <v>75</v>
      </c>
      <c r="G169" s="87">
        <f>MATCH(D169, Inputs_2!$C$6:$C$8,0)</f>
        <v>2</v>
      </c>
      <c r="H169" s="87" t="str" cm="1">
        <f t="array" ref="H169">INDEX(Inputs_2!$D$6:$D$8,$G169)</f>
        <v>Meat Pie</v>
      </c>
      <c r="I169" s="88" cm="1">
        <f t="array" ref="I169">INDEX(Inputs_2!$E$6:$E$8,$G169)</f>
        <v>8.5</v>
      </c>
      <c r="J169" s="88" cm="1">
        <f t="array" ref="J169">INDEX(Inputs_2!$F$6:$F$8,$G169)</f>
        <v>1.95</v>
      </c>
      <c r="K169" s="88">
        <f t="shared" si="6"/>
        <v>637.5</v>
      </c>
      <c r="L169" s="88">
        <f t="shared" si="7"/>
        <v>146.25</v>
      </c>
      <c r="M169" s="88">
        <f t="shared" si="8"/>
        <v>491.25</v>
      </c>
    </row>
    <row r="170" spans="2:13" x14ac:dyDescent="0.3">
      <c r="B170" s="76">
        <v>43225</v>
      </c>
      <c r="C170" s="33" t="s">
        <v>341</v>
      </c>
      <c r="D170" s="33" t="s">
        <v>126</v>
      </c>
      <c r="E170" s="33">
        <v>30</v>
      </c>
      <c r="F170" s="40">
        <v>30</v>
      </c>
      <c r="G170" s="87">
        <f>MATCH(D170, Inputs_2!$C$6:$C$8,0)</f>
        <v>3</v>
      </c>
      <c r="H170" s="87" t="str" cm="1">
        <f t="array" ref="H170">INDEX(Inputs_2!$D$6:$D$8,$G170)</f>
        <v>Veggie Pie</v>
      </c>
      <c r="I170" s="88" cm="1">
        <f t="array" ref="I170">INDEX(Inputs_2!$E$6:$E$8,$G170)</f>
        <v>7.5</v>
      </c>
      <c r="J170" s="88" cm="1">
        <f t="array" ref="J170">INDEX(Inputs_2!$F$6:$F$8,$G170)</f>
        <v>1</v>
      </c>
      <c r="K170" s="88">
        <f t="shared" si="6"/>
        <v>225</v>
      </c>
      <c r="L170" s="88">
        <f t="shared" si="7"/>
        <v>30</v>
      </c>
      <c r="M170" s="88">
        <f t="shared" si="8"/>
        <v>195</v>
      </c>
    </row>
    <row r="171" spans="2:13" x14ac:dyDescent="0.3">
      <c r="B171" s="76">
        <v>43228</v>
      </c>
      <c r="C171" s="33" t="s">
        <v>341</v>
      </c>
      <c r="D171" s="33" t="s">
        <v>123</v>
      </c>
      <c r="E171" s="33">
        <v>180</v>
      </c>
      <c r="F171" s="40">
        <v>177</v>
      </c>
      <c r="G171" s="87">
        <f>MATCH(D171, Inputs_2!$C$6:$C$8,0)</f>
        <v>1</v>
      </c>
      <c r="H171" s="87" t="str" cm="1">
        <f t="array" ref="H171">INDEX(Inputs_2!$D$6:$D$8,$G171)</f>
        <v>Meat Pie</v>
      </c>
      <c r="I171" s="88" cm="1">
        <f t="array" ref="I171">INDEX(Inputs_2!$E$6:$E$8,$G171)</f>
        <v>8</v>
      </c>
      <c r="J171" s="88" cm="1">
        <f t="array" ref="J171">INDEX(Inputs_2!$F$6:$F$8,$G171)</f>
        <v>1.2</v>
      </c>
      <c r="K171" s="88">
        <f t="shared" si="6"/>
        <v>1416</v>
      </c>
      <c r="L171" s="88">
        <f t="shared" si="7"/>
        <v>212.4</v>
      </c>
      <c r="M171" s="88">
        <f t="shared" si="8"/>
        <v>1203.5999999999999</v>
      </c>
    </row>
    <row r="172" spans="2:13" x14ac:dyDescent="0.3">
      <c r="B172" s="76">
        <v>43228</v>
      </c>
      <c r="C172" s="33" t="s">
        <v>341</v>
      </c>
      <c r="D172" s="33" t="s">
        <v>125</v>
      </c>
      <c r="E172" s="33">
        <v>75</v>
      </c>
      <c r="F172" s="40">
        <v>70</v>
      </c>
      <c r="G172" s="87">
        <f>MATCH(D172, Inputs_2!$C$6:$C$8,0)</f>
        <v>2</v>
      </c>
      <c r="H172" s="87" t="str" cm="1">
        <f t="array" ref="H172">INDEX(Inputs_2!$D$6:$D$8,$G172)</f>
        <v>Meat Pie</v>
      </c>
      <c r="I172" s="88" cm="1">
        <f t="array" ref="I172">INDEX(Inputs_2!$E$6:$E$8,$G172)</f>
        <v>8.5</v>
      </c>
      <c r="J172" s="88" cm="1">
        <f t="array" ref="J172">INDEX(Inputs_2!$F$6:$F$8,$G172)</f>
        <v>1.95</v>
      </c>
      <c r="K172" s="88">
        <f t="shared" si="6"/>
        <v>595</v>
      </c>
      <c r="L172" s="88">
        <f t="shared" si="7"/>
        <v>136.5</v>
      </c>
      <c r="M172" s="88">
        <f t="shared" si="8"/>
        <v>458.5</v>
      </c>
    </row>
    <row r="173" spans="2:13" x14ac:dyDescent="0.3">
      <c r="B173" s="76">
        <v>43228</v>
      </c>
      <c r="C173" s="33" t="s">
        <v>341</v>
      </c>
      <c r="D173" s="33" t="s">
        <v>126</v>
      </c>
      <c r="E173" s="33">
        <v>30</v>
      </c>
      <c r="F173" s="40">
        <v>23</v>
      </c>
      <c r="G173" s="87">
        <f>MATCH(D173, Inputs_2!$C$6:$C$8,0)</f>
        <v>3</v>
      </c>
      <c r="H173" s="87" t="str" cm="1">
        <f t="array" ref="H173">INDEX(Inputs_2!$D$6:$D$8,$G173)</f>
        <v>Veggie Pie</v>
      </c>
      <c r="I173" s="88" cm="1">
        <f t="array" ref="I173">INDEX(Inputs_2!$E$6:$E$8,$G173)</f>
        <v>7.5</v>
      </c>
      <c r="J173" s="88" cm="1">
        <f t="array" ref="J173">INDEX(Inputs_2!$F$6:$F$8,$G173)</f>
        <v>1</v>
      </c>
      <c r="K173" s="88">
        <f t="shared" si="6"/>
        <v>172.5</v>
      </c>
      <c r="L173" s="88">
        <f t="shared" si="7"/>
        <v>23</v>
      </c>
      <c r="M173" s="88">
        <f t="shared" si="8"/>
        <v>149.5</v>
      </c>
    </row>
    <row r="174" spans="2:13" x14ac:dyDescent="0.3">
      <c r="B174" s="76">
        <v>43230</v>
      </c>
      <c r="C174" s="33" t="s">
        <v>341</v>
      </c>
      <c r="D174" s="33" t="s">
        <v>123</v>
      </c>
      <c r="E174" s="33">
        <v>180</v>
      </c>
      <c r="F174" s="40">
        <v>180</v>
      </c>
      <c r="G174" s="87">
        <f>MATCH(D174, Inputs_2!$C$6:$C$8,0)</f>
        <v>1</v>
      </c>
      <c r="H174" s="87" t="str" cm="1">
        <f t="array" ref="H174">INDEX(Inputs_2!$D$6:$D$8,$G174)</f>
        <v>Meat Pie</v>
      </c>
      <c r="I174" s="88" cm="1">
        <f t="array" ref="I174">INDEX(Inputs_2!$E$6:$E$8,$G174)</f>
        <v>8</v>
      </c>
      <c r="J174" s="88" cm="1">
        <f t="array" ref="J174">INDEX(Inputs_2!$F$6:$F$8,$G174)</f>
        <v>1.2</v>
      </c>
      <c r="K174" s="88">
        <f t="shared" si="6"/>
        <v>1440</v>
      </c>
      <c r="L174" s="88">
        <f t="shared" si="7"/>
        <v>216</v>
      </c>
      <c r="M174" s="88">
        <f t="shared" si="8"/>
        <v>1224</v>
      </c>
    </row>
    <row r="175" spans="2:13" x14ac:dyDescent="0.3">
      <c r="B175" s="76">
        <v>43230</v>
      </c>
      <c r="C175" s="33" t="s">
        <v>341</v>
      </c>
      <c r="D175" s="33" t="s">
        <v>125</v>
      </c>
      <c r="E175" s="33">
        <v>75</v>
      </c>
      <c r="F175" s="40">
        <v>74</v>
      </c>
      <c r="G175" s="87">
        <f>MATCH(D175, Inputs_2!$C$6:$C$8,0)</f>
        <v>2</v>
      </c>
      <c r="H175" s="87" t="str" cm="1">
        <f t="array" ref="H175">INDEX(Inputs_2!$D$6:$D$8,$G175)</f>
        <v>Meat Pie</v>
      </c>
      <c r="I175" s="88" cm="1">
        <f t="array" ref="I175">INDEX(Inputs_2!$E$6:$E$8,$G175)</f>
        <v>8.5</v>
      </c>
      <c r="J175" s="88" cm="1">
        <f t="array" ref="J175">INDEX(Inputs_2!$F$6:$F$8,$G175)</f>
        <v>1.95</v>
      </c>
      <c r="K175" s="88">
        <f t="shared" si="6"/>
        <v>629</v>
      </c>
      <c r="L175" s="88">
        <f t="shared" si="7"/>
        <v>144.29999999999998</v>
      </c>
      <c r="M175" s="88">
        <f t="shared" si="8"/>
        <v>484.70000000000005</v>
      </c>
    </row>
    <row r="176" spans="2:13" x14ac:dyDescent="0.3">
      <c r="B176" s="76">
        <v>43230</v>
      </c>
      <c r="C176" s="33" t="s">
        <v>341</v>
      </c>
      <c r="D176" s="33" t="s">
        <v>126</v>
      </c>
      <c r="E176" s="33">
        <v>30</v>
      </c>
      <c r="F176" s="40">
        <v>27</v>
      </c>
      <c r="G176" s="87">
        <f>MATCH(D176, Inputs_2!$C$6:$C$8,0)</f>
        <v>3</v>
      </c>
      <c r="H176" s="87" t="str" cm="1">
        <f t="array" ref="H176">INDEX(Inputs_2!$D$6:$D$8,$G176)</f>
        <v>Veggie Pie</v>
      </c>
      <c r="I176" s="88" cm="1">
        <f t="array" ref="I176">INDEX(Inputs_2!$E$6:$E$8,$G176)</f>
        <v>7.5</v>
      </c>
      <c r="J176" s="88" cm="1">
        <f t="array" ref="J176">INDEX(Inputs_2!$F$6:$F$8,$G176)</f>
        <v>1</v>
      </c>
      <c r="K176" s="88">
        <f t="shared" si="6"/>
        <v>202.5</v>
      </c>
      <c r="L176" s="88">
        <f t="shared" si="7"/>
        <v>27</v>
      </c>
      <c r="M176" s="88">
        <f t="shared" si="8"/>
        <v>175.5</v>
      </c>
    </row>
    <row r="177" spans="2:13" x14ac:dyDescent="0.3">
      <c r="B177" s="76">
        <v>43232</v>
      </c>
      <c r="C177" s="33" t="s">
        <v>341</v>
      </c>
      <c r="D177" s="33" t="s">
        <v>123</v>
      </c>
      <c r="E177" s="33">
        <v>180</v>
      </c>
      <c r="F177" s="40">
        <v>180</v>
      </c>
      <c r="G177" s="87">
        <f>MATCH(D177, Inputs_2!$C$6:$C$8,0)</f>
        <v>1</v>
      </c>
      <c r="H177" s="87" t="str" cm="1">
        <f t="array" ref="H177">INDEX(Inputs_2!$D$6:$D$8,$G177)</f>
        <v>Meat Pie</v>
      </c>
      <c r="I177" s="88" cm="1">
        <f t="array" ref="I177">INDEX(Inputs_2!$E$6:$E$8,$G177)</f>
        <v>8</v>
      </c>
      <c r="J177" s="88" cm="1">
        <f t="array" ref="J177">INDEX(Inputs_2!$F$6:$F$8,$G177)</f>
        <v>1.2</v>
      </c>
      <c r="K177" s="88">
        <f t="shared" si="6"/>
        <v>1440</v>
      </c>
      <c r="L177" s="88">
        <f t="shared" si="7"/>
        <v>216</v>
      </c>
      <c r="M177" s="88">
        <f t="shared" si="8"/>
        <v>1224</v>
      </c>
    </row>
    <row r="178" spans="2:13" x14ac:dyDescent="0.3">
      <c r="B178" s="76">
        <v>43232</v>
      </c>
      <c r="C178" s="33" t="s">
        <v>341</v>
      </c>
      <c r="D178" s="33" t="s">
        <v>125</v>
      </c>
      <c r="E178" s="33">
        <v>75</v>
      </c>
      <c r="F178" s="40">
        <v>75</v>
      </c>
      <c r="G178" s="87">
        <f>MATCH(D178, Inputs_2!$C$6:$C$8,0)</f>
        <v>2</v>
      </c>
      <c r="H178" s="87" t="str" cm="1">
        <f t="array" ref="H178">INDEX(Inputs_2!$D$6:$D$8,$G178)</f>
        <v>Meat Pie</v>
      </c>
      <c r="I178" s="88" cm="1">
        <f t="array" ref="I178">INDEX(Inputs_2!$E$6:$E$8,$G178)</f>
        <v>8.5</v>
      </c>
      <c r="J178" s="88" cm="1">
        <f t="array" ref="J178">INDEX(Inputs_2!$F$6:$F$8,$G178)</f>
        <v>1.95</v>
      </c>
      <c r="K178" s="88">
        <f t="shared" si="6"/>
        <v>637.5</v>
      </c>
      <c r="L178" s="88">
        <f t="shared" si="7"/>
        <v>146.25</v>
      </c>
      <c r="M178" s="88">
        <f t="shared" si="8"/>
        <v>491.25</v>
      </c>
    </row>
    <row r="179" spans="2:13" x14ac:dyDescent="0.3">
      <c r="B179" s="76">
        <v>43232</v>
      </c>
      <c r="C179" s="33" t="s">
        <v>341</v>
      </c>
      <c r="D179" s="33" t="s">
        <v>126</v>
      </c>
      <c r="E179" s="33">
        <v>30</v>
      </c>
      <c r="F179" s="40">
        <v>30</v>
      </c>
      <c r="G179" s="87">
        <f>MATCH(D179, Inputs_2!$C$6:$C$8,0)</f>
        <v>3</v>
      </c>
      <c r="H179" s="87" t="str" cm="1">
        <f t="array" ref="H179">INDEX(Inputs_2!$D$6:$D$8,$G179)</f>
        <v>Veggie Pie</v>
      </c>
      <c r="I179" s="88" cm="1">
        <f t="array" ref="I179">INDEX(Inputs_2!$E$6:$E$8,$G179)</f>
        <v>7.5</v>
      </c>
      <c r="J179" s="88" cm="1">
        <f t="array" ref="J179">INDEX(Inputs_2!$F$6:$F$8,$G179)</f>
        <v>1</v>
      </c>
      <c r="K179" s="88">
        <f t="shared" si="6"/>
        <v>225</v>
      </c>
      <c r="L179" s="88">
        <f t="shared" si="7"/>
        <v>30</v>
      </c>
      <c r="M179" s="88">
        <f t="shared" si="8"/>
        <v>195</v>
      </c>
    </row>
    <row r="180" spans="2:13" x14ac:dyDescent="0.3">
      <c r="B180" s="76">
        <v>43235</v>
      </c>
      <c r="C180" s="33" t="s">
        <v>341</v>
      </c>
      <c r="D180" s="33" t="s">
        <v>123</v>
      </c>
      <c r="E180" s="33">
        <v>180</v>
      </c>
      <c r="F180" s="40">
        <v>180</v>
      </c>
      <c r="G180" s="87">
        <f>MATCH(D180, Inputs_2!$C$6:$C$8,0)</f>
        <v>1</v>
      </c>
      <c r="H180" s="87" t="str" cm="1">
        <f t="array" ref="H180">INDEX(Inputs_2!$D$6:$D$8,$G180)</f>
        <v>Meat Pie</v>
      </c>
      <c r="I180" s="88" cm="1">
        <f t="array" ref="I180">INDEX(Inputs_2!$E$6:$E$8,$G180)</f>
        <v>8</v>
      </c>
      <c r="J180" s="88" cm="1">
        <f t="array" ref="J180">INDEX(Inputs_2!$F$6:$F$8,$G180)</f>
        <v>1.2</v>
      </c>
      <c r="K180" s="88">
        <f t="shared" si="6"/>
        <v>1440</v>
      </c>
      <c r="L180" s="88">
        <f t="shared" si="7"/>
        <v>216</v>
      </c>
      <c r="M180" s="88">
        <f t="shared" si="8"/>
        <v>1224</v>
      </c>
    </row>
    <row r="181" spans="2:13" x14ac:dyDescent="0.3">
      <c r="B181" s="76">
        <v>43235</v>
      </c>
      <c r="C181" s="33" t="s">
        <v>341</v>
      </c>
      <c r="D181" s="33" t="s">
        <v>125</v>
      </c>
      <c r="E181" s="33">
        <v>75</v>
      </c>
      <c r="F181" s="40">
        <v>71</v>
      </c>
      <c r="G181" s="87">
        <f>MATCH(D181, Inputs_2!$C$6:$C$8,0)</f>
        <v>2</v>
      </c>
      <c r="H181" s="87" t="str" cm="1">
        <f t="array" ref="H181">INDEX(Inputs_2!$D$6:$D$8,$G181)</f>
        <v>Meat Pie</v>
      </c>
      <c r="I181" s="88" cm="1">
        <f t="array" ref="I181">INDEX(Inputs_2!$E$6:$E$8,$G181)</f>
        <v>8.5</v>
      </c>
      <c r="J181" s="88" cm="1">
        <f t="array" ref="J181">INDEX(Inputs_2!$F$6:$F$8,$G181)</f>
        <v>1.95</v>
      </c>
      <c r="K181" s="88">
        <f t="shared" si="6"/>
        <v>603.5</v>
      </c>
      <c r="L181" s="88">
        <f t="shared" si="7"/>
        <v>138.44999999999999</v>
      </c>
      <c r="M181" s="88">
        <f t="shared" si="8"/>
        <v>465.05</v>
      </c>
    </row>
    <row r="182" spans="2:13" x14ac:dyDescent="0.3">
      <c r="B182" s="76">
        <v>43235</v>
      </c>
      <c r="C182" s="33" t="s">
        <v>341</v>
      </c>
      <c r="D182" s="33" t="s">
        <v>126</v>
      </c>
      <c r="E182" s="33">
        <v>30</v>
      </c>
      <c r="F182" s="40">
        <v>25</v>
      </c>
      <c r="G182" s="87">
        <f>MATCH(D182, Inputs_2!$C$6:$C$8,0)</f>
        <v>3</v>
      </c>
      <c r="H182" s="87" t="str" cm="1">
        <f t="array" ref="H182">INDEX(Inputs_2!$D$6:$D$8,$G182)</f>
        <v>Veggie Pie</v>
      </c>
      <c r="I182" s="88" cm="1">
        <f t="array" ref="I182">INDEX(Inputs_2!$E$6:$E$8,$G182)</f>
        <v>7.5</v>
      </c>
      <c r="J182" s="88" cm="1">
        <f t="array" ref="J182">INDEX(Inputs_2!$F$6:$F$8,$G182)</f>
        <v>1</v>
      </c>
      <c r="K182" s="88">
        <f t="shared" si="6"/>
        <v>187.5</v>
      </c>
      <c r="L182" s="88">
        <f t="shared" si="7"/>
        <v>25</v>
      </c>
      <c r="M182" s="88">
        <f t="shared" si="8"/>
        <v>162.5</v>
      </c>
    </row>
    <row r="183" spans="2:13" x14ac:dyDescent="0.3">
      <c r="B183" s="76">
        <v>43237</v>
      </c>
      <c r="C183" s="33" t="s">
        <v>341</v>
      </c>
      <c r="D183" s="33" t="s">
        <v>123</v>
      </c>
      <c r="E183" s="33">
        <v>180</v>
      </c>
      <c r="F183" s="40">
        <v>174</v>
      </c>
      <c r="G183" s="87">
        <f>MATCH(D183, Inputs_2!$C$6:$C$8,0)</f>
        <v>1</v>
      </c>
      <c r="H183" s="87" t="str" cm="1">
        <f t="array" ref="H183">INDEX(Inputs_2!$D$6:$D$8,$G183)</f>
        <v>Meat Pie</v>
      </c>
      <c r="I183" s="88" cm="1">
        <f t="array" ref="I183">INDEX(Inputs_2!$E$6:$E$8,$G183)</f>
        <v>8</v>
      </c>
      <c r="J183" s="88" cm="1">
        <f t="array" ref="J183">INDEX(Inputs_2!$F$6:$F$8,$G183)</f>
        <v>1.2</v>
      </c>
      <c r="K183" s="88">
        <f t="shared" si="6"/>
        <v>1392</v>
      </c>
      <c r="L183" s="88">
        <f t="shared" si="7"/>
        <v>208.79999999999998</v>
      </c>
      <c r="M183" s="88">
        <f t="shared" si="8"/>
        <v>1183.2</v>
      </c>
    </row>
    <row r="184" spans="2:13" x14ac:dyDescent="0.3">
      <c r="B184" s="76">
        <v>43237</v>
      </c>
      <c r="C184" s="33" t="s">
        <v>341</v>
      </c>
      <c r="D184" s="33" t="s">
        <v>125</v>
      </c>
      <c r="E184" s="33">
        <v>75</v>
      </c>
      <c r="F184" s="40">
        <v>70</v>
      </c>
      <c r="G184" s="87">
        <f>MATCH(D184, Inputs_2!$C$6:$C$8,0)</f>
        <v>2</v>
      </c>
      <c r="H184" s="87" t="str" cm="1">
        <f t="array" ref="H184">INDEX(Inputs_2!$D$6:$D$8,$G184)</f>
        <v>Meat Pie</v>
      </c>
      <c r="I184" s="88" cm="1">
        <f t="array" ref="I184">INDEX(Inputs_2!$E$6:$E$8,$G184)</f>
        <v>8.5</v>
      </c>
      <c r="J184" s="88" cm="1">
        <f t="array" ref="J184">INDEX(Inputs_2!$F$6:$F$8,$G184)</f>
        <v>1.95</v>
      </c>
      <c r="K184" s="88">
        <f t="shared" si="6"/>
        <v>595</v>
      </c>
      <c r="L184" s="88">
        <f t="shared" si="7"/>
        <v>136.5</v>
      </c>
      <c r="M184" s="88">
        <f t="shared" si="8"/>
        <v>458.5</v>
      </c>
    </row>
    <row r="185" spans="2:13" x14ac:dyDescent="0.3">
      <c r="B185" s="76">
        <v>43237</v>
      </c>
      <c r="C185" s="33" t="s">
        <v>341</v>
      </c>
      <c r="D185" s="33" t="s">
        <v>126</v>
      </c>
      <c r="E185" s="33">
        <v>30</v>
      </c>
      <c r="F185" s="40">
        <v>28</v>
      </c>
      <c r="G185" s="87">
        <f>MATCH(D185, Inputs_2!$C$6:$C$8,0)</f>
        <v>3</v>
      </c>
      <c r="H185" s="87" t="str" cm="1">
        <f t="array" ref="H185">INDEX(Inputs_2!$D$6:$D$8,$G185)</f>
        <v>Veggie Pie</v>
      </c>
      <c r="I185" s="88" cm="1">
        <f t="array" ref="I185">INDEX(Inputs_2!$E$6:$E$8,$G185)</f>
        <v>7.5</v>
      </c>
      <c r="J185" s="88" cm="1">
        <f t="array" ref="J185">INDEX(Inputs_2!$F$6:$F$8,$G185)</f>
        <v>1</v>
      </c>
      <c r="K185" s="88">
        <f t="shared" si="6"/>
        <v>210</v>
      </c>
      <c r="L185" s="88">
        <f t="shared" si="7"/>
        <v>28</v>
      </c>
      <c r="M185" s="88">
        <f t="shared" si="8"/>
        <v>182</v>
      </c>
    </row>
    <row r="186" spans="2:13" x14ac:dyDescent="0.3">
      <c r="B186" s="76">
        <v>43239</v>
      </c>
      <c r="C186" s="33" t="s">
        <v>341</v>
      </c>
      <c r="D186" s="33" t="s">
        <v>123</v>
      </c>
      <c r="E186" s="33">
        <v>180</v>
      </c>
      <c r="F186" s="40">
        <v>180</v>
      </c>
      <c r="G186" s="87">
        <f>MATCH(D186, Inputs_2!$C$6:$C$8,0)</f>
        <v>1</v>
      </c>
      <c r="H186" s="87" t="str" cm="1">
        <f t="array" ref="H186">INDEX(Inputs_2!$D$6:$D$8,$G186)</f>
        <v>Meat Pie</v>
      </c>
      <c r="I186" s="88" cm="1">
        <f t="array" ref="I186">INDEX(Inputs_2!$E$6:$E$8,$G186)</f>
        <v>8</v>
      </c>
      <c r="J186" s="88" cm="1">
        <f t="array" ref="J186">INDEX(Inputs_2!$F$6:$F$8,$G186)</f>
        <v>1.2</v>
      </c>
      <c r="K186" s="88">
        <f t="shared" si="6"/>
        <v>1440</v>
      </c>
      <c r="L186" s="88">
        <f t="shared" si="7"/>
        <v>216</v>
      </c>
      <c r="M186" s="88">
        <f t="shared" si="8"/>
        <v>1224</v>
      </c>
    </row>
    <row r="187" spans="2:13" x14ac:dyDescent="0.3">
      <c r="B187" s="76">
        <v>43239</v>
      </c>
      <c r="C187" s="33" t="s">
        <v>341</v>
      </c>
      <c r="D187" s="33" t="s">
        <v>125</v>
      </c>
      <c r="E187" s="33">
        <v>75</v>
      </c>
      <c r="F187" s="40">
        <v>75</v>
      </c>
      <c r="G187" s="87">
        <f>MATCH(D187, Inputs_2!$C$6:$C$8,0)</f>
        <v>2</v>
      </c>
      <c r="H187" s="87" t="str" cm="1">
        <f t="array" ref="H187">INDEX(Inputs_2!$D$6:$D$8,$G187)</f>
        <v>Meat Pie</v>
      </c>
      <c r="I187" s="88" cm="1">
        <f t="array" ref="I187">INDEX(Inputs_2!$E$6:$E$8,$G187)</f>
        <v>8.5</v>
      </c>
      <c r="J187" s="88" cm="1">
        <f t="array" ref="J187">INDEX(Inputs_2!$F$6:$F$8,$G187)</f>
        <v>1.95</v>
      </c>
      <c r="K187" s="88">
        <f t="shared" si="6"/>
        <v>637.5</v>
      </c>
      <c r="L187" s="88">
        <f t="shared" si="7"/>
        <v>146.25</v>
      </c>
      <c r="M187" s="88">
        <f t="shared" si="8"/>
        <v>491.25</v>
      </c>
    </row>
    <row r="188" spans="2:13" x14ac:dyDescent="0.3">
      <c r="B188" s="76">
        <v>43239</v>
      </c>
      <c r="C188" s="33" t="s">
        <v>341</v>
      </c>
      <c r="D188" s="33" t="s">
        <v>126</v>
      </c>
      <c r="E188" s="33">
        <v>30</v>
      </c>
      <c r="F188" s="40">
        <v>30</v>
      </c>
      <c r="G188" s="87">
        <f>MATCH(D188, Inputs_2!$C$6:$C$8,0)</f>
        <v>3</v>
      </c>
      <c r="H188" s="87" t="str" cm="1">
        <f t="array" ref="H188">INDEX(Inputs_2!$D$6:$D$8,$G188)</f>
        <v>Veggie Pie</v>
      </c>
      <c r="I188" s="88" cm="1">
        <f t="array" ref="I188">INDEX(Inputs_2!$E$6:$E$8,$G188)</f>
        <v>7.5</v>
      </c>
      <c r="J188" s="88" cm="1">
        <f t="array" ref="J188">INDEX(Inputs_2!$F$6:$F$8,$G188)</f>
        <v>1</v>
      </c>
      <c r="K188" s="88">
        <f t="shared" si="6"/>
        <v>225</v>
      </c>
      <c r="L188" s="88">
        <f t="shared" si="7"/>
        <v>30</v>
      </c>
      <c r="M188" s="88">
        <f t="shared" si="8"/>
        <v>195</v>
      </c>
    </row>
    <row r="189" spans="2:13" x14ac:dyDescent="0.3">
      <c r="B189" s="76">
        <v>43242</v>
      </c>
      <c r="C189" s="33" t="s">
        <v>341</v>
      </c>
      <c r="D189" s="33" t="s">
        <v>123</v>
      </c>
      <c r="E189" s="33">
        <v>180</v>
      </c>
      <c r="F189" s="40">
        <v>180</v>
      </c>
      <c r="G189" s="87">
        <f>MATCH(D189, Inputs_2!$C$6:$C$8,0)</f>
        <v>1</v>
      </c>
      <c r="H189" s="87" t="str" cm="1">
        <f t="array" ref="H189">INDEX(Inputs_2!$D$6:$D$8,$G189)</f>
        <v>Meat Pie</v>
      </c>
      <c r="I189" s="88" cm="1">
        <f t="array" ref="I189">INDEX(Inputs_2!$E$6:$E$8,$G189)</f>
        <v>8</v>
      </c>
      <c r="J189" s="88" cm="1">
        <f t="array" ref="J189">INDEX(Inputs_2!$F$6:$F$8,$G189)</f>
        <v>1.2</v>
      </c>
      <c r="K189" s="88">
        <f t="shared" si="6"/>
        <v>1440</v>
      </c>
      <c r="L189" s="88">
        <f t="shared" si="7"/>
        <v>216</v>
      </c>
      <c r="M189" s="88">
        <f t="shared" si="8"/>
        <v>1224</v>
      </c>
    </row>
    <row r="190" spans="2:13" x14ac:dyDescent="0.3">
      <c r="B190" s="76">
        <v>43242</v>
      </c>
      <c r="C190" s="33" t="s">
        <v>341</v>
      </c>
      <c r="D190" s="33" t="s">
        <v>125</v>
      </c>
      <c r="E190" s="33">
        <v>75</v>
      </c>
      <c r="F190" s="40">
        <v>75</v>
      </c>
      <c r="G190" s="87">
        <f>MATCH(D190, Inputs_2!$C$6:$C$8,0)</f>
        <v>2</v>
      </c>
      <c r="H190" s="87" t="str" cm="1">
        <f t="array" ref="H190">INDEX(Inputs_2!$D$6:$D$8,$G190)</f>
        <v>Meat Pie</v>
      </c>
      <c r="I190" s="88" cm="1">
        <f t="array" ref="I190">INDEX(Inputs_2!$E$6:$E$8,$G190)</f>
        <v>8.5</v>
      </c>
      <c r="J190" s="88" cm="1">
        <f t="array" ref="J190">INDEX(Inputs_2!$F$6:$F$8,$G190)</f>
        <v>1.95</v>
      </c>
      <c r="K190" s="88">
        <f t="shared" si="6"/>
        <v>637.5</v>
      </c>
      <c r="L190" s="88">
        <f t="shared" si="7"/>
        <v>146.25</v>
      </c>
      <c r="M190" s="88">
        <f t="shared" si="8"/>
        <v>491.25</v>
      </c>
    </row>
    <row r="191" spans="2:13" x14ac:dyDescent="0.3">
      <c r="B191" s="76">
        <v>43242</v>
      </c>
      <c r="C191" s="33" t="s">
        <v>341</v>
      </c>
      <c r="D191" s="33" t="s">
        <v>126</v>
      </c>
      <c r="E191" s="33">
        <v>30</v>
      </c>
      <c r="F191" s="40">
        <v>30</v>
      </c>
      <c r="G191" s="87">
        <f>MATCH(D191, Inputs_2!$C$6:$C$8,0)</f>
        <v>3</v>
      </c>
      <c r="H191" s="87" t="str" cm="1">
        <f t="array" ref="H191">INDEX(Inputs_2!$D$6:$D$8,$G191)</f>
        <v>Veggie Pie</v>
      </c>
      <c r="I191" s="88" cm="1">
        <f t="array" ref="I191">INDEX(Inputs_2!$E$6:$E$8,$G191)</f>
        <v>7.5</v>
      </c>
      <c r="J191" s="88" cm="1">
        <f t="array" ref="J191">INDEX(Inputs_2!$F$6:$F$8,$G191)</f>
        <v>1</v>
      </c>
      <c r="K191" s="88">
        <f t="shared" si="6"/>
        <v>225</v>
      </c>
      <c r="L191" s="88">
        <f t="shared" si="7"/>
        <v>30</v>
      </c>
      <c r="M191" s="88">
        <f t="shared" si="8"/>
        <v>195</v>
      </c>
    </row>
    <row r="192" spans="2:13" x14ac:dyDescent="0.3">
      <c r="B192" s="76">
        <v>43244</v>
      </c>
      <c r="C192" s="33" t="s">
        <v>341</v>
      </c>
      <c r="D192" s="33" t="s">
        <v>123</v>
      </c>
      <c r="E192" s="33">
        <v>180</v>
      </c>
      <c r="F192" s="40">
        <v>180</v>
      </c>
      <c r="G192" s="87">
        <f>MATCH(D192, Inputs_2!$C$6:$C$8,0)</f>
        <v>1</v>
      </c>
      <c r="H192" s="87" t="str" cm="1">
        <f t="array" ref="H192">INDEX(Inputs_2!$D$6:$D$8,$G192)</f>
        <v>Meat Pie</v>
      </c>
      <c r="I192" s="88" cm="1">
        <f t="array" ref="I192">INDEX(Inputs_2!$E$6:$E$8,$G192)</f>
        <v>8</v>
      </c>
      <c r="J192" s="88" cm="1">
        <f t="array" ref="J192">INDEX(Inputs_2!$F$6:$F$8,$G192)</f>
        <v>1.2</v>
      </c>
      <c r="K192" s="88">
        <f t="shared" si="6"/>
        <v>1440</v>
      </c>
      <c r="L192" s="88">
        <f t="shared" si="7"/>
        <v>216</v>
      </c>
      <c r="M192" s="88">
        <f t="shared" si="8"/>
        <v>1224</v>
      </c>
    </row>
    <row r="193" spans="2:13" x14ac:dyDescent="0.3">
      <c r="B193" s="76">
        <v>43244</v>
      </c>
      <c r="C193" s="33" t="s">
        <v>341</v>
      </c>
      <c r="D193" s="33" t="s">
        <v>125</v>
      </c>
      <c r="E193" s="33">
        <v>75</v>
      </c>
      <c r="F193" s="40">
        <v>75</v>
      </c>
      <c r="G193" s="87">
        <f>MATCH(D193, Inputs_2!$C$6:$C$8,0)</f>
        <v>2</v>
      </c>
      <c r="H193" s="87" t="str" cm="1">
        <f t="array" ref="H193">INDEX(Inputs_2!$D$6:$D$8,$G193)</f>
        <v>Meat Pie</v>
      </c>
      <c r="I193" s="88" cm="1">
        <f t="array" ref="I193">INDEX(Inputs_2!$E$6:$E$8,$G193)</f>
        <v>8.5</v>
      </c>
      <c r="J193" s="88" cm="1">
        <f t="array" ref="J193">INDEX(Inputs_2!$F$6:$F$8,$G193)</f>
        <v>1.95</v>
      </c>
      <c r="K193" s="88">
        <f t="shared" si="6"/>
        <v>637.5</v>
      </c>
      <c r="L193" s="88">
        <f t="shared" si="7"/>
        <v>146.25</v>
      </c>
      <c r="M193" s="88">
        <f t="shared" si="8"/>
        <v>491.25</v>
      </c>
    </row>
    <row r="194" spans="2:13" x14ac:dyDescent="0.3">
      <c r="B194" s="76">
        <v>43244</v>
      </c>
      <c r="C194" s="33" t="s">
        <v>341</v>
      </c>
      <c r="D194" s="33" t="s">
        <v>126</v>
      </c>
      <c r="E194" s="33">
        <v>30</v>
      </c>
      <c r="F194" s="40">
        <v>28</v>
      </c>
      <c r="G194" s="87">
        <f>MATCH(D194, Inputs_2!$C$6:$C$8,0)</f>
        <v>3</v>
      </c>
      <c r="H194" s="87" t="str" cm="1">
        <f t="array" ref="H194">INDEX(Inputs_2!$D$6:$D$8,$G194)</f>
        <v>Veggie Pie</v>
      </c>
      <c r="I194" s="88" cm="1">
        <f t="array" ref="I194">INDEX(Inputs_2!$E$6:$E$8,$G194)</f>
        <v>7.5</v>
      </c>
      <c r="J194" s="88" cm="1">
        <f t="array" ref="J194">INDEX(Inputs_2!$F$6:$F$8,$G194)</f>
        <v>1</v>
      </c>
      <c r="K194" s="88">
        <f t="shared" si="6"/>
        <v>210</v>
      </c>
      <c r="L194" s="88">
        <f t="shared" si="7"/>
        <v>28</v>
      </c>
      <c r="M194" s="88">
        <f t="shared" si="8"/>
        <v>182</v>
      </c>
    </row>
    <row r="195" spans="2:13" x14ac:dyDescent="0.3">
      <c r="B195" s="76">
        <v>43246</v>
      </c>
      <c r="C195" s="33" t="s">
        <v>341</v>
      </c>
      <c r="D195" s="33" t="s">
        <v>123</v>
      </c>
      <c r="E195" s="33">
        <v>180</v>
      </c>
      <c r="F195" s="40">
        <v>180</v>
      </c>
      <c r="G195" s="87">
        <f>MATCH(D195, Inputs_2!$C$6:$C$8,0)</f>
        <v>1</v>
      </c>
      <c r="H195" s="87" t="str" cm="1">
        <f t="array" ref="H195">INDEX(Inputs_2!$D$6:$D$8,$G195)</f>
        <v>Meat Pie</v>
      </c>
      <c r="I195" s="88" cm="1">
        <f t="array" ref="I195">INDEX(Inputs_2!$E$6:$E$8,$G195)</f>
        <v>8</v>
      </c>
      <c r="J195" s="88" cm="1">
        <f t="array" ref="J195">INDEX(Inputs_2!$F$6:$F$8,$G195)</f>
        <v>1.2</v>
      </c>
      <c r="K195" s="88">
        <f t="shared" si="6"/>
        <v>1440</v>
      </c>
      <c r="L195" s="88">
        <f t="shared" si="7"/>
        <v>216</v>
      </c>
      <c r="M195" s="88">
        <f t="shared" si="8"/>
        <v>1224</v>
      </c>
    </row>
    <row r="196" spans="2:13" x14ac:dyDescent="0.3">
      <c r="B196" s="76">
        <v>43246</v>
      </c>
      <c r="C196" s="33" t="s">
        <v>341</v>
      </c>
      <c r="D196" s="33" t="s">
        <v>125</v>
      </c>
      <c r="E196" s="33">
        <v>75</v>
      </c>
      <c r="F196" s="40">
        <v>75</v>
      </c>
      <c r="G196" s="87">
        <f>MATCH(D196, Inputs_2!$C$6:$C$8,0)</f>
        <v>2</v>
      </c>
      <c r="H196" s="87" t="str" cm="1">
        <f t="array" ref="H196">INDEX(Inputs_2!$D$6:$D$8,$G196)</f>
        <v>Meat Pie</v>
      </c>
      <c r="I196" s="88" cm="1">
        <f t="array" ref="I196">INDEX(Inputs_2!$E$6:$E$8,$G196)</f>
        <v>8.5</v>
      </c>
      <c r="J196" s="88" cm="1">
        <f t="array" ref="J196">INDEX(Inputs_2!$F$6:$F$8,$G196)</f>
        <v>1.95</v>
      </c>
      <c r="K196" s="88">
        <f t="shared" si="6"/>
        <v>637.5</v>
      </c>
      <c r="L196" s="88">
        <f t="shared" si="7"/>
        <v>146.25</v>
      </c>
      <c r="M196" s="88">
        <f t="shared" si="8"/>
        <v>491.25</v>
      </c>
    </row>
    <row r="197" spans="2:13" x14ac:dyDescent="0.3">
      <c r="B197" s="76">
        <v>43246</v>
      </c>
      <c r="C197" s="33" t="s">
        <v>341</v>
      </c>
      <c r="D197" s="33" t="s">
        <v>126</v>
      </c>
      <c r="E197" s="33">
        <v>30</v>
      </c>
      <c r="F197" s="40">
        <v>22</v>
      </c>
      <c r="G197" s="87">
        <f>MATCH(D197, Inputs_2!$C$6:$C$8,0)</f>
        <v>3</v>
      </c>
      <c r="H197" s="87" t="str" cm="1">
        <f t="array" ref="H197">INDEX(Inputs_2!$D$6:$D$8,$G197)</f>
        <v>Veggie Pie</v>
      </c>
      <c r="I197" s="88" cm="1">
        <f t="array" ref="I197">INDEX(Inputs_2!$E$6:$E$8,$G197)</f>
        <v>7.5</v>
      </c>
      <c r="J197" s="88" cm="1">
        <f t="array" ref="J197">INDEX(Inputs_2!$F$6:$F$8,$G197)</f>
        <v>1</v>
      </c>
      <c r="K197" s="88">
        <f t="shared" si="6"/>
        <v>165</v>
      </c>
      <c r="L197" s="88">
        <f t="shared" si="7"/>
        <v>22</v>
      </c>
      <c r="M197" s="88">
        <f t="shared" si="8"/>
        <v>143</v>
      </c>
    </row>
    <row r="198" spans="2:13" x14ac:dyDescent="0.3">
      <c r="B198" s="76">
        <v>43249</v>
      </c>
      <c r="C198" s="33" t="s">
        <v>341</v>
      </c>
      <c r="D198" s="33" t="s">
        <v>123</v>
      </c>
      <c r="E198" s="33">
        <v>180</v>
      </c>
      <c r="F198" s="40">
        <v>177</v>
      </c>
      <c r="G198" s="87">
        <f>MATCH(D198, Inputs_2!$C$6:$C$8,0)</f>
        <v>1</v>
      </c>
      <c r="H198" s="87" t="str" cm="1">
        <f t="array" ref="H198">INDEX(Inputs_2!$D$6:$D$8,$G198)</f>
        <v>Meat Pie</v>
      </c>
      <c r="I198" s="88" cm="1">
        <f t="array" ref="I198">INDEX(Inputs_2!$E$6:$E$8,$G198)</f>
        <v>8</v>
      </c>
      <c r="J198" s="88" cm="1">
        <f t="array" ref="J198">INDEX(Inputs_2!$F$6:$F$8,$G198)</f>
        <v>1.2</v>
      </c>
      <c r="K198" s="88">
        <f t="shared" si="6"/>
        <v>1416</v>
      </c>
      <c r="L198" s="88">
        <f t="shared" si="7"/>
        <v>212.4</v>
      </c>
      <c r="M198" s="88">
        <f t="shared" si="8"/>
        <v>1203.5999999999999</v>
      </c>
    </row>
    <row r="199" spans="2:13" x14ac:dyDescent="0.3">
      <c r="B199" s="76">
        <v>43249</v>
      </c>
      <c r="C199" s="33" t="s">
        <v>341</v>
      </c>
      <c r="D199" s="33" t="s">
        <v>125</v>
      </c>
      <c r="E199" s="33">
        <v>75</v>
      </c>
      <c r="F199" s="40">
        <v>70</v>
      </c>
      <c r="G199" s="87">
        <f>MATCH(D199, Inputs_2!$C$6:$C$8,0)</f>
        <v>2</v>
      </c>
      <c r="H199" s="87" t="str" cm="1">
        <f t="array" ref="H199">INDEX(Inputs_2!$D$6:$D$8,$G199)</f>
        <v>Meat Pie</v>
      </c>
      <c r="I199" s="88" cm="1">
        <f t="array" ref="I199">INDEX(Inputs_2!$E$6:$E$8,$G199)</f>
        <v>8.5</v>
      </c>
      <c r="J199" s="88" cm="1">
        <f t="array" ref="J199">INDEX(Inputs_2!$F$6:$F$8,$G199)</f>
        <v>1.95</v>
      </c>
      <c r="K199" s="88">
        <f t="shared" si="6"/>
        <v>595</v>
      </c>
      <c r="L199" s="88">
        <f t="shared" si="7"/>
        <v>136.5</v>
      </c>
      <c r="M199" s="88">
        <f t="shared" si="8"/>
        <v>458.5</v>
      </c>
    </row>
    <row r="200" spans="2:13" x14ac:dyDescent="0.3">
      <c r="B200" s="76">
        <v>43249</v>
      </c>
      <c r="C200" s="33" t="s">
        <v>341</v>
      </c>
      <c r="D200" s="33" t="s">
        <v>126</v>
      </c>
      <c r="E200" s="33">
        <v>30</v>
      </c>
      <c r="F200" s="40">
        <v>22</v>
      </c>
      <c r="G200" s="87">
        <f>MATCH(D200, Inputs_2!$C$6:$C$8,0)</f>
        <v>3</v>
      </c>
      <c r="H200" s="87" t="str" cm="1">
        <f t="array" ref="H200">INDEX(Inputs_2!$D$6:$D$8,$G200)</f>
        <v>Veggie Pie</v>
      </c>
      <c r="I200" s="88" cm="1">
        <f t="array" ref="I200">INDEX(Inputs_2!$E$6:$E$8,$G200)</f>
        <v>7.5</v>
      </c>
      <c r="J200" s="88" cm="1">
        <f t="array" ref="J200">INDEX(Inputs_2!$F$6:$F$8,$G200)</f>
        <v>1</v>
      </c>
      <c r="K200" s="88">
        <f t="shared" si="6"/>
        <v>165</v>
      </c>
      <c r="L200" s="88">
        <f t="shared" si="7"/>
        <v>22</v>
      </c>
      <c r="M200" s="88">
        <f t="shared" si="8"/>
        <v>143</v>
      </c>
    </row>
    <row r="201" spans="2:13" x14ac:dyDescent="0.3">
      <c r="B201" s="76">
        <v>43251</v>
      </c>
      <c r="C201" s="33" t="s">
        <v>341</v>
      </c>
      <c r="D201" s="33" t="s">
        <v>123</v>
      </c>
      <c r="E201" s="33">
        <v>180</v>
      </c>
      <c r="F201" s="40">
        <v>180</v>
      </c>
      <c r="G201" s="87">
        <f>MATCH(D201, Inputs_2!$C$6:$C$8,0)</f>
        <v>1</v>
      </c>
      <c r="H201" s="87" t="str" cm="1">
        <f t="array" ref="H201">INDEX(Inputs_2!$D$6:$D$8,$G201)</f>
        <v>Meat Pie</v>
      </c>
      <c r="I201" s="88" cm="1">
        <f t="array" ref="I201">INDEX(Inputs_2!$E$6:$E$8,$G201)</f>
        <v>8</v>
      </c>
      <c r="J201" s="88" cm="1">
        <f t="array" ref="J201">INDEX(Inputs_2!$F$6:$F$8,$G201)</f>
        <v>1.2</v>
      </c>
      <c r="K201" s="88">
        <f t="shared" si="6"/>
        <v>1440</v>
      </c>
      <c r="L201" s="88">
        <f t="shared" si="7"/>
        <v>216</v>
      </c>
      <c r="M201" s="88">
        <f t="shared" si="8"/>
        <v>1224</v>
      </c>
    </row>
    <row r="202" spans="2:13" x14ac:dyDescent="0.3">
      <c r="B202" s="76">
        <v>43251</v>
      </c>
      <c r="C202" s="33" t="s">
        <v>341</v>
      </c>
      <c r="D202" s="33" t="s">
        <v>125</v>
      </c>
      <c r="E202" s="33">
        <v>75</v>
      </c>
      <c r="F202" s="40">
        <v>70</v>
      </c>
      <c r="G202" s="87">
        <f>MATCH(D202, Inputs_2!$C$6:$C$8,0)</f>
        <v>2</v>
      </c>
      <c r="H202" s="87" t="str" cm="1">
        <f t="array" ref="H202">INDEX(Inputs_2!$D$6:$D$8,$G202)</f>
        <v>Meat Pie</v>
      </c>
      <c r="I202" s="88" cm="1">
        <f t="array" ref="I202">INDEX(Inputs_2!$E$6:$E$8,$G202)</f>
        <v>8.5</v>
      </c>
      <c r="J202" s="88" cm="1">
        <f t="array" ref="J202">INDEX(Inputs_2!$F$6:$F$8,$G202)</f>
        <v>1.95</v>
      </c>
      <c r="K202" s="88">
        <f t="shared" ref="K202:K242" si="9">F202 * I202</f>
        <v>595</v>
      </c>
      <c r="L202" s="88">
        <f t="shared" ref="L202:L242" si="10">F202 * J202</f>
        <v>136.5</v>
      </c>
      <c r="M202" s="88">
        <f t="shared" ref="M202:M242" si="11">K202 - L202</f>
        <v>458.5</v>
      </c>
    </row>
    <row r="203" spans="2:13" x14ac:dyDescent="0.3">
      <c r="B203" s="76">
        <v>43251</v>
      </c>
      <c r="C203" s="33" t="s">
        <v>341</v>
      </c>
      <c r="D203" s="33" t="s">
        <v>126</v>
      </c>
      <c r="E203" s="33">
        <v>30</v>
      </c>
      <c r="F203" s="40">
        <v>25</v>
      </c>
      <c r="G203" s="87">
        <f>MATCH(D203, Inputs_2!$C$6:$C$8,0)</f>
        <v>3</v>
      </c>
      <c r="H203" s="87" t="str" cm="1">
        <f t="array" ref="H203">INDEX(Inputs_2!$D$6:$D$8,$G203)</f>
        <v>Veggie Pie</v>
      </c>
      <c r="I203" s="88" cm="1">
        <f t="array" ref="I203">INDEX(Inputs_2!$E$6:$E$8,$G203)</f>
        <v>7.5</v>
      </c>
      <c r="J203" s="88" cm="1">
        <f t="array" ref="J203">INDEX(Inputs_2!$F$6:$F$8,$G203)</f>
        <v>1</v>
      </c>
      <c r="K203" s="88">
        <f t="shared" si="9"/>
        <v>187.5</v>
      </c>
      <c r="L203" s="88">
        <f t="shared" si="10"/>
        <v>25</v>
      </c>
      <c r="M203" s="88">
        <f t="shared" si="11"/>
        <v>162.5</v>
      </c>
    </row>
    <row r="204" spans="2:13" x14ac:dyDescent="0.3">
      <c r="B204" s="76">
        <v>43253</v>
      </c>
      <c r="C204" s="33" t="s">
        <v>341</v>
      </c>
      <c r="D204" s="33" t="s">
        <v>123</v>
      </c>
      <c r="E204" s="33">
        <v>180</v>
      </c>
      <c r="F204" s="40">
        <v>180</v>
      </c>
      <c r="G204" s="87">
        <f>MATCH(D204, Inputs_2!$C$6:$C$8,0)</f>
        <v>1</v>
      </c>
      <c r="H204" s="87" t="str" cm="1">
        <f t="array" ref="H204">INDEX(Inputs_2!$D$6:$D$8,$G204)</f>
        <v>Meat Pie</v>
      </c>
      <c r="I204" s="88" cm="1">
        <f t="array" ref="I204">INDEX(Inputs_2!$E$6:$E$8,$G204)</f>
        <v>8</v>
      </c>
      <c r="J204" s="88" cm="1">
        <f t="array" ref="J204">INDEX(Inputs_2!$F$6:$F$8,$G204)</f>
        <v>1.2</v>
      </c>
      <c r="K204" s="88">
        <f t="shared" si="9"/>
        <v>1440</v>
      </c>
      <c r="L204" s="88">
        <f t="shared" si="10"/>
        <v>216</v>
      </c>
      <c r="M204" s="88">
        <f t="shared" si="11"/>
        <v>1224</v>
      </c>
    </row>
    <row r="205" spans="2:13" x14ac:dyDescent="0.3">
      <c r="B205" s="76">
        <v>43253</v>
      </c>
      <c r="C205" s="33" t="s">
        <v>341</v>
      </c>
      <c r="D205" s="33" t="s">
        <v>125</v>
      </c>
      <c r="E205" s="33">
        <v>75</v>
      </c>
      <c r="F205" s="40">
        <v>75</v>
      </c>
      <c r="G205" s="87">
        <f>MATCH(D205, Inputs_2!$C$6:$C$8,0)</f>
        <v>2</v>
      </c>
      <c r="H205" s="87" t="str" cm="1">
        <f t="array" ref="H205">INDEX(Inputs_2!$D$6:$D$8,$G205)</f>
        <v>Meat Pie</v>
      </c>
      <c r="I205" s="88" cm="1">
        <f t="array" ref="I205">INDEX(Inputs_2!$E$6:$E$8,$G205)</f>
        <v>8.5</v>
      </c>
      <c r="J205" s="88" cm="1">
        <f t="array" ref="J205">INDEX(Inputs_2!$F$6:$F$8,$G205)</f>
        <v>1.95</v>
      </c>
      <c r="K205" s="88">
        <f t="shared" si="9"/>
        <v>637.5</v>
      </c>
      <c r="L205" s="88">
        <f t="shared" si="10"/>
        <v>146.25</v>
      </c>
      <c r="M205" s="88">
        <f t="shared" si="11"/>
        <v>491.25</v>
      </c>
    </row>
    <row r="206" spans="2:13" x14ac:dyDescent="0.3">
      <c r="B206" s="76">
        <v>43253</v>
      </c>
      <c r="C206" s="33" t="s">
        <v>341</v>
      </c>
      <c r="D206" s="33" t="s">
        <v>126</v>
      </c>
      <c r="E206" s="33">
        <v>30</v>
      </c>
      <c r="F206" s="40">
        <v>30</v>
      </c>
      <c r="G206" s="87">
        <f>MATCH(D206, Inputs_2!$C$6:$C$8,0)</f>
        <v>3</v>
      </c>
      <c r="H206" s="87" t="str" cm="1">
        <f t="array" ref="H206">INDEX(Inputs_2!$D$6:$D$8,$G206)</f>
        <v>Veggie Pie</v>
      </c>
      <c r="I206" s="88" cm="1">
        <f t="array" ref="I206">INDEX(Inputs_2!$E$6:$E$8,$G206)</f>
        <v>7.5</v>
      </c>
      <c r="J206" s="88" cm="1">
        <f t="array" ref="J206">INDEX(Inputs_2!$F$6:$F$8,$G206)</f>
        <v>1</v>
      </c>
      <c r="K206" s="88">
        <f t="shared" si="9"/>
        <v>225</v>
      </c>
      <c r="L206" s="88">
        <f t="shared" si="10"/>
        <v>30</v>
      </c>
      <c r="M206" s="88">
        <f t="shared" si="11"/>
        <v>195</v>
      </c>
    </row>
    <row r="207" spans="2:13" x14ac:dyDescent="0.3">
      <c r="B207" s="76">
        <v>43256</v>
      </c>
      <c r="C207" s="33" t="s">
        <v>341</v>
      </c>
      <c r="D207" s="33" t="s">
        <v>123</v>
      </c>
      <c r="E207" s="33">
        <v>180</v>
      </c>
      <c r="F207" s="40">
        <v>180</v>
      </c>
      <c r="G207" s="87">
        <f>MATCH(D207, Inputs_2!$C$6:$C$8,0)</f>
        <v>1</v>
      </c>
      <c r="H207" s="87" t="str" cm="1">
        <f t="array" ref="H207">INDEX(Inputs_2!$D$6:$D$8,$G207)</f>
        <v>Meat Pie</v>
      </c>
      <c r="I207" s="88" cm="1">
        <f t="array" ref="I207">INDEX(Inputs_2!$E$6:$E$8,$G207)</f>
        <v>8</v>
      </c>
      <c r="J207" s="88" cm="1">
        <f t="array" ref="J207">INDEX(Inputs_2!$F$6:$F$8,$G207)</f>
        <v>1.2</v>
      </c>
      <c r="K207" s="88">
        <f t="shared" si="9"/>
        <v>1440</v>
      </c>
      <c r="L207" s="88">
        <f t="shared" si="10"/>
        <v>216</v>
      </c>
      <c r="M207" s="88">
        <f t="shared" si="11"/>
        <v>1224</v>
      </c>
    </row>
    <row r="208" spans="2:13" x14ac:dyDescent="0.3">
      <c r="B208" s="76">
        <v>43256</v>
      </c>
      <c r="C208" s="33" t="s">
        <v>341</v>
      </c>
      <c r="D208" s="33" t="s">
        <v>125</v>
      </c>
      <c r="E208" s="33">
        <v>75</v>
      </c>
      <c r="F208" s="40">
        <v>70</v>
      </c>
      <c r="G208" s="87">
        <f>MATCH(D208, Inputs_2!$C$6:$C$8,0)</f>
        <v>2</v>
      </c>
      <c r="H208" s="87" t="str" cm="1">
        <f t="array" ref="H208">INDEX(Inputs_2!$D$6:$D$8,$G208)</f>
        <v>Meat Pie</v>
      </c>
      <c r="I208" s="88" cm="1">
        <f t="array" ref="I208">INDEX(Inputs_2!$E$6:$E$8,$G208)</f>
        <v>8.5</v>
      </c>
      <c r="J208" s="88" cm="1">
        <f t="array" ref="J208">INDEX(Inputs_2!$F$6:$F$8,$G208)</f>
        <v>1.95</v>
      </c>
      <c r="K208" s="88">
        <f t="shared" si="9"/>
        <v>595</v>
      </c>
      <c r="L208" s="88">
        <f t="shared" si="10"/>
        <v>136.5</v>
      </c>
      <c r="M208" s="88">
        <f t="shared" si="11"/>
        <v>458.5</v>
      </c>
    </row>
    <row r="209" spans="2:13" x14ac:dyDescent="0.3">
      <c r="B209" s="76">
        <v>43256</v>
      </c>
      <c r="C209" s="33" t="s">
        <v>341</v>
      </c>
      <c r="D209" s="33" t="s">
        <v>126</v>
      </c>
      <c r="E209" s="33">
        <v>30</v>
      </c>
      <c r="F209" s="40">
        <v>25</v>
      </c>
      <c r="G209" s="87">
        <f>MATCH(D209, Inputs_2!$C$6:$C$8,0)</f>
        <v>3</v>
      </c>
      <c r="H209" s="87" t="str" cm="1">
        <f t="array" ref="H209">INDEX(Inputs_2!$D$6:$D$8,$G209)</f>
        <v>Veggie Pie</v>
      </c>
      <c r="I209" s="88" cm="1">
        <f t="array" ref="I209">INDEX(Inputs_2!$E$6:$E$8,$G209)</f>
        <v>7.5</v>
      </c>
      <c r="J209" s="88" cm="1">
        <f t="array" ref="J209">INDEX(Inputs_2!$F$6:$F$8,$G209)</f>
        <v>1</v>
      </c>
      <c r="K209" s="88">
        <f t="shared" si="9"/>
        <v>187.5</v>
      </c>
      <c r="L209" s="88">
        <f t="shared" si="10"/>
        <v>25</v>
      </c>
      <c r="M209" s="88">
        <f t="shared" si="11"/>
        <v>162.5</v>
      </c>
    </row>
    <row r="210" spans="2:13" x14ac:dyDescent="0.3">
      <c r="B210" s="76">
        <v>43258</v>
      </c>
      <c r="C210" s="33" t="s">
        <v>341</v>
      </c>
      <c r="D210" s="33" t="s">
        <v>123</v>
      </c>
      <c r="E210" s="33">
        <v>180</v>
      </c>
      <c r="F210" s="40">
        <v>180</v>
      </c>
      <c r="G210" s="87">
        <f>MATCH(D210, Inputs_2!$C$6:$C$8,0)</f>
        <v>1</v>
      </c>
      <c r="H210" s="87" t="str" cm="1">
        <f t="array" ref="H210">INDEX(Inputs_2!$D$6:$D$8,$G210)</f>
        <v>Meat Pie</v>
      </c>
      <c r="I210" s="88" cm="1">
        <f t="array" ref="I210">INDEX(Inputs_2!$E$6:$E$8,$G210)</f>
        <v>8</v>
      </c>
      <c r="J210" s="88" cm="1">
        <f t="array" ref="J210">INDEX(Inputs_2!$F$6:$F$8,$G210)</f>
        <v>1.2</v>
      </c>
      <c r="K210" s="88">
        <f t="shared" si="9"/>
        <v>1440</v>
      </c>
      <c r="L210" s="88">
        <f t="shared" si="10"/>
        <v>216</v>
      </c>
      <c r="M210" s="88">
        <f t="shared" si="11"/>
        <v>1224</v>
      </c>
    </row>
    <row r="211" spans="2:13" x14ac:dyDescent="0.3">
      <c r="B211" s="76">
        <v>43258</v>
      </c>
      <c r="C211" s="33" t="s">
        <v>341</v>
      </c>
      <c r="D211" s="33" t="s">
        <v>125</v>
      </c>
      <c r="E211" s="33">
        <v>75</v>
      </c>
      <c r="F211" s="40">
        <v>72</v>
      </c>
      <c r="G211" s="87">
        <f>MATCH(D211, Inputs_2!$C$6:$C$8,0)</f>
        <v>2</v>
      </c>
      <c r="H211" s="87" t="str" cm="1">
        <f t="array" ref="H211">INDEX(Inputs_2!$D$6:$D$8,$G211)</f>
        <v>Meat Pie</v>
      </c>
      <c r="I211" s="88" cm="1">
        <f t="array" ref="I211">INDEX(Inputs_2!$E$6:$E$8,$G211)</f>
        <v>8.5</v>
      </c>
      <c r="J211" s="88" cm="1">
        <f t="array" ref="J211">INDEX(Inputs_2!$F$6:$F$8,$G211)</f>
        <v>1.95</v>
      </c>
      <c r="K211" s="88">
        <f t="shared" si="9"/>
        <v>612</v>
      </c>
      <c r="L211" s="88">
        <f t="shared" si="10"/>
        <v>140.4</v>
      </c>
      <c r="M211" s="88">
        <f t="shared" si="11"/>
        <v>471.6</v>
      </c>
    </row>
    <row r="212" spans="2:13" x14ac:dyDescent="0.3">
      <c r="B212" s="76">
        <v>43258</v>
      </c>
      <c r="C212" s="33" t="s">
        <v>341</v>
      </c>
      <c r="D212" s="33" t="s">
        <v>126</v>
      </c>
      <c r="E212" s="33">
        <v>30</v>
      </c>
      <c r="F212" s="40">
        <v>27</v>
      </c>
      <c r="G212" s="87">
        <f>MATCH(D212, Inputs_2!$C$6:$C$8,0)</f>
        <v>3</v>
      </c>
      <c r="H212" s="87" t="str" cm="1">
        <f t="array" ref="H212">INDEX(Inputs_2!$D$6:$D$8,$G212)</f>
        <v>Veggie Pie</v>
      </c>
      <c r="I212" s="88" cm="1">
        <f t="array" ref="I212">INDEX(Inputs_2!$E$6:$E$8,$G212)</f>
        <v>7.5</v>
      </c>
      <c r="J212" s="88" cm="1">
        <f t="array" ref="J212">INDEX(Inputs_2!$F$6:$F$8,$G212)</f>
        <v>1</v>
      </c>
      <c r="K212" s="88">
        <f t="shared" si="9"/>
        <v>202.5</v>
      </c>
      <c r="L212" s="88">
        <f t="shared" si="10"/>
        <v>27</v>
      </c>
      <c r="M212" s="88">
        <f t="shared" si="11"/>
        <v>175.5</v>
      </c>
    </row>
    <row r="213" spans="2:13" x14ac:dyDescent="0.3">
      <c r="B213" s="76">
        <v>43260</v>
      </c>
      <c r="C213" s="33" t="s">
        <v>341</v>
      </c>
      <c r="D213" s="33" t="s">
        <v>123</v>
      </c>
      <c r="E213" s="33">
        <v>180</v>
      </c>
      <c r="F213" s="40">
        <v>180</v>
      </c>
      <c r="G213" s="87">
        <f>MATCH(D213, Inputs_2!$C$6:$C$8,0)</f>
        <v>1</v>
      </c>
      <c r="H213" s="87" t="str" cm="1">
        <f t="array" ref="H213">INDEX(Inputs_2!$D$6:$D$8,$G213)</f>
        <v>Meat Pie</v>
      </c>
      <c r="I213" s="88" cm="1">
        <f t="array" ref="I213">INDEX(Inputs_2!$E$6:$E$8,$G213)</f>
        <v>8</v>
      </c>
      <c r="J213" s="88" cm="1">
        <f t="array" ref="J213">INDEX(Inputs_2!$F$6:$F$8,$G213)</f>
        <v>1.2</v>
      </c>
      <c r="K213" s="88">
        <f t="shared" si="9"/>
        <v>1440</v>
      </c>
      <c r="L213" s="88">
        <f t="shared" si="10"/>
        <v>216</v>
      </c>
      <c r="M213" s="88">
        <f t="shared" si="11"/>
        <v>1224</v>
      </c>
    </row>
    <row r="214" spans="2:13" x14ac:dyDescent="0.3">
      <c r="B214" s="76">
        <v>43260</v>
      </c>
      <c r="C214" s="33" t="s">
        <v>341</v>
      </c>
      <c r="D214" s="33" t="s">
        <v>125</v>
      </c>
      <c r="E214" s="33">
        <v>75</v>
      </c>
      <c r="F214" s="40">
        <v>70</v>
      </c>
      <c r="G214" s="87">
        <f>MATCH(D214, Inputs_2!$C$6:$C$8,0)</f>
        <v>2</v>
      </c>
      <c r="H214" s="87" t="str" cm="1">
        <f t="array" ref="H214">INDEX(Inputs_2!$D$6:$D$8,$G214)</f>
        <v>Meat Pie</v>
      </c>
      <c r="I214" s="88" cm="1">
        <f t="array" ref="I214">INDEX(Inputs_2!$E$6:$E$8,$G214)</f>
        <v>8.5</v>
      </c>
      <c r="J214" s="88" cm="1">
        <f t="array" ref="J214">INDEX(Inputs_2!$F$6:$F$8,$G214)</f>
        <v>1.95</v>
      </c>
      <c r="K214" s="88">
        <f t="shared" si="9"/>
        <v>595</v>
      </c>
      <c r="L214" s="88">
        <f t="shared" si="10"/>
        <v>136.5</v>
      </c>
      <c r="M214" s="88">
        <f t="shared" si="11"/>
        <v>458.5</v>
      </c>
    </row>
    <row r="215" spans="2:13" x14ac:dyDescent="0.3">
      <c r="B215" s="76">
        <v>43260</v>
      </c>
      <c r="C215" s="33" t="s">
        <v>341</v>
      </c>
      <c r="D215" s="33" t="s">
        <v>126</v>
      </c>
      <c r="E215" s="33">
        <v>30</v>
      </c>
      <c r="F215" s="40">
        <v>25</v>
      </c>
      <c r="G215" s="87">
        <f>MATCH(D215, Inputs_2!$C$6:$C$8,0)</f>
        <v>3</v>
      </c>
      <c r="H215" s="87" t="str" cm="1">
        <f t="array" ref="H215">INDEX(Inputs_2!$D$6:$D$8,$G215)</f>
        <v>Veggie Pie</v>
      </c>
      <c r="I215" s="88" cm="1">
        <f t="array" ref="I215">INDEX(Inputs_2!$E$6:$E$8,$G215)</f>
        <v>7.5</v>
      </c>
      <c r="J215" s="88" cm="1">
        <f t="array" ref="J215">INDEX(Inputs_2!$F$6:$F$8,$G215)</f>
        <v>1</v>
      </c>
      <c r="K215" s="88">
        <f t="shared" si="9"/>
        <v>187.5</v>
      </c>
      <c r="L215" s="88">
        <f t="shared" si="10"/>
        <v>25</v>
      </c>
      <c r="M215" s="88">
        <f t="shared" si="11"/>
        <v>162.5</v>
      </c>
    </row>
    <row r="216" spans="2:13" x14ac:dyDescent="0.3">
      <c r="B216" s="76">
        <v>43263</v>
      </c>
      <c r="C216" s="33" t="s">
        <v>341</v>
      </c>
      <c r="D216" s="33" t="s">
        <v>123</v>
      </c>
      <c r="E216" s="33">
        <v>180</v>
      </c>
      <c r="F216" s="40">
        <v>180</v>
      </c>
      <c r="G216" s="87">
        <f>MATCH(D216, Inputs_2!$C$6:$C$8,0)</f>
        <v>1</v>
      </c>
      <c r="H216" s="87" t="str" cm="1">
        <f t="array" ref="H216">INDEX(Inputs_2!$D$6:$D$8,$G216)</f>
        <v>Meat Pie</v>
      </c>
      <c r="I216" s="88" cm="1">
        <f t="array" ref="I216">INDEX(Inputs_2!$E$6:$E$8,$G216)</f>
        <v>8</v>
      </c>
      <c r="J216" s="88" cm="1">
        <f t="array" ref="J216">INDEX(Inputs_2!$F$6:$F$8,$G216)</f>
        <v>1.2</v>
      </c>
      <c r="K216" s="88">
        <f t="shared" si="9"/>
        <v>1440</v>
      </c>
      <c r="L216" s="88">
        <f t="shared" si="10"/>
        <v>216</v>
      </c>
      <c r="M216" s="88">
        <f t="shared" si="11"/>
        <v>1224</v>
      </c>
    </row>
    <row r="217" spans="2:13" x14ac:dyDescent="0.3">
      <c r="B217" s="76">
        <v>43263</v>
      </c>
      <c r="C217" s="33" t="s">
        <v>341</v>
      </c>
      <c r="D217" s="33" t="s">
        <v>125</v>
      </c>
      <c r="E217" s="33">
        <v>75</v>
      </c>
      <c r="F217" s="40">
        <v>70</v>
      </c>
      <c r="G217" s="87">
        <f>MATCH(D217, Inputs_2!$C$6:$C$8,0)</f>
        <v>2</v>
      </c>
      <c r="H217" s="87" t="str" cm="1">
        <f t="array" ref="H217">INDEX(Inputs_2!$D$6:$D$8,$G217)</f>
        <v>Meat Pie</v>
      </c>
      <c r="I217" s="88" cm="1">
        <f t="array" ref="I217">INDEX(Inputs_2!$E$6:$E$8,$G217)</f>
        <v>8.5</v>
      </c>
      <c r="J217" s="88" cm="1">
        <f t="array" ref="J217">INDEX(Inputs_2!$F$6:$F$8,$G217)</f>
        <v>1.95</v>
      </c>
      <c r="K217" s="88">
        <f t="shared" si="9"/>
        <v>595</v>
      </c>
      <c r="L217" s="88">
        <f t="shared" si="10"/>
        <v>136.5</v>
      </c>
      <c r="M217" s="88">
        <f t="shared" si="11"/>
        <v>458.5</v>
      </c>
    </row>
    <row r="218" spans="2:13" x14ac:dyDescent="0.3">
      <c r="B218" s="76">
        <v>43263</v>
      </c>
      <c r="C218" s="33" t="s">
        <v>341</v>
      </c>
      <c r="D218" s="33" t="s">
        <v>126</v>
      </c>
      <c r="E218" s="33">
        <v>30</v>
      </c>
      <c r="F218" s="40">
        <v>22</v>
      </c>
      <c r="G218" s="87">
        <f>MATCH(D218, Inputs_2!$C$6:$C$8,0)</f>
        <v>3</v>
      </c>
      <c r="H218" s="87" t="str" cm="1">
        <f t="array" ref="H218">INDEX(Inputs_2!$D$6:$D$8,$G218)</f>
        <v>Veggie Pie</v>
      </c>
      <c r="I218" s="88" cm="1">
        <f t="array" ref="I218">INDEX(Inputs_2!$E$6:$E$8,$G218)</f>
        <v>7.5</v>
      </c>
      <c r="J218" s="88" cm="1">
        <f t="array" ref="J218">INDEX(Inputs_2!$F$6:$F$8,$G218)</f>
        <v>1</v>
      </c>
      <c r="K218" s="88">
        <f t="shared" si="9"/>
        <v>165</v>
      </c>
      <c r="L218" s="88">
        <f t="shared" si="10"/>
        <v>22</v>
      </c>
      <c r="M218" s="88">
        <f t="shared" si="11"/>
        <v>143</v>
      </c>
    </row>
    <row r="219" spans="2:13" x14ac:dyDescent="0.3">
      <c r="B219" s="76">
        <v>43265</v>
      </c>
      <c r="C219" s="33" t="s">
        <v>341</v>
      </c>
      <c r="D219" s="33" t="s">
        <v>123</v>
      </c>
      <c r="E219" s="33">
        <v>180</v>
      </c>
      <c r="F219" s="40">
        <v>180</v>
      </c>
      <c r="G219" s="87">
        <f>MATCH(D219, Inputs_2!$C$6:$C$8,0)</f>
        <v>1</v>
      </c>
      <c r="H219" s="87" t="str" cm="1">
        <f t="array" ref="H219">INDEX(Inputs_2!$D$6:$D$8,$G219)</f>
        <v>Meat Pie</v>
      </c>
      <c r="I219" s="88" cm="1">
        <f t="array" ref="I219">INDEX(Inputs_2!$E$6:$E$8,$G219)</f>
        <v>8</v>
      </c>
      <c r="J219" s="88" cm="1">
        <f t="array" ref="J219">INDEX(Inputs_2!$F$6:$F$8,$G219)</f>
        <v>1.2</v>
      </c>
      <c r="K219" s="88">
        <f t="shared" si="9"/>
        <v>1440</v>
      </c>
      <c r="L219" s="88">
        <f t="shared" si="10"/>
        <v>216</v>
      </c>
      <c r="M219" s="88">
        <f t="shared" si="11"/>
        <v>1224</v>
      </c>
    </row>
    <row r="220" spans="2:13" x14ac:dyDescent="0.3">
      <c r="B220" s="76">
        <v>43265</v>
      </c>
      <c r="C220" s="33" t="s">
        <v>341</v>
      </c>
      <c r="D220" s="33" t="s">
        <v>125</v>
      </c>
      <c r="E220" s="33">
        <v>75</v>
      </c>
      <c r="F220" s="40">
        <v>75</v>
      </c>
      <c r="G220" s="87">
        <f>MATCH(D220, Inputs_2!$C$6:$C$8,0)</f>
        <v>2</v>
      </c>
      <c r="H220" s="87" t="str" cm="1">
        <f t="array" ref="H220">INDEX(Inputs_2!$D$6:$D$8,$G220)</f>
        <v>Meat Pie</v>
      </c>
      <c r="I220" s="88" cm="1">
        <f t="array" ref="I220">INDEX(Inputs_2!$E$6:$E$8,$G220)</f>
        <v>8.5</v>
      </c>
      <c r="J220" s="88" cm="1">
        <f t="array" ref="J220">INDEX(Inputs_2!$F$6:$F$8,$G220)</f>
        <v>1.95</v>
      </c>
      <c r="K220" s="88">
        <f t="shared" si="9"/>
        <v>637.5</v>
      </c>
      <c r="L220" s="88">
        <f t="shared" si="10"/>
        <v>146.25</v>
      </c>
      <c r="M220" s="88">
        <f t="shared" si="11"/>
        <v>491.25</v>
      </c>
    </row>
    <row r="221" spans="2:13" x14ac:dyDescent="0.3">
      <c r="B221" s="76">
        <v>43265</v>
      </c>
      <c r="C221" s="33" t="s">
        <v>341</v>
      </c>
      <c r="D221" s="33" t="s">
        <v>126</v>
      </c>
      <c r="E221" s="33">
        <v>30</v>
      </c>
      <c r="F221" s="40">
        <v>28</v>
      </c>
      <c r="G221" s="87">
        <f>MATCH(D221, Inputs_2!$C$6:$C$8,0)</f>
        <v>3</v>
      </c>
      <c r="H221" s="87" t="str" cm="1">
        <f t="array" ref="H221">INDEX(Inputs_2!$D$6:$D$8,$G221)</f>
        <v>Veggie Pie</v>
      </c>
      <c r="I221" s="88" cm="1">
        <f t="array" ref="I221">INDEX(Inputs_2!$E$6:$E$8,$G221)</f>
        <v>7.5</v>
      </c>
      <c r="J221" s="88" cm="1">
        <f t="array" ref="J221">INDEX(Inputs_2!$F$6:$F$8,$G221)</f>
        <v>1</v>
      </c>
      <c r="K221" s="88">
        <f t="shared" si="9"/>
        <v>210</v>
      </c>
      <c r="L221" s="88">
        <f t="shared" si="10"/>
        <v>28</v>
      </c>
      <c r="M221" s="88">
        <f t="shared" si="11"/>
        <v>182</v>
      </c>
    </row>
    <row r="222" spans="2:13" x14ac:dyDescent="0.3">
      <c r="B222" s="76">
        <v>43267</v>
      </c>
      <c r="C222" s="33" t="s">
        <v>341</v>
      </c>
      <c r="D222" s="33" t="s">
        <v>123</v>
      </c>
      <c r="E222" s="33">
        <v>180</v>
      </c>
      <c r="F222" s="40">
        <v>180</v>
      </c>
      <c r="G222" s="87">
        <f>MATCH(D222, Inputs_2!$C$6:$C$8,0)</f>
        <v>1</v>
      </c>
      <c r="H222" s="87" t="str" cm="1">
        <f t="array" ref="H222">INDEX(Inputs_2!$D$6:$D$8,$G222)</f>
        <v>Meat Pie</v>
      </c>
      <c r="I222" s="88" cm="1">
        <f t="array" ref="I222">INDEX(Inputs_2!$E$6:$E$8,$G222)</f>
        <v>8</v>
      </c>
      <c r="J222" s="88" cm="1">
        <f t="array" ref="J222">INDEX(Inputs_2!$F$6:$F$8,$G222)</f>
        <v>1.2</v>
      </c>
      <c r="K222" s="88">
        <f t="shared" si="9"/>
        <v>1440</v>
      </c>
      <c r="L222" s="88">
        <f t="shared" si="10"/>
        <v>216</v>
      </c>
      <c r="M222" s="88">
        <f t="shared" si="11"/>
        <v>1224</v>
      </c>
    </row>
    <row r="223" spans="2:13" x14ac:dyDescent="0.3">
      <c r="B223" s="76">
        <v>43267</v>
      </c>
      <c r="C223" s="33" t="s">
        <v>341</v>
      </c>
      <c r="D223" s="33" t="s">
        <v>125</v>
      </c>
      <c r="E223" s="33">
        <v>75</v>
      </c>
      <c r="F223" s="40">
        <v>75</v>
      </c>
      <c r="G223" s="87">
        <f>MATCH(D223, Inputs_2!$C$6:$C$8,0)</f>
        <v>2</v>
      </c>
      <c r="H223" s="87" t="str" cm="1">
        <f t="array" ref="H223">INDEX(Inputs_2!$D$6:$D$8,$G223)</f>
        <v>Meat Pie</v>
      </c>
      <c r="I223" s="88" cm="1">
        <f t="array" ref="I223">INDEX(Inputs_2!$E$6:$E$8,$G223)</f>
        <v>8.5</v>
      </c>
      <c r="J223" s="88" cm="1">
        <f t="array" ref="J223">INDEX(Inputs_2!$F$6:$F$8,$G223)</f>
        <v>1.95</v>
      </c>
      <c r="K223" s="88">
        <f t="shared" si="9"/>
        <v>637.5</v>
      </c>
      <c r="L223" s="88">
        <f t="shared" si="10"/>
        <v>146.25</v>
      </c>
      <c r="M223" s="88">
        <f t="shared" si="11"/>
        <v>491.25</v>
      </c>
    </row>
    <row r="224" spans="2:13" x14ac:dyDescent="0.3">
      <c r="B224" s="76">
        <v>43267</v>
      </c>
      <c r="C224" s="33" t="s">
        <v>341</v>
      </c>
      <c r="D224" s="33" t="s">
        <v>126</v>
      </c>
      <c r="E224" s="33">
        <v>30</v>
      </c>
      <c r="F224" s="40">
        <v>30</v>
      </c>
      <c r="G224" s="87">
        <f>MATCH(D224, Inputs_2!$C$6:$C$8,0)</f>
        <v>3</v>
      </c>
      <c r="H224" s="87" t="str" cm="1">
        <f t="array" ref="H224">INDEX(Inputs_2!$D$6:$D$8,$G224)</f>
        <v>Veggie Pie</v>
      </c>
      <c r="I224" s="88" cm="1">
        <f t="array" ref="I224">INDEX(Inputs_2!$E$6:$E$8,$G224)</f>
        <v>7.5</v>
      </c>
      <c r="J224" s="88" cm="1">
        <f t="array" ref="J224">INDEX(Inputs_2!$F$6:$F$8,$G224)</f>
        <v>1</v>
      </c>
      <c r="K224" s="88">
        <f t="shared" si="9"/>
        <v>225</v>
      </c>
      <c r="L224" s="88">
        <f t="shared" si="10"/>
        <v>30</v>
      </c>
      <c r="M224" s="88">
        <f t="shared" si="11"/>
        <v>195</v>
      </c>
    </row>
    <row r="225" spans="2:13" x14ac:dyDescent="0.3">
      <c r="B225" s="76">
        <v>43270</v>
      </c>
      <c r="C225" s="33" t="s">
        <v>341</v>
      </c>
      <c r="D225" s="33" t="s">
        <v>123</v>
      </c>
      <c r="E225" s="33">
        <v>180</v>
      </c>
      <c r="F225" s="40">
        <v>180</v>
      </c>
      <c r="G225" s="87">
        <f>MATCH(D225, Inputs_2!$C$6:$C$8,0)</f>
        <v>1</v>
      </c>
      <c r="H225" s="87" t="str" cm="1">
        <f t="array" ref="H225">INDEX(Inputs_2!$D$6:$D$8,$G225)</f>
        <v>Meat Pie</v>
      </c>
      <c r="I225" s="88" cm="1">
        <f t="array" ref="I225">INDEX(Inputs_2!$E$6:$E$8,$G225)</f>
        <v>8</v>
      </c>
      <c r="J225" s="88" cm="1">
        <f t="array" ref="J225">INDEX(Inputs_2!$F$6:$F$8,$G225)</f>
        <v>1.2</v>
      </c>
      <c r="K225" s="88">
        <f t="shared" si="9"/>
        <v>1440</v>
      </c>
      <c r="L225" s="88">
        <f t="shared" si="10"/>
        <v>216</v>
      </c>
      <c r="M225" s="88">
        <f t="shared" si="11"/>
        <v>1224</v>
      </c>
    </row>
    <row r="226" spans="2:13" x14ac:dyDescent="0.3">
      <c r="B226" s="76">
        <v>43270</v>
      </c>
      <c r="C226" s="33" t="s">
        <v>341</v>
      </c>
      <c r="D226" s="33" t="s">
        <v>125</v>
      </c>
      <c r="E226" s="33">
        <v>75</v>
      </c>
      <c r="F226" s="40">
        <v>70</v>
      </c>
      <c r="G226" s="87">
        <f>MATCH(D226, Inputs_2!$C$6:$C$8,0)</f>
        <v>2</v>
      </c>
      <c r="H226" s="87" t="str" cm="1">
        <f t="array" ref="H226">INDEX(Inputs_2!$D$6:$D$8,$G226)</f>
        <v>Meat Pie</v>
      </c>
      <c r="I226" s="88" cm="1">
        <f t="array" ref="I226">INDEX(Inputs_2!$E$6:$E$8,$G226)</f>
        <v>8.5</v>
      </c>
      <c r="J226" s="88" cm="1">
        <f t="array" ref="J226">INDEX(Inputs_2!$F$6:$F$8,$G226)</f>
        <v>1.95</v>
      </c>
      <c r="K226" s="88">
        <f t="shared" si="9"/>
        <v>595</v>
      </c>
      <c r="L226" s="88">
        <f t="shared" si="10"/>
        <v>136.5</v>
      </c>
      <c r="M226" s="88">
        <f t="shared" si="11"/>
        <v>458.5</v>
      </c>
    </row>
    <row r="227" spans="2:13" x14ac:dyDescent="0.3">
      <c r="B227" s="76">
        <v>43270</v>
      </c>
      <c r="C227" s="33" t="s">
        <v>341</v>
      </c>
      <c r="D227" s="33" t="s">
        <v>126</v>
      </c>
      <c r="E227" s="33">
        <v>30</v>
      </c>
      <c r="F227" s="40">
        <v>21</v>
      </c>
      <c r="G227" s="87">
        <f>MATCH(D227, Inputs_2!$C$6:$C$8,0)</f>
        <v>3</v>
      </c>
      <c r="H227" s="87" t="str" cm="1">
        <f t="array" ref="H227">INDEX(Inputs_2!$D$6:$D$8,$G227)</f>
        <v>Veggie Pie</v>
      </c>
      <c r="I227" s="88" cm="1">
        <f t="array" ref="I227">INDEX(Inputs_2!$E$6:$E$8,$G227)</f>
        <v>7.5</v>
      </c>
      <c r="J227" s="88" cm="1">
        <f t="array" ref="J227">INDEX(Inputs_2!$F$6:$F$8,$G227)</f>
        <v>1</v>
      </c>
      <c r="K227" s="88">
        <f t="shared" si="9"/>
        <v>157.5</v>
      </c>
      <c r="L227" s="88">
        <f t="shared" si="10"/>
        <v>21</v>
      </c>
      <c r="M227" s="88">
        <f t="shared" si="11"/>
        <v>136.5</v>
      </c>
    </row>
    <row r="228" spans="2:13" x14ac:dyDescent="0.3">
      <c r="B228" s="76">
        <v>43272</v>
      </c>
      <c r="C228" s="33" t="s">
        <v>341</v>
      </c>
      <c r="D228" s="33" t="s">
        <v>123</v>
      </c>
      <c r="E228" s="33">
        <v>180</v>
      </c>
      <c r="F228" s="40">
        <v>180</v>
      </c>
      <c r="G228" s="87">
        <f>MATCH(D228, Inputs_2!$C$6:$C$8,0)</f>
        <v>1</v>
      </c>
      <c r="H228" s="87" t="str" cm="1">
        <f t="array" ref="H228">INDEX(Inputs_2!$D$6:$D$8,$G228)</f>
        <v>Meat Pie</v>
      </c>
      <c r="I228" s="88" cm="1">
        <f t="array" ref="I228">INDEX(Inputs_2!$E$6:$E$8,$G228)</f>
        <v>8</v>
      </c>
      <c r="J228" s="88" cm="1">
        <f t="array" ref="J228">INDEX(Inputs_2!$F$6:$F$8,$G228)</f>
        <v>1.2</v>
      </c>
      <c r="K228" s="88">
        <f t="shared" si="9"/>
        <v>1440</v>
      </c>
      <c r="L228" s="88">
        <f t="shared" si="10"/>
        <v>216</v>
      </c>
      <c r="M228" s="88">
        <f t="shared" si="11"/>
        <v>1224</v>
      </c>
    </row>
    <row r="229" spans="2:13" x14ac:dyDescent="0.3">
      <c r="B229" s="76">
        <v>43272</v>
      </c>
      <c r="C229" s="33" t="s">
        <v>341</v>
      </c>
      <c r="D229" s="33" t="s">
        <v>125</v>
      </c>
      <c r="E229" s="33">
        <v>75</v>
      </c>
      <c r="F229" s="40">
        <v>70</v>
      </c>
      <c r="G229" s="87">
        <f>MATCH(D229, Inputs_2!$C$6:$C$8,0)</f>
        <v>2</v>
      </c>
      <c r="H229" s="87" t="str" cm="1">
        <f t="array" ref="H229">INDEX(Inputs_2!$D$6:$D$8,$G229)</f>
        <v>Meat Pie</v>
      </c>
      <c r="I229" s="88" cm="1">
        <f t="array" ref="I229">INDEX(Inputs_2!$E$6:$E$8,$G229)</f>
        <v>8.5</v>
      </c>
      <c r="J229" s="88" cm="1">
        <f t="array" ref="J229">INDEX(Inputs_2!$F$6:$F$8,$G229)</f>
        <v>1.95</v>
      </c>
      <c r="K229" s="88">
        <f t="shared" si="9"/>
        <v>595</v>
      </c>
      <c r="L229" s="88">
        <f t="shared" si="10"/>
        <v>136.5</v>
      </c>
      <c r="M229" s="88">
        <f t="shared" si="11"/>
        <v>458.5</v>
      </c>
    </row>
    <row r="230" spans="2:13" x14ac:dyDescent="0.3">
      <c r="B230" s="76">
        <v>43272</v>
      </c>
      <c r="C230" s="33" t="s">
        <v>341</v>
      </c>
      <c r="D230" s="33" t="s">
        <v>126</v>
      </c>
      <c r="E230" s="33">
        <v>30</v>
      </c>
      <c r="F230" s="40">
        <v>25</v>
      </c>
      <c r="G230" s="87">
        <f>MATCH(D230, Inputs_2!$C$6:$C$8,0)</f>
        <v>3</v>
      </c>
      <c r="H230" s="87" t="str" cm="1">
        <f t="array" ref="H230">INDEX(Inputs_2!$D$6:$D$8,$G230)</f>
        <v>Veggie Pie</v>
      </c>
      <c r="I230" s="88" cm="1">
        <f t="array" ref="I230">INDEX(Inputs_2!$E$6:$E$8,$G230)</f>
        <v>7.5</v>
      </c>
      <c r="J230" s="88" cm="1">
        <f t="array" ref="J230">INDEX(Inputs_2!$F$6:$F$8,$G230)</f>
        <v>1</v>
      </c>
      <c r="K230" s="88">
        <f t="shared" si="9"/>
        <v>187.5</v>
      </c>
      <c r="L230" s="88">
        <f t="shared" si="10"/>
        <v>25</v>
      </c>
      <c r="M230" s="88">
        <f t="shared" si="11"/>
        <v>162.5</v>
      </c>
    </row>
    <row r="231" spans="2:13" x14ac:dyDescent="0.3">
      <c r="B231" s="76">
        <v>43274</v>
      </c>
      <c r="C231" s="33" t="s">
        <v>341</v>
      </c>
      <c r="D231" s="33" t="s">
        <v>123</v>
      </c>
      <c r="E231" s="33">
        <v>180</v>
      </c>
      <c r="F231" s="40">
        <v>180</v>
      </c>
      <c r="G231" s="87">
        <f>MATCH(D231, Inputs_2!$C$6:$C$8,0)</f>
        <v>1</v>
      </c>
      <c r="H231" s="87" t="str" cm="1">
        <f t="array" ref="H231">INDEX(Inputs_2!$D$6:$D$8,$G231)</f>
        <v>Meat Pie</v>
      </c>
      <c r="I231" s="88" cm="1">
        <f t="array" ref="I231">INDEX(Inputs_2!$E$6:$E$8,$G231)</f>
        <v>8</v>
      </c>
      <c r="J231" s="88" cm="1">
        <f t="array" ref="J231">INDEX(Inputs_2!$F$6:$F$8,$G231)</f>
        <v>1.2</v>
      </c>
      <c r="K231" s="88">
        <f t="shared" si="9"/>
        <v>1440</v>
      </c>
      <c r="L231" s="88">
        <f t="shared" si="10"/>
        <v>216</v>
      </c>
      <c r="M231" s="88">
        <f t="shared" si="11"/>
        <v>1224</v>
      </c>
    </row>
    <row r="232" spans="2:13" x14ac:dyDescent="0.3">
      <c r="B232" s="76">
        <v>43274</v>
      </c>
      <c r="C232" s="33" t="s">
        <v>341</v>
      </c>
      <c r="D232" s="33" t="s">
        <v>125</v>
      </c>
      <c r="E232" s="33">
        <v>75</v>
      </c>
      <c r="F232" s="40">
        <v>75</v>
      </c>
      <c r="G232" s="87">
        <f>MATCH(D232, Inputs_2!$C$6:$C$8,0)</f>
        <v>2</v>
      </c>
      <c r="H232" s="87" t="str" cm="1">
        <f t="array" ref="H232">INDEX(Inputs_2!$D$6:$D$8,$G232)</f>
        <v>Meat Pie</v>
      </c>
      <c r="I232" s="88" cm="1">
        <f t="array" ref="I232">INDEX(Inputs_2!$E$6:$E$8,$G232)</f>
        <v>8.5</v>
      </c>
      <c r="J232" s="88" cm="1">
        <f t="array" ref="J232">INDEX(Inputs_2!$F$6:$F$8,$G232)</f>
        <v>1.95</v>
      </c>
      <c r="K232" s="88">
        <f t="shared" si="9"/>
        <v>637.5</v>
      </c>
      <c r="L232" s="88">
        <f t="shared" si="10"/>
        <v>146.25</v>
      </c>
      <c r="M232" s="88">
        <f t="shared" si="11"/>
        <v>491.25</v>
      </c>
    </row>
    <row r="233" spans="2:13" x14ac:dyDescent="0.3">
      <c r="B233" s="76">
        <v>43274</v>
      </c>
      <c r="C233" s="33" t="s">
        <v>341</v>
      </c>
      <c r="D233" s="33" t="s">
        <v>126</v>
      </c>
      <c r="E233" s="33">
        <v>30</v>
      </c>
      <c r="F233" s="40">
        <v>30</v>
      </c>
      <c r="G233" s="87">
        <f>MATCH(D233, Inputs_2!$C$6:$C$8,0)</f>
        <v>3</v>
      </c>
      <c r="H233" s="87" t="str" cm="1">
        <f t="array" ref="H233">INDEX(Inputs_2!$D$6:$D$8,$G233)</f>
        <v>Veggie Pie</v>
      </c>
      <c r="I233" s="88" cm="1">
        <f t="array" ref="I233">INDEX(Inputs_2!$E$6:$E$8,$G233)</f>
        <v>7.5</v>
      </c>
      <c r="J233" s="88" cm="1">
        <f t="array" ref="J233">INDEX(Inputs_2!$F$6:$F$8,$G233)</f>
        <v>1</v>
      </c>
      <c r="K233" s="88">
        <f t="shared" si="9"/>
        <v>225</v>
      </c>
      <c r="L233" s="88">
        <f t="shared" si="10"/>
        <v>30</v>
      </c>
      <c r="M233" s="88">
        <f t="shared" si="11"/>
        <v>195</v>
      </c>
    </row>
    <row r="234" spans="2:13" x14ac:dyDescent="0.3">
      <c r="B234" s="76">
        <v>43277</v>
      </c>
      <c r="C234" s="33" t="s">
        <v>341</v>
      </c>
      <c r="D234" s="33" t="s">
        <v>123</v>
      </c>
      <c r="E234" s="33">
        <v>180</v>
      </c>
      <c r="F234" s="40">
        <v>180</v>
      </c>
      <c r="G234" s="87">
        <f>MATCH(D234, Inputs_2!$C$6:$C$8,0)</f>
        <v>1</v>
      </c>
      <c r="H234" s="87" t="str" cm="1">
        <f t="array" ref="H234">INDEX(Inputs_2!$D$6:$D$8,$G234)</f>
        <v>Meat Pie</v>
      </c>
      <c r="I234" s="88" cm="1">
        <f t="array" ref="I234">INDEX(Inputs_2!$E$6:$E$8,$G234)</f>
        <v>8</v>
      </c>
      <c r="J234" s="88" cm="1">
        <f t="array" ref="J234">INDEX(Inputs_2!$F$6:$F$8,$G234)</f>
        <v>1.2</v>
      </c>
      <c r="K234" s="88">
        <f t="shared" si="9"/>
        <v>1440</v>
      </c>
      <c r="L234" s="88">
        <f t="shared" si="10"/>
        <v>216</v>
      </c>
      <c r="M234" s="88">
        <f t="shared" si="11"/>
        <v>1224</v>
      </c>
    </row>
    <row r="235" spans="2:13" x14ac:dyDescent="0.3">
      <c r="B235" s="76">
        <v>43277</v>
      </c>
      <c r="C235" s="33" t="s">
        <v>341</v>
      </c>
      <c r="D235" s="33" t="s">
        <v>125</v>
      </c>
      <c r="E235" s="33">
        <v>75</v>
      </c>
      <c r="F235" s="40">
        <v>73</v>
      </c>
      <c r="G235" s="87">
        <f>MATCH(D235, Inputs_2!$C$6:$C$8,0)</f>
        <v>2</v>
      </c>
      <c r="H235" s="87" t="str" cm="1">
        <f t="array" ref="H235">INDEX(Inputs_2!$D$6:$D$8,$G235)</f>
        <v>Meat Pie</v>
      </c>
      <c r="I235" s="88" cm="1">
        <f t="array" ref="I235">INDEX(Inputs_2!$E$6:$E$8,$G235)</f>
        <v>8.5</v>
      </c>
      <c r="J235" s="88" cm="1">
        <f t="array" ref="J235">INDEX(Inputs_2!$F$6:$F$8,$G235)</f>
        <v>1.95</v>
      </c>
      <c r="K235" s="88">
        <f t="shared" si="9"/>
        <v>620.5</v>
      </c>
      <c r="L235" s="88">
        <f t="shared" si="10"/>
        <v>142.35</v>
      </c>
      <c r="M235" s="88">
        <f t="shared" si="11"/>
        <v>478.15</v>
      </c>
    </row>
    <row r="236" spans="2:13" x14ac:dyDescent="0.3">
      <c r="B236" s="76">
        <v>43277</v>
      </c>
      <c r="C236" s="33" t="s">
        <v>341</v>
      </c>
      <c r="D236" s="33" t="s">
        <v>126</v>
      </c>
      <c r="E236" s="33">
        <v>30</v>
      </c>
      <c r="F236" s="40">
        <v>27</v>
      </c>
      <c r="G236" s="87">
        <f>MATCH(D236, Inputs_2!$C$6:$C$8,0)</f>
        <v>3</v>
      </c>
      <c r="H236" s="87" t="str" cm="1">
        <f t="array" ref="H236">INDEX(Inputs_2!$D$6:$D$8,$G236)</f>
        <v>Veggie Pie</v>
      </c>
      <c r="I236" s="88" cm="1">
        <f t="array" ref="I236">INDEX(Inputs_2!$E$6:$E$8,$G236)</f>
        <v>7.5</v>
      </c>
      <c r="J236" s="88" cm="1">
        <f t="array" ref="J236">INDEX(Inputs_2!$F$6:$F$8,$G236)</f>
        <v>1</v>
      </c>
      <c r="K236" s="88">
        <f t="shared" si="9"/>
        <v>202.5</v>
      </c>
      <c r="L236" s="88">
        <f t="shared" si="10"/>
        <v>27</v>
      </c>
      <c r="M236" s="88">
        <f t="shared" si="11"/>
        <v>175.5</v>
      </c>
    </row>
    <row r="237" spans="2:13" x14ac:dyDescent="0.3">
      <c r="B237" s="76">
        <v>43279</v>
      </c>
      <c r="C237" s="33" t="s">
        <v>341</v>
      </c>
      <c r="D237" s="33" t="s">
        <v>123</v>
      </c>
      <c r="E237" s="33">
        <v>180</v>
      </c>
      <c r="F237" s="40">
        <v>180</v>
      </c>
      <c r="G237" s="87">
        <f>MATCH(D237, Inputs_2!$C$6:$C$8,0)</f>
        <v>1</v>
      </c>
      <c r="H237" s="87" t="str" cm="1">
        <f t="array" ref="H237">INDEX(Inputs_2!$D$6:$D$8,$G237)</f>
        <v>Meat Pie</v>
      </c>
      <c r="I237" s="88" cm="1">
        <f t="array" ref="I237">INDEX(Inputs_2!$E$6:$E$8,$G237)</f>
        <v>8</v>
      </c>
      <c r="J237" s="88" cm="1">
        <f t="array" ref="J237">INDEX(Inputs_2!$F$6:$F$8,$G237)</f>
        <v>1.2</v>
      </c>
      <c r="K237" s="88">
        <f t="shared" si="9"/>
        <v>1440</v>
      </c>
      <c r="L237" s="88">
        <f t="shared" si="10"/>
        <v>216</v>
      </c>
      <c r="M237" s="88">
        <f t="shared" si="11"/>
        <v>1224</v>
      </c>
    </row>
    <row r="238" spans="2:13" x14ac:dyDescent="0.3">
      <c r="B238" s="76">
        <v>43279</v>
      </c>
      <c r="C238" s="33" t="s">
        <v>341</v>
      </c>
      <c r="D238" s="33" t="s">
        <v>125</v>
      </c>
      <c r="E238" s="33">
        <v>75</v>
      </c>
      <c r="F238" s="40">
        <v>75</v>
      </c>
      <c r="G238" s="87">
        <f>MATCH(D238, Inputs_2!$C$6:$C$8,0)</f>
        <v>2</v>
      </c>
      <c r="H238" s="87" t="str" cm="1">
        <f t="array" ref="H238">INDEX(Inputs_2!$D$6:$D$8,$G238)</f>
        <v>Meat Pie</v>
      </c>
      <c r="I238" s="88" cm="1">
        <f t="array" ref="I238">INDEX(Inputs_2!$E$6:$E$8,$G238)</f>
        <v>8.5</v>
      </c>
      <c r="J238" s="88" cm="1">
        <f t="array" ref="J238">INDEX(Inputs_2!$F$6:$F$8,$G238)</f>
        <v>1.95</v>
      </c>
      <c r="K238" s="88">
        <f t="shared" si="9"/>
        <v>637.5</v>
      </c>
      <c r="L238" s="88">
        <f t="shared" si="10"/>
        <v>146.25</v>
      </c>
      <c r="M238" s="88">
        <f t="shared" si="11"/>
        <v>491.25</v>
      </c>
    </row>
    <row r="239" spans="2:13" x14ac:dyDescent="0.3">
      <c r="B239" s="76">
        <v>43279</v>
      </c>
      <c r="C239" s="33" t="s">
        <v>341</v>
      </c>
      <c r="D239" s="33" t="s">
        <v>126</v>
      </c>
      <c r="E239" s="33">
        <v>30</v>
      </c>
      <c r="F239" s="40">
        <v>29</v>
      </c>
      <c r="G239" s="87">
        <f>MATCH(D239, Inputs_2!$C$6:$C$8,0)</f>
        <v>3</v>
      </c>
      <c r="H239" s="87" t="str" cm="1">
        <f t="array" ref="H239">INDEX(Inputs_2!$D$6:$D$8,$G239)</f>
        <v>Veggie Pie</v>
      </c>
      <c r="I239" s="88" cm="1">
        <f t="array" ref="I239">INDEX(Inputs_2!$E$6:$E$8,$G239)</f>
        <v>7.5</v>
      </c>
      <c r="J239" s="88" cm="1">
        <f t="array" ref="J239">INDEX(Inputs_2!$F$6:$F$8,$G239)</f>
        <v>1</v>
      </c>
      <c r="K239" s="88">
        <f t="shared" si="9"/>
        <v>217.5</v>
      </c>
      <c r="L239" s="88">
        <f t="shared" si="10"/>
        <v>29</v>
      </c>
      <c r="M239" s="88">
        <f t="shared" si="11"/>
        <v>188.5</v>
      </c>
    </row>
    <row r="240" spans="2:13" x14ac:dyDescent="0.3">
      <c r="B240" s="76">
        <v>43281</v>
      </c>
      <c r="C240" s="33" t="s">
        <v>341</v>
      </c>
      <c r="D240" s="33" t="s">
        <v>123</v>
      </c>
      <c r="E240" s="33">
        <v>180</v>
      </c>
      <c r="F240" s="40">
        <v>180</v>
      </c>
      <c r="G240" s="87">
        <f>MATCH(D240, Inputs_2!$C$6:$C$8,0)</f>
        <v>1</v>
      </c>
      <c r="H240" s="87" t="str" cm="1">
        <f t="array" ref="H240">INDEX(Inputs_2!$D$6:$D$8,$G240)</f>
        <v>Meat Pie</v>
      </c>
      <c r="I240" s="88" cm="1">
        <f t="array" ref="I240">INDEX(Inputs_2!$E$6:$E$8,$G240)</f>
        <v>8</v>
      </c>
      <c r="J240" s="88" cm="1">
        <f t="array" ref="J240">INDEX(Inputs_2!$F$6:$F$8,$G240)</f>
        <v>1.2</v>
      </c>
      <c r="K240" s="88">
        <f t="shared" si="9"/>
        <v>1440</v>
      </c>
      <c r="L240" s="88">
        <f t="shared" si="10"/>
        <v>216</v>
      </c>
      <c r="M240" s="88">
        <f t="shared" si="11"/>
        <v>1224</v>
      </c>
    </row>
    <row r="241" spans="2:13" x14ac:dyDescent="0.3">
      <c r="B241" s="76">
        <v>43281</v>
      </c>
      <c r="C241" s="33" t="s">
        <v>341</v>
      </c>
      <c r="D241" s="33" t="s">
        <v>125</v>
      </c>
      <c r="E241" s="33">
        <v>75</v>
      </c>
      <c r="F241" s="40">
        <v>75</v>
      </c>
      <c r="G241" s="87">
        <f>MATCH(D241, Inputs_2!$C$6:$C$8,0)</f>
        <v>2</v>
      </c>
      <c r="H241" s="87" t="str" cm="1">
        <f t="array" ref="H241">INDEX(Inputs_2!$D$6:$D$8,$G241)</f>
        <v>Meat Pie</v>
      </c>
      <c r="I241" s="88" cm="1">
        <f t="array" ref="I241">INDEX(Inputs_2!$E$6:$E$8,$G241)</f>
        <v>8.5</v>
      </c>
      <c r="J241" s="88" cm="1">
        <f t="array" ref="J241">INDEX(Inputs_2!$F$6:$F$8,$G241)</f>
        <v>1.95</v>
      </c>
      <c r="K241" s="88">
        <f t="shared" si="9"/>
        <v>637.5</v>
      </c>
      <c r="L241" s="88">
        <f t="shared" si="10"/>
        <v>146.25</v>
      </c>
      <c r="M241" s="88">
        <f t="shared" si="11"/>
        <v>491.25</v>
      </c>
    </row>
    <row r="242" spans="2:13" x14ac:dyDescent="0.3">
      <c r="B242" s="76">
        <v>43281</v>
      </c>
      <c r="C242" s="33" t="s">
        <v>341</v>
      </c>
      <c r="D242" s="33" t="s">
        <v>126</v>
      </c>
      <c r="E242" s="33">
        <v>30</v>
      </c>
      <c r="F242" s="40">
        <v>30</v>
      </c>
      <c r="G242" s="87">
        <f>MATCH(D242, Inputs_2!$C$6:$C$8,0)</f>
        <v>3</v>
      </c>
      <c r="H242" s="87" t="str" cm="1">
        <f t="array" ref="H242">INDEX(Inputs_2!$D$6:$D$8,$G242)</f>
        <v>Veggie Pie</v>
      </c>
      <c r="I242" s="88" cm="1">
        <f t="array" ref="I242">INDEX(Inputs_2!$E$6:$E$8,$G242)</f>
        <v>7.5</v>
      </c>
      <c r="J242" s="88" cm="1">
        <f t="array" ref="J242">INDEX(Inputs_2!$F$6:$F$8,$G242)</f>
        <v>1</v>
      </c>
      <c r="K242" s="88">
        <f t="shared" si="9"/>
        <v>225</v>
      </c>
      <c r="L242" s="88">
        <f t="shared" si="10"/>
        <v>30</v>
      </c>
      <c r="M242" s="88">
        <f t="shared" si="11"/>
        <v>195</v>
      </c>
    </row>
    <row r="243" spans="2:13" x14ac:dyDescent="0.3">
      <c r="E243" s="89"/>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6397B-15FF-47B7-92D8-F511BFF21E1D}">
  <sheetPr>
    <pageSetUpPr fitToPage="1"/>
  </sheetPr>
  <dimension ref="A1:L300"/>
  <sheetViews>
    <sheetView showGridLines="0" zoomScaleNormal="100" workbookViewId="0">
      <pane ySplit="1" topLeftCell="A2" activePane="bottomLeft" state="frozen"/>
      <selection activeCell="C202" sqref="C202:F214"/>
      <selection pane="bottomLeft"/>
    </sheetView>
  </sheetViews>
  <sheetFormatPr defaultColWidth="0" defaultRowHeight="16.8" x14ac:dyDescent="0.3"/>
  <cols>
    <col min="1" max="2" width="3.6640625" style="21" customWidth="1"/>
    <col min="3" max="4" width="14.109375" style="21" customWidth="1"/>
    <col min="5" max="8" width="16" style="21" customWidth="1"/>
    <col min="9" max="9" width="59.44140625" style="21" customWidth="1"/>
    <col min="10" max="10" width="78.77734375" style="21" customWidth="1"/>
    <col min="11" max="11" width="10" style="21" hidden="1" customWidth="1"/>
    <col min="12" max="12" width="10.44140625" style="21" hidden="1" customWidth="1"/>
    <col min="13" max="16384" width="8.77734375" style="21" hidden="1"/>
  </cols>
  <sheetData>
    <row r="1" spans="1:10" s="52" customFormat="1" ht="49.95" customHeight="1" x14ac:dyDescent="0.3">
      <c r="A1" s="49"/>
      <c r="B1" s="50" t="s">
        <v>368</v>
      </c>
      <c r="C1" s="49"/>
      <c r="D1" s="49"/>
      <c r="E1" s="49"/>
      <c r="F1" s="51"/>
      <c r="G1" s="51"/>
      <c r="H1" s="51"/>
      <c r="I1" s="51"/>
      <c r="J1" s="51"/>
    </row>
    <row r="2" spans="1:10" ht="12" customHeight="1" x14ac:dyDescent="0.3"/>
    <row r="3" spans="1:10" ht="21" x14ac:dyDescent="0.5">
      <c r="B3" s="53" t="s">
        <v>369</v>
      </c>
      <c r="C3" s="53"/>
    </row>
    <row r="4" spans="1:10" ht="12" customHeight="1" x14ac:dyDescent="0.5">
      <c r="B4" s="53"/>
      <c r="C4" s="53"/>
    </row>
    <row r="5" spans="1:10" ht="21" x14ac:dyDescent="0.5">
      <c r="B5" s="53"/>
      <c r="C5" s="53" t="s">
        <v>370</v>
      </c>
    </row>
    <row r="6" spans="1:10" ht="21" x14ac:dyDescent="0.5">
      <c r="B6" s="53"/>
      <c r="C6" s="53" t="s">
        <v>371</v>
      </c>
    </row>
    <row r="7" spans="1:10" ht="21" x14ac:dyDescent="0.5">
      <c r="B7" s="53"/>
      <c r="C7" s="53" t="s">
        <v>372</v>
      </c>
    </row>
    <row r="8" spans="1:10" ht="21" x14ac:dyDescent="0.5">
      <c r="B8" s="53"/>
      <c r="C8" s="53" t="s">
        <v>373</v>
      </c>
    </row>
    <row r="9" spans="1:10" ht="21" x14ac:dyDescent="0.5">
      <c r="B9" s="53"/>
      <c r="C9" s="53" t="s">
        <v>374</v>
      </c>
    </row>
    <row r="11" spans="1:10" s="52" customFormat="1" ht="21" x14ac:dyDescent="0.5">
      <c r="A11" s="55"/>
      <c r="B11" s="56" t="s">
        <v>7</v>
      </c>
      <c r="C11" s="55"/>
      <c r="D11" s="55"/>
      <c r="E11" s="55"/>
      <c r="F11" s="57"/>
      <c r="G11" s="57"/>
      <c r="H11" s="57"/>
      <c r="I11" s="57"/>
      <c r="J11" s="57"/>
    </row>
    <row r="12" spans="1:10" x14ac:dyDescent="0.3">
      <c r="C12" s="21" t="s">
        <v>375</v>
      </c>
    </row>
    <row r="13" spans="1:10" x14ac:dyDescent="0.3">
      <c r="C13" s="21" t="s">
        <v>376</v>
      </c>
    </row>
    <row r="14" spans="1:10" x14ac:dyDescent="0.3">
      <c r="C14" s="21" t="s">
        <v>377</v>
      </c>
    </row>
    <row r="16" spans="1:10" s="52" customFormat="1" ht="21" x14ac:dyDescent="0.5">
      <c r="A16" s="55"/>
      <c r="B16" s="56" t="s">
        <v>378</v>
      </c>
      <c r="C16" s="55"/>
      <c r="D16" s="55"/>
      <c r="E16" s="55"/>
      <c r="F16" s="57"/>
      <c r="G16" s="57"/>
      <c r="H16" s="57"/>
      <c r="I16" s="57"/>
      <c r="J16" s="57"/>
    </row>
    <row r="18" spans="2:10" x14ac:dyDescent="0.3">
      <c r="C18" s="21" t="s">
        <v>379</v>
      </c>
    </row>
    <row r="19" spans="2:10" x14ac:dyDescent="0.3">
      <c r="B19" s="37"/>
      <c r="C19" s="21" t="s">
        <v>380</v>
      </c>
    </row>
    <row r="20" spans="2:10" x14ac:dyDescent="0.3">
      <c r="B20" s="37"/>
    </row>
    <row r="21" spans="2:10" x14ac:dyDescent="0.3">
      <c r="B21" s="37"/>
    </row>
    <row r="22" spans="2:10" x14ac:dyDescent="0.3">
      <c r="C22" s="74" t="s">
        <v>310</v>
      </c>
      <c r="D22" s="74" t="s">
        <v>381</v>
      </c>
      <c r="E22" s="74" t="s">
        <v>28</v>
      </c>
      <c r="F22" s="74" t="s">
        <v>113</v>
      </c>
      <c r="J22" s="83"/>
    </row>
    <row r="23" spans="2:10" x14ac:dyDescent="0.3">
      <c r="C23" s="98" t="s">
        <v>349</v>
      </c>
      <c r="D23" s="98" t="s">
        <v>165</v>
      </c>
      <c r="E23" s="98" t="s">
        <v>123</v>
      </c>
      <c r="F23" s="11">
        <v>871</v>
      </c>
    </row>
    <row r="24" spans="2:10" x14ac:dyDescent="0.3">
      <c r="C24" s="98" t="s">
        <v>349</v>
      </c>
      <c r="D24" s="98" t="s">
        <v>165</v>
      </c>
      <c r="E24" s="98" t="s">
        <v>125</v>
      </c>
      <c r="F24" s="11">
        <v>357</v>
      </c>
    </row>
    <row r="25" spans="2:10" x14ac:dyDescent="0.3">
      <c r="C25" s="98" t="s">
        <v>349</v>
      </c>
      <c r="D25" s="98" t="s">
        <v>165</v>
      </c>
      <c r="E25" s="98" t="s">
        <v>126</v>
      </c>
      <c r="F25" s="11">
        <v>136</v>
      </c>
    </row>
    <row r="26" spans="2:10" x14ac:dyDescent="0.3">
      <c r="C26" s="98" t="s">
        <v>349</v>
      </c>
      <c r="D26" s="98" t="s">
        <v>167</v>
      </c>
      <c r="E26" s="98" t="s">
        <v>123</v>
      </c>
      <c r="F26" s="11">
        <v>708</v>
      </c>
    </row>
    <row r="27" spans="2:10" x14ac:dyDescent="0.3">
      <c r="C27" s="98" t="s">
        <v>349</v>
      </c>
      <c r="D27" s="98" t="s">
        <v>167</v>
      </c>
      <c r="E27" s="98" t="s">
        <v>125</v>
      </c>
      <c r="F27" s="11">
        <v>280</v>
      </c>
    </row>
    <row r="28" spans="2:10" x14ac:dyDescent="0.3">
      <c r="C28" s="98" t="s">
        <v>349</v>
      </c>
      <c r="D28" s="98" t="s">
        <v>167</v>
      </c>
      <c r="E28" s="98" t="s">
        <v>126</v>
      </c>
      <c r="F28" s="11">
        <v>110</v>
      </c>
    </row>
    <row r="29" spans="2:10" x14ac:dyDescent="0.3">
      <c r="C29" s="98" t="s">
        <v>349</v>
      </c>
      <c r="D29" s="98" t="s">
        <v>169</v>
      </c>
      <c r="E29" s="98" t="s">
        <v>123</v>
      </c>
      <c r="F29" s="11">
        <v>714</v>
      </c>
    </row>
    <row r="30" spans="2:10" x14ac:dyDescent="0.3">
      <c r="C30" s="98" t="s">
        <v>349</v>
      </c>
      <c r="D30" s="98" t="s">
        <v>169</v>
      </c>
      <c r="E30" s="98" t="s">
        <v>125</v>
      </c>
      <c r="F30" s="11">
        <v>291</v>
      </c>
    </row>
    <row r="31" spans="2:10" x14ac:dyDescent="0.3">
      <c r="C31" s="98" t="s">
        <v>349</v>
      </c>
      <c r="D31" s="98" t="s">
        <v>169</v>
      </c>
      <c r="E31" s="98" t="s">
        <v>126</v>
      </c>
      <c r="F31" s="11">
        <v>111</v>
      </c>
    </row>
    <row r="32" spans="2:10" x14ac:dyDescent="0.3">
      <c r="C32" s="98" t="s">
        <v>350</v>
      </c>
      <c r="D32" s="98" t="s">
        <v>165</v>
      </c>
      <c r="E32" s="98" t="s">
        <v>123</v>
      </c>
      <c r="F32" s="11">
        <v>685</v>
      </c>
    </row>
    <row r="33" spans="3:6" x14ac:dyDescent="0.3">
      <c r="C33" s="98" t="s">
        <v>350</v>
      </c>
      <c r="D33" s="98" t="s">
        <v>165</v>
      </c>
      <c r="E33" s="98" t="s">
        <v>125</v>
      </c>
      <c r="F33" s="11">
        <v>271</v>
      </c>
    </row>
    <row r="34" spans="3:6" x14ac:dyDescent="0.3">
      <c r="C34" s="98" t="s">
        <v>350</v>
      </c>
      <c r="D34" s="98" t="s">
        <v>165</v>
      </c>
      <c r="E34" s="98" t="s">
        <v>126</v>
      </c>
      <c r="F34" s="11">
        <v>100</v>
      </c>
    </row>
    <row r="35" spans="3:6" x14ac:dyDescent="0.3">
      <c r="C35" s="98" t="s">
        <v>350</v>
      </c>
      <c r="D35" s="98" t="s">
        <v>167</v>
      </c>
      <c r="E35" s="98" t="s">
        <v>123</v>
      </c>
      <c r="F35" s="11">
        <v>714</v>
      </c>
    </row>
    <row r="36" spans="3:6" x14ac:dyDescent="0.3">
      <c r="C36" s="98" t="s">
        <v>350</v>
      </c>
      <c r="D36" s="98" t="s">
        <v>167</v>
      </c>
      <c r="E36" s="98" t="s">
        <v>125</v>
      </c>
      <c r="F36" s="11">
        <v>291</v>
      </c>
    </row>
    <row r="37" spans="3:6" x14ac:dyDescent="0.3">
      <c r="C37" s="98" t="s">
        <v>350</v>
      </c>
      <c r="D37" s="98" t="s">
        <v>167</v>
      </c>
      <c r="E37" s="98" t="s">
        <v>126</v>
      </c>
      <c r="F37" s="11">
        <v>100</v>
      </c>
    </row>
    <row r="38" spans="3:6" x14ac:dyDescent="0.3">
      <c r="C38" s="98" t="s">
        <v>350</v>
      </c>
      <c r="D38" s="98" t="s">
        <v>169</v>
      </c>
      <c r="E38" s="98" t="s">
        <v>123</v>
      </c>
      <c r="F38" s="11">
        <v>720</v>
      </c>
    </row>
    <row r="39" spans="3:6" x14ac:dyDescent="0.3">
      <c r="C39" s="98" t="s">
        <v>350</v>
      </c>
      <c r="D39" s="98" t="s">
        <v>169</v>
      </c>
      <c r="E39" s="98" t="s">
        <v>125</v>
      </c>
      <c r="F39" s="11">
        <v>300</v>
      </c>
    </row>
    <row r="40" spans="3:6" x14ac:dyDescent="0.3">
      <c r="C40" s="98" t="s">
        <v>350</v>
      </c>
      <c r="D40" s="98" t="s">
        <v>169</v>
      </c>
      <c r="E40" s="98" t="s">
        <v>126</v>
      </c>
      <c r="F40" s="11">
        <v>118</v>
      </c>
    </row>
    <row r="41" spans="3:6" x14ac:dyDescent="0.3">
      <c r="C41" s="98" t="s">
        <v>351</v>
      </c>
      <c r="D41" s="98" t="s">
        <v>165</v>
      </c>
      <c r="E41" s="98" t="s">
        <v>123</v>
      </c>
      <c r="F41" s="11">
        <v>708</v>
      </c>
    </row>
    <row r="42" spans="3:6" x14ac:dyDescent="0.3">
      <c r="C42" s="98" t="s">
        <v>351</v>
      </c>
      <c r="D42" s="98" t="s">
        <v>165</v>
      </c>
      <c r="E42" s="98" t="s">
        <v>125</v>
      </c>
      <c r="F42" s="11">
        <v>290</v>
      </c>
    </row>
    <row r="43" spans="3:6" x14ac:dyDescent="0.3">
      <c r="C43" s="98" t="s">
        <v>351</v>
      </c>
      <c r="D43" s="98" t="s">
        <v>165</v>
      </c>
      <c r="E43" s="98" t="s">
        <v>126</v>
      </c>
      <c r="F43" s="11">
        <v>86</v>
      </c>
    </row>
    <row r="44" spans="3:6" x14ac:dyDescent="0.3">
      <c r="C44" s="98" t="s">
        <v>351</v>
      </c>
      <c r="D44" s="98" t="s">
        <v>167</v>
      </c>
      <c r="E44" s="98" t="s">
        <v>123</v>
      </c>
      <c r="F44" s="11">
        <v>896</v>
      </c>
    </row>
    <row r="45" spans="3:6" x14ac:dyDescent="0.3">
      <c r="C45" s="98" t="s">
        <v>351</v>
      </c>
      <c r="D45" s="98" t="s">
        <v>167</v>
      </c>
      <c r="E45" s="98" t="s">
        <v>125</v>
      </c>
      <c r="F45" s="11">
        <v>357</v>
      </c>
    </row>
    <row r="46" spans="3:6" x14ac:dyDescent="0.3">
      <c r="C46" s="98" t="s">
        <v>351</v>
      </c>
      <c r="D46" s="98" t="s">
        <v>167</v>
      </c>
      <c r="E46" s="98" t="s">
        <v>126</v>
      </c>
      <c r="F46" s="11">
        <v>132</v>
      </c>
    </row>
    <row r="47" spans="3:6" x14ac:dyDescent="0.3">
      <c r="C47" s="98" t="s">
        <v>351</v>
      </c>
      <c r="D47" s="98" t="s">
        <v>169</v>
      </c>
      <c r="E47" s="98" t="s">
        <v>123</v>
      </c>
      <c r="F47" s="11">
        <v>900</v>
      </c>
    </row>
    <row r="48" spans="3:6" x14ac:dyDescent="0.3">
      <c r="C48" s="98" t="s">
        <v>351</v>
      </c>
      <c r="D48" s="98" t="s">
        <v>169</v>
      </c>
      <c r="E48" s="98" t="s">
        <v>125</v>
      </c>
      <c r="F48" s="11">
        <v>374</v>
      </c>
    </row>
    <row r="49" spans="3:6" x14ac:dyDescent="0.3">
      <c r="C49" s="98" t="s">
        <v>351</v>
      </c>
      <c r="D49" s="98" t="s">
        <v>169</v>
      </c>
      <c r="E49" s="98" t="s">
        <v>126</v>
      </c>
      <c r="F49" s="11">
        <v>140</v>
      </c>
    </row>
    <row r="50" spans="3:6" x14ac:dyDescent="0.3">
      <c r="C50" s="98" t="s">
        <v>352</v>
      </c>
      <c r="D50" s="98" t="s">
        <v>165</v>
      </c>
      <c r="E50" s="98" t="s">
        <v>123</v>
      </c>
      <c r="F50" s="11">
        <v>700</v>
      </c>
    </row>
    <row r="51" spans="3:6" x14ac:dyDescent="0.3">
      <c r="C51" s="98" t="s">
        <v>352</v>
      </c>
      <c r="D51" s="98" t="s">
        <v>165</v>
      </c>
      <c r="E51" s="98" t="s">
        <v>125</v>
      </c>
      <c r="F51" s="11">
        <v>283</v>
      </c>
    </row>
    <row r="52" spans="3:6" x14ac:dyDescent="0.3">
      <c r="C52" s="98" t="s">
        <v>352</v>
      </c>
      <c r="D52" s="98" t="s">
        <v>165</v>
      </c>
      <c r="E52" s="98" t="s">
        <v>126</v>
      </c>
      <c r="F52" s="11">
        <v>100</v>
      </c>
    </row>
    <row r="53" spans="3:6" x14ac:dyDescent="0.3">
      <c r="C53" s="98" t="s">
        <v>352</v>
      </c>
      <c r="D53" s="98" t="s">
        <v>167</v>
      </c>
      <c r="E53" s="98" t="s">
        <v>123</v>
      </c>
      <c r="F53" s="11">
        <v>718</v>
      </c>
    </row>
    <row r="54" spans="3:6" x14ac:dyDescent="0.3">
      <c r="C54" s="98" t="s">
        <v>352</v>
      </c>
      <c r="D54" s="98" t="s">
        <v>167</v>
      </c>
      <c r="E54" s="98" t="s">
        <v>125</v>
      </c>
      <c r="F54" s="11">
        <v>295</v>
      </c>
    </row>
    <row r="55" spans="3:6" x14ac:dyDescent="0.3">
      <c r="C55" s="98" t="s">
        <v>352</v>
      </c>
      <c r="D55" s="98" t="s">
        <v>167</v>
      </c>
      <c r="E55" s="98" t="s">
        <v>126</v>
      </c>
      <c r="F55" s="11">
        <v>106</v>
      </c>
    </row>
    <row r="56" spans="3:6" x14ac:dyDescent="0.3">
      <c r="C56" s="98" t="s">
        <v>352</v>
      </c>
      <c r="D56" s="98" t="s">
        <v>169</v>
      </c>
      <c r="E56" s="98" t="s">
        <v>123</v>
      </c>
      <c r="F56" s="11">
        <v>720</v>
      </c>
    </row>
    <row r="57" spans="3:6" x14ac:dyDescent="0.3">
      <c r="C57" s="98" t="s">
        <v>352</v>
      </c>
      <c r="D57" s="98" t="s">
        <v>169</v>
      </c>
      <c r="E57" s="98" t="s">
        <v>125</v>
      </c>
      <c r="F57" s="11">
        <v>300</v>
      </c>
    </row>
    <row r="58" spans="3:6" x14ac:dyDescent="0.3">
      <c r="C58" s="98" t="s">
        <v>352</v>
      </c>
      <c r="D58" s="98" t="s">
        <v>169</v>
      </c>
      <c r="E58" s="98" t="s">
        <v>126</v>
      </c>
      <c r="F58" s="11">
        <v>118</v>
      </c>
    </row>
    <row r="59" spans="3:6" x14ac:dyDescent="0.3">
      <c r="C59" s="98" t="s">
        <v>353</v>
      </c>
      <c r="D59" s="98" t="s">
        <v>165</v>
      </c>
      <c r="E59" s="98" t="s">
        <v>123</v>
      </c>
      <c r="F59" s="11">
        <v>892</v>
      </c>
    </row>
    <row r="60" spans="3:6" x14ac:dyDescent="0.3">
      <c r="C60" s="98" t="s">
        <v>353</v>
      </c>
      <c r="D60" s="98" t="s">
        <v>165</v>
      </c>
      <c r="E60" s="98" t="s">
        <v>125</v>
      </c>
      <c r="F60" s="11">
        <v>357</v>
      </c>
    </row>
    <row r="61" spans="3:6" x14ac:dyDescent="0.3">
      <c r="C61" s="98" t="s">
        <v>353</v>
      </c>
      <c r="D61" s="98" t="s">
        <v>165</v>
      </c>
      <c r="E61" s="98" t="s">
        <v>126</v>
      </c>
      <c r="F61" s="11">
        <v>128</v>
      </c>
    </row>
    <row r="62" spans="3:6" x14ac:dyDescent="0.3">
      <c r="C62" s="98" t="s">
        <v>353</v>
      </c>
      <c r="D62" s="98" t="s">
        <v>167</v>
      </c>
      <c r="E62" s="98" t="s">
        <v>123</v>
      </c>
      <c r="F62" s="11">
        <v>894</v>
      </c>
    </row>
    <row r="63" spans="3:6" x14ac:dyDescent="0.3">
      <c r="C63" s="98" t="s">
        <v>353</v>
      </c>
      <c r="D63" s="98" t="s">
        <v>167</v>
      </c>
      <c r="E63" s="98" t="s">
        <v>125</v>
      </c>
      <c r="F63" s="11">
        <v>359</v>
      </c>
    </row>
    <row r="64" spans="3:6" x14ac:dyDescent="0.3">
      <c r="C64" s="98" t="s">
        <v>353</v>
      </c>
      <c r="D64" s="98" t="s">
        <v>167</v>
      </c>
      <c r="E64" s="98" t="s">
        <v>126</v>
      </c>
      <c r="F64" s="11">
        <v>131</v>
      </c>
    </row>
    <row r="65" spans="2:8" x14ac:dyDescent="0.3">
      <c r="C65" s="98" t="s">
        <v>353</v>
      </c>
      <c r="D65" s="98" t="s">
        <v>169</v>
      </c>
      <c r="E65" s="98" t="s">
        <v>123</v>
      </c>
      <c r="F65" s="11">
        <v>720</v>
      </c>
    </row>
    <row r="66" spans="2:8" x14ac:dyDescent="0.3">
      <c r="C66" s="98" t="s">
        <v>353</v>
      </c>
      <c r="D66" s="98" t="s">
        <v>169</v>
      </c>
      <c r="E66" s="98" t="s">
        <v>125</v>
      </c>
      <c r="F66" s="11">
        <v>300</v>
      </c>
    </row>
    <row r="67" spans="2:8" x14ac:dyDescent="0.3">
      <c r="C67" s="98" t="s">
        <v>353</v>
      </c>
      <c r="D67" s="98" t="s">
        <v>169</v>
      </c>
      <c r="E67" s="98" t="s">
        <v>126</v>
      </c>
      <c r="F67" s="11">
        <v>112</v>
      </c>
    </row>
    <row r="68" spans="2:8" x14ac:dyDescent="0.3">
      <c r="C68" s="98" t="s">
        <v>354</v>
      </c>
      <c r="D68" s="98" t="s">
        <v>165</v>
      </c>
      <c r="E68" s="98" t="s">
        <v>123</v>
      </c>
      <c r="F68" s="11">
        <v>720</v>
      </c>
    </row>
    <row r="69" spans="2:8" x14ac:dyDescent="0.3">
      <c r="C69" s="98" t="s">
        <v>354</v>
      </c>
      <c r="D69" s="98" t="s">
        <v>165</v>
      </c>
      <c r="E69" s="98" t="s">
        <v>125</v>
      </c>
      <c r="F69" s="11">
        <v>283</v>
      </c>
    </row>
    <row r="70" spans="2:8" x14ac:dyDescent="0.3">
      <c r="C70" s="98" t="s">
        <v>354</v>
      </c>
      <c r="D70" s="98" t="s">
        <v>165</v>
      </c>
      <c r="E70" s="98" t="s">
        <v>126</v>
      </c>
      <c r="F70" s="11">
        <v>95</v>
      </c>
    </row>
    <row r="71" spans="2:8" x14ac:dyDescent="0.3">
      <c r="C71" s="98" t="s">
        <v>354</v>
      </c>
      <c r="D71" s="98" t="s">
        <v>167</v>
      </c>
      <c r="E71" s="98" t="s">
        <v>123</v>
      </c>
      <c r="F71" s="11">
        <v>720</v>
      </c>
    </row>
    <row r="72" spans="2:8" x14ac:dyDescent="0.3">
      <c r="C72" s="98" t="s">
        <v>354</v>
      </c>
      <c r="D72" s="98" t="s">
        <v>167</v>
      </c>
      <c r="E72" s="98" t="s">
        <v>125</v>
      </c>
      <c r="F72" s="11">
        <v>292</v>
      </c>
    </row>
    <row r="73" spans="2:8" x14ac:dyDescent="0.3">
      <c r="C73" s="98" t="s">
        <v>354</v>
      </c>
      <c r="D73" s="98" t="s">
        <v>167</v>
      </c>
      <c r="E73" s="98" t="s">
        <v>126</v>
      </c>
      <c r="F73" s="11">
        <v>109</v>
      </c>
    </row>
    <row r="74" spans="2:8" x14ac:dyDescent="0.3">
      <c r="C74" s="98" t="s">
        <v>354</v>
      </c>
      <c r="D74" s="98" t="s">
        <v>169</v>
      </c>
      <c r="E74" s="98" t="s">
        <v>123</v>
      </c>
      <c r="F74" s="11">
        <v>900</v>
      </c>
    </row>
    <row r="75" spans="2:8" x14ac:dyDescent="0.3">
      <c r="C75" s="98" t="s">
        <v>354</v>
      </c>
      <c r="D75" s="98" t="s">
        <v>169</v>
      </c>
      <c r="E75" s="98" t="s">
        <v>125</v>
      </c>
      <c r="F75" s="11">
        <v>370</v>
      </c>
    </row>
    <row r="76" spans="2:8" x14ac:dyDescent="0.3">
      <c r="C76" s="98" t="s">
        <v>354</v>
      </c>
      <c r="D76" s="98" t="s">
        <v>169</v>
      </c>
      <c r="E76" s="98" t="s">
        <v>126</v>
      </c>
      <c r="F76" s="11">
        <v>145</v>
      </c>
    </row>
    <row r="77" spans="2:8" ht="12.45" customHeight="1" x14ac:dyDescent="0.3"/>
    <row r="78" spans="2:8" x14ac:dyDescent="0.3">
      <c r="C78" s="99" t="s">
        <v>382</v>
      </c>
      <c r="F78" s="100">
        <f>SUM(F23:F76)</f>
        <v>21627</v>
      </c>
      <c r="H78" s="83" t="str">
        <f ca="1">_xlfn.FORMULATEXT(F78)</f>
        <v>=SUM(F23:F76)</v>
      </c>
    </row>
    <row r="79" spans="2:8" ht="12.45" customHeight="1" x14ac:dyDescent="0.3">
      <c r="B79" s="99"/>
    </row>
    <row r="80" spans="2:8" ht="12.45" customHeight="1" x14ac:dyDescent="0.3">
      <c r="B80" s="99"/>
    </row>
    <row r="81" spans="1:10" s="52" customFormat="1" ht="21" x14ac:dyDescent="0.5">
      <c r="A81" s="55"/>
      <c r="B81" s="56" t="s">
        <v>383</v>
      </c>
      <c r="C81" s="55"/>
      <c r="D81" s="55"/>
      <c r="E81" s="55"/>
      <c r="F81" s="57"/>
      <c r="G81" s="57"/>
      <c r="H81" s="57"/>
      <c r="I81" s="57"/>
      <c r="J81" s="57"/>
    </row>
    <row r="82" spans="1:10" ht="12.45" customHeight="1" x14ac:dyDescent="0.3">
      <c r="B82" s="99"/>
    </row>
    <row r="83" spans="1:10" x14ac:dyDescent="0.3">
      <c r="C83" s="21" t="s">
        <v>384</v>
      </c>
    </row>
    <row r="84" spans="1:10" x14ac:dyDescent="0.3">
      <c r="C84" s="32"/>
    </row>
    <row r="85" spans="1:10" x14ac:dyDescent="0.3">
      <c r="C85" s="21" t="s">
        <v>385</v>
      </c>
    </row>
    <row r="86" spans="1:10" x14ac:dyDescent="0.3">
      <c r="C86" s="32"/>
    </row>
    <row r="87" spans="1:10" x14ac:dyDescent="0.3">
      <c r="C87" s="74" t="s">
        <v>310</v>
      </c>
      <c r="D87" s="98" t="s">
        <v>349</v>
      </c>
      <c r="F87" s="100">
        <f>SUMIFS($F$23:$F$76, $C$23:$C$76, D87)</f>
        <v>3578</v>
      </c>
      <c r="H87" s="83" t="str">
        <f ca="1">_xlfn.FORMULATEXT(F87)</f>
        <v>=SUMIFS($F$23:$F$76, $C$23:$C$76, D87)</v>
      </c>
    </row>
    <row r="88" spans="1:10" ht="6.45" customHeight="1" x14ac:dyDescent="0.3"/>
    <row r="89" spans="1:10" x14ac:dyDescent="0.3">
      <c r="G89" s="83"/>
    </row>
    <row r="90" spans="1:10" x14ac:dyDescent="0.3">
      <c r="C90" s="21" t="s">
        <v>386</v>
      </c>
      <c r="G90" s="83"/>
    </row>
    <row r="91" spans="1:10" x14ac:dyDescent="0.3">
      <c r="G91" s="83"/>
    </row>
    <row r="92" spans="1:10" x14ac:dyDescent="0.3">
      <c r="C92" s="83" t="s">
        <v>387</v>
      </c>
    </row>
    <row r="94" spans="1:10" x14ac:dyDescent="0.3">
      <c r="C94" s="21" t="s">
        <v>388</v>
      </c>
      <c r="D94" s="21" t="s">
        <v>389</v>
      </c>
    </row>
    <row r="95" spans="1:10" x14ac:dyDescent="0.3">
      <c r="C95" s="21" t="s">
        <v>390</v>
      </c>
      <c r="D95" s="21" t="s">
        <v>391</v>
      </c>
    </row>
    <row r="96" spans="1:10" x14ac:dyDescent="0.3">
      <c r="C96" s="21" t="s">
        <v>392</v>
      </c>
      <c r="D96" s="21" t="s">
        <v>393</v>
      </c>
    </row>
    <row r="98" spans="3:8" x14ac:dyDescent="0.3">
      <c r="C98" s="21" t="s">
        <v>394</v>
      </c>
    </row>
    <row r="100" spans="3:8" x14ac:dyDescent="0.3">
      <c r="D100" s="98" t="s">
        <v>349</v>
      </c>
      <c r="F100" s="100">
        <f t="shared" ref="F100:F105" si="0">SUMIFS($F$23:$F$76, $C$23:$C$76, D100)</f>
        <v>3578</v>
      </c>
      <c r="H100" s="83" t="str">
        <f t="shared" ref="H100:H106" ca="1" si="1">_xlfn.FORMULATEXT(F100)</f>
        <v>=SUMIFS($F$23:$F$76, $C$23:$C$76, D100)</v>
      </c>
    </row>
    <row r="101" spans="3:8" x14ac:dyDescent="0.3">
      <c r="D101" s="98" t="s">
        <v>350</v>
      </c>
      <c r="F101" s="100">
        <f t="shared" si="0"/>
        <v>3299</v>
      </c>
      <c r="H101" s="83" t="str">
        <f t="shared" ca="1" si="1"/>
        <v>=SUMIFS($F$23:$F$76, $C$23:$C$76, D101)</v>
      </c>
    </row>
    <row r="102" spans="3:8" x14ac:dyDescent="0.3">
      <c r="D102" s="98" t="s">
        <v>351</v>
      </c>
      <c r="F102" s="100">
        <f t="shared" si="0"/>
        <v>3883</v>
      </c>
      <c r="H102" s="83" t="str">
        <f t="shared" ca="1" si="1"/>
        <v>=SUMIFS($F$23:$F$76, $C$23:$C$76, D102)</v>
      </c>
    </row>
    <row r="103" spans="3:8" x14ac:dyDescent="0.3">
      <c r="D103" s="98" t="s">
        <v>352</v>
      </c>
      <c r="F103" s="100">
        <f t="shared" si="0"/>
        <v>3340</v>
      </c>
      <c r="H103" s="83" t="str">
        <f t="shared" ca="1" si="1"/>
        <v>=SUMIFS($F$23:$F$76, $C$23:$C$76, D103)</v>
      </c>
    </row>
    <row r="104" spans="3:8" x14ac:dyDescent="0.3">
      <c r="D104" s="98" t="s">
        <v>353</v>
      </c>
      <c r="F104" s="100">
        <f t="shared" si="0"/>
        <v>3893</v>
      </c>
      <c r="H104" s="83" t="str">
        <f t="shared" ca="1" si="1"/>
        <v>=SUMIFS($F$23:$F$76, $C$23:$C$76, D104)</v>
      </c>
    </row>
    <row r="105" spans="3:8" x14ac:dyDescent="0.3">
      <c r="D105" s="98" t="s">
        <v>354</v>
      </c>
      <c r="F105" s="100">
        <f t="shared" si="0"/>
        <v>3634</v>
      </c>
      <c r="H105" s="83" t="str">
        <f t="shared" ca="1" si="1"/>
        <v>=SUMIFS($F$23:$F$76, $C$23:$C$76, D105)</v>
      </c>
    </row>
    <row r="106" spans="3:8" x14ac:dyDescent="0.3">
      <c r="D106" s="74" t="s">
        <v>395</v>
      </c>
      <c r="F106" s="100">
        <f>SUM(F100:F105)</f>
        <v>21627</v>
      </c>
      <c r="H106" s="21" t="str">
        <f t="shared" ca="1" si="1"/>
        <v>=SUM(F100:F105)</v>
      </c>
    </row>
    <row r="108" spans="3:8" x14ac:dyDescent="0.3">
      <c r="C108" s="21" t="s">
        <v>396</v>
      </c>
    </row>
    <row r="110" spans="3:8" x14ac:dyDescent="0.3">
      <c r="D110" s="98" t="s">
        <v>165</v>
      </c>
      <c r="F110" s="100">
        <f>SUMIFS($F$23:$F$76, $D$23:$D$76, D110)</f>
        <v>7062</v>
      </c>
      <c r="H110" s="83" t="str">
        <f ca="1">_xlfn.FORMULATEXT(F110)</f>
        <v>=SUMIFS($F$23:$F$76, $D$23:$D$76, D110)</v>
      </c>
    </row>
    <row r="111" spans="3:8" x14ac:dyDescent="0.3">
      <c r="D111" s="98" t="s">
        <v>167</v>
      </c>
      <c r="F111" s="100">
        <f>SUMIFS($F$23:$F$76, $D$23:$D$76, D111)</f>
        <v>7212</v>
      </c>
      <c r="H111" s="83" t="str">
        <f ca="1">_xlfn.FORMULATEXT(F111)</f>
        <v>=SUMIFS($F$23:$F$76, $D$23:$D$76, D111)</v>
      </c>
    </row>
    <row r="112" spans="3:8" x14ac:dyDescent="0.3">
      <c r="D112" s="98" t="s">
        <v>169</v>
      </c>
      <c r="F112" s="100">
        <f>SUMIFS($F$23:$F$76, $D$23:$D$76, D112)</f>
        <v>7353</v>
      </c>
      <c r="H112" s="83" t="str">
        <f ca="1">_xlfn.FORMULATEXT(F112)</f>
        <v>=SUMIFS($F$23:$F$76, $D$23:$D$76, D112)</v>
      </c>
    </row>
    <row r="113" spans="3:8" x14ac:dyDescent="0.3">
      <c r="D113" s="74" t="s">
        <v>395</v>
      </c>
      <c r="F113" s="100">
        <f>SUM(F110:F112)</f>
        <v>21627</v>
      </c>
    </row>
    <row r="116" spans="3:8" x14ac:dyDescent="0.3">
      <c r="C116" s="21" t="s">
        <v>397</v>
      </c>
    </row>
    <row r="118" spans="3:8" x14ac:dyDescent="0.3">
      <c r="D118" s="98" t="s">
        <v>123</v>
      </c>
      <c r="F118" s="100">
        <f>SUMIFS($F$23:$F$76, $E$23:$E$76, D118)</f>
        <v>13900</v>
      </c>
      <c r="H118" s="83" t="str">
        <f ca="1">_xlfn.FORMULATEXT(F118)</f>
        <v>=SUMIFS($F$23:$F$76, $E$23:$E$76, D118)</v>
      </c>
    </row>
    <row r="119" spans="3:8" x14ac:dyDescent="0.3">
      <c r="D119" s="98" t="s">
        <v>125</v>
      </c>
      <c r="F119" s="100">
        <f>SUMIFS($F$23:$F$76, $E$23:$E$76, D119)</f>
        <v>5650</v>
      </c>
      <c r="H119" s="83" t="str">
        <f ca="1">_xlfn.FORMULATEXT(F119)</f>
        <v>=SUMIFS($F$23:$F$76, $E$23:$E$76, D119)</v>
      </c>
    </row>
    <row r="120" spans="3:8" x14ac:dyDescent="0.3">
      <c r="D120" s="98" t="s">
        <v>126</v>
      </c>
      <c r="F120" s="100">
        <f>SUMIFS($F$23:$F$76, $E$23:$E$76, D120)</f>
        <v>2077</v>
      </c>
      <c r="H120" s="83" t="str">
        <f ca="1">_xlfn.FORMULATEXT(F120)</f>
        <v>=SUMIFS($F$23:$F$76, $E$23:$E$76, D120)</v>
      </c>
    </row>
    <row r="121" spans="3:8" x14ac:dyDescent="0.3">
      <c r="D121" s="74" t="s">
        <v>395</v>
      </c>
      <c r="F121" s="100">
        <f>SUM(F118:F120)</f>
        <v>21627</v>
      </c>
    </row>
    <row r="124" spans="3:8" x14ac:dyDescent="0.3">
      <c r="C124" s="21" t="s">
        <v>398</v>
      </c>
    </row>
    <row r="126" spans="3:8" x14ac:dyDescent="0.3">
      <c r="C126" s="21" t="s">
        <v>399</v>
      </c>
    </row>
    <row r="127" spans="3:8" x14ac:dyDescent="0.3">
      <c r="C127" s="101" t="s">
        <v>400</v>
      </c>
    </row>
    <row r="128" spans="3:8" x14ac:dyDescent="0.3">
      <c r="C128" s="101" t="s">
        <v>401</v>
      </c>
    </row>
    <row r="129" spans="3:8" x14ac:dyDescent="0.3">
      <c r="C129" s="101" t="s">
        <v>402</v>
      </c>
    </row>
    <row r="132" spans="3:8" x14ac:dyDescent="0.3">
      <c r="C132" s="21" t="s">
        <v>1238</v>
      </c>
    </row>
    <row r="135" spans="3:8" x14ac:dyDescent="0.3">
      <c r="D135" s="98" t="s">
        <v>349</v>
      </c>
      <c r="F135" s="100" cm="1">
        <f t="array" ref="F135:F140">SUMIFS($F$23:$F$76, $C$23:$C$76, D135:D140)</f>
        <v>3578</v>
      </c>
      <c r="H135" s="83" t="str">
        <f t="shared" ref="H135:H141" ca="1" si="2">_xlfn.FORMULATEXT(F135)</f>
        <v>=SUMIFS($F$23:$F$76, $C$23:$C$76, D135:D140)</v>
      </c>
    </row>
    <row r="136" spans="3:8" x14ac:dyDescent="0.3">
      <c r="D136" s="98" t="s">
        <v>350</v>
      </c>
      <c r="F136" s="220">
        <v>3299</v>
      </c>
      <c r="H136" s="83"/>
    </row>
    <row r="137" spans="3:8" x14ac:dyDescent="0.3">
      <c r="D137" s="98" t="s">
        <v>351</v>
      </c>
      <c r="F137" s="220">
        <v>3883</v>
      </c>
      <c r="H137" s="83"/>
    </row>
    <row r="138" spans="3:8" x14ac:dyDescent="0.3">
      <c r="D138" s="98" t="s">
        <v>352</v>
      </c>
      <c r="F138" s="220">
        <v>3340</v>
      </c>
      <c r="H138" s="83"/>
    </row>
    <row r="139" spans="3:8" x14ac:dyDescent="0.3">
      <c r="D139" s="98" t="s">
        <v>353</v>
      </c>
      <c r="F139" s="220">
        <v>3893</v>
      </c>
      <c r="H139" s="83"/>
    </row>
    <row r="140" spans="3:8" x14ac:dyDescent="0.3">
      <c r="D140" s="98" t="s">
        <v>354</v>
      </c>
      <c r="F140" s="220">
        <v>3634</v>
      </c>
      <c r="H140" s="83"/>
    </row>
    <row r="141" spans="3:8" x14ac:dyDescent="0.3">
      <c r="D141" s="74" t="s">
        <v>395</v>
      </c>
      <c r="F141" s="221">
        <f>SUM(_xlfn.ANCHORARRAY(F135))</f>
        <v>21627</v>
      </c>
      <c r="H141" s="83" t="str">
        <f t="shared" ca="1" si="2"/>
        <v>=SUM(F135#)</v>
      </c>
    </row>
    <row r="145" spans="4:8" x14ac:dyDescent="0.3">
      <c r="D145" s="98" t="s">
        <v>165</v>
      </c>
      <c r="F145" s="100" cm="1">
        <f t="array" ref="F145:F147">SUMIFS($F$23:$F$76, $D$23:$D$76, D145:D147)</f>
        <v>7062</v>
      </c>
      <c r="H145" s="83" t="str">
        <f ca="1">_xlfn.FORMULATEXT(F145)</f>
        <v>=SUMIFS($F$23:$F$76, $D$23:$D$76, D145:D147)</v>
      </c>
    </row>
    <row r="146" spans="4:8" x14ac:dyDescent="0.3">
      <c r="D146" s="98" t="s">
        <v>167</v>
      </c>
      <c r="F146" s="220">
        <v>7212</v>
      </c>
      <c r="H146" s="83"/>
    </row>
    <row r="147" spans="4:8" x14ac:dyDescent="0.3">
      <c r="D147" s="98" t="s">
        <v>169</v>
      </c>
      <c r="F147" s="220">
        <v>7353</v>
      </c>
      <c r="H147" s="83"/>
    </row>
    <row r="148" spans="4:8" x14ac:dyDescent="0.3">
      <c r="D148" s="74" t="s">
        <v>395</v>
      </c>
      <c r="F148" s="100">
        <f>SUM(_xlfn.ANCHORARRAY(F145))</f>
        <v>21627</v>
      </c>
      <c r="H148" s="83" t="str">
        <f t="shared" ref="H148" ca="1" si="3">_xlfn.FORMULATEXT(F148)</f>
        <v>=SUM(F145#)</v>
      </c>
    </row>
    <row r="153" spans="4:8" x14ac:dyDescent="0.3">
      <c r="D153" s="98" t="s">
        <v>123</v>
      </c>
      <c r="F153" s="100" cm="1">
        <f t="array" ref="F153:F155">SUMIFS($F$23:$F$76, $E$23:$E$76, D153:D155)</f>
        <v>13900</v>
      </c>
      <c r="H153" s="83" t="str">
        <f ca="1">_xlfn.FORMULATEXT(F153)</f>
        <v>=SUMIFS($F$23:$F$76, $E$23:$E$76, D153:D155)</v>
      </c>
    </row>
    <row r="154" spans="4:8" x14ac:dyDescent="0.3">
      <c r="D154" s="98" t="s">
        <v>125</v>
      </c>
      <c r="F154" s="220">
        <v>5650</v>
      </c>
      <c r="H154" s="83"/>
    </row>
    <row r="155" spans="4:8" x14ac:dyDescent="0.3">
      <c r="D155" s="98" t="s">
        <v>126</v>
      </c>
      <c r="F155" s="220">
        <v>2077</v>
      </c>
      <c r="H155" s="83"/>
    </row>
    <row r="156" spans="4:8" x14ac:dyDescent="0.3">
      <c r="D156" s="74" t="s">
        <v>395</v>
      </c>
      <c r="F156" s="100">
        <f>SUM(_xlfn.ANCHORARRAY(F153))</f>
        <v>21627</v>
      </c>
      <c r="H156" s="83" t="str">
        <f ca="1">_xlfn.FORMULATEXT(F156)</f>
        <v>=SUM(F153#)</v>
      </c>
    </row>
    <row r="159" spans="4:8" x14ac:dyDescent="0.3">
      <c r="D159" s="21" t="s">
        <v>1237</v>
      </c>
    </row>
    <row r="161" spans="1:10" s="52" customFormat="1" ht="21" x14ac:dyDescent="0.5">
      <c r="A161" s="55"/>
      <c r="B161" s="56" t="s">
        <v>403</v>
      </c>
      <c r="C161" s="55"/>
      <c r="D161" s="55"/>
      <c r="E161" s="55"/>
      <c r="F161" s="57"/>
      <c r="G161" s="57"/>
      <c r="H161" s="57"/>
      <c r="I161" s="57"/>
      <c r="J161" s="57"/>
    </row>
    <row r="163" spans="1:10" x14ac:dyDescent="0.3">
      <c r="C163" s="21" t="s">
        <v>404</v>
      </c>
    </row>
    <row r="165" spans="1:10" x14ac:dyDescent="0.3">
      <c r="C165" s="21" t="s">
        <v>405</v>
      </c>
    </row>
    <row r="167" spans="1:10" x14ac:dyDescent="0.3">
      <c r="D167" s="98" t="s">
        <v>165</v>
      </c>
    </row>
    <row r="168" spans="1:10" x14ac:dyDescent="0.3">
      <c r="D168" s="98" t="s">
        <v>123</v>
      </c>
      <c r="F168" s="100">
        <f>SUMIFS($F$23:$F$76, $D$23:$D$76, D167, $E$23:$E$76, D168)</f>
        <v>4576</v>
      </c>
      <c r="H168" s="83" t="str">
        <f ca="1">_xlfn.FORMULATEXT(F168)</f>
        <v>=SUMIFS($F$23:$F$76, $D$23:$D$76, D167, $E$23:$E$76, D168)</v>
      </c>
    </row>
    <row r="170" spans="1:10" x14ac:dyDescent="0.3">
      <c r="C170" s="21" t="s">
        <v>386</v>
      </c>
      <c r="G170" s="83"/>
    </row>
    <row r="171" spans="1:10" x14ac:dyDescent="0.3">
      <c r="G171" s="83"/>
    </row>
    <row r="172" spans="1:10" x14ac:dyDescent="0.3">
      <c r="C172" s="83" t="s">
        <v>406</v>
      </c>
    </row>
    <row r="174" spans="1:10" x14ac:dyDescent="0.3">
      <c r="C174" s="21" t="s">
        <v>388</v>
      </c>
      <c r="D174" s="21" t="s">
        <v>407</v>
      </c>
    </row>
    <row r="175" spans="1:10" x14ac:dyDescent="0.3">
      <c r="C175" s="21" t="s">
        <v>390</v>
      </c>
      <c r="D175" s="21" t="s">
        <v>408</v>
      </c>
    </row>
    <row r="176" spans="1:10" x14ac:dyDescent="0.3">
      <c r="C176" s="21" t="s">
        <v>392</v>
      </c>
      <c r="D176" s="21" t="s">
        <v>409</v>
      </c>
    </row>
    <row r="177" spans="1:10" x14ac:dyDescent="0.3">
      <c r="C177" s="21" t="s">
        <v>410</v>
      </c>
      <c r="D177" s="21" t="s">
        <v>411</v>
      </c>
    </row>
    <row r="178" spans="1:10" x14ac:dyDescent="0.3">
      <c r="C178" s="21" t="s">
        <v>412</v>
      </c>
      <c r="D178" s="21" t="s">
        <v>413</v>
      </c>
    </row>
    <row r="181" spans="1:10" x14ac:dyDescent="0.3">
      <c r="C181" s="21" t="s">
        <v>414</v>
      </c>
    </row>
    <row r="183" spans="1:10" x14ac:dyDescent="0.3">
      <c r="D183" s="74" t="s">
        <v>415</v>
      </c>
      <c r="E183" s="102" t="s">
        <v>123</v>
      </c>
      <c r="F183" s="102" t="s">
        <v>125</v>
      </c>
      <c r="G183" s="102" t="s">
        <v>126</v>
      </c>
      <c r="H183" s="102" t="s">
        <v>416</v>
      </c>
    </row>
    <row r="184" spans="1:10" x14ac:dyDescent="0.3">
      <c r="D184" s="74" t="s">
        <v>165</v>
      </c>
      <c r="E184" s="100">
        <f t="shared" ref="E184:G186" si="4">SUMIFS($F$23:$F$76, $D$23:$D$76, $D184, $E$23:$E$76, E$183)</f>
        <v>4576</v>
      </c>
      <c r="F184" s="100">
        <f t="shared" si="4"/>
        <v>1841</v>
      </c>
      <c r="G184" s="100">
        <f t="shared" si="4"/>
        <v>645</v>
      </c>
      <c r="H184" s="100">
        <f>SUM(E184:G184)</f>
        <v>7062</v>
      </c>
    </row>
    <row r="185" spans="1:10" x14ac:dyDescent="0.3">
      <c r="D185" s="74" t="s">
        <v>167</v>
      </c>
      <c r="E185" s="100">
        <f t="shared" si="4"/>
        <v>4650</v>
      </c>
      <c r="F185" s="100">
        <f t="shared" si="4"/>
        <v>1874</v>
      </c>
      <c r="G185" s="100">
        <f t="shared" si="4"/>
        <v>688</v>
      </c>
      <c r="H185" s="100">
        <f>SUM(E185:G185)</f>
        <v>7212</v>
      </c>
    </row>
    <row r="186" spans="1:10" x14ac:dyDescent="0.3">
      <c r="D186" s="74" t="s">
        <v>169</v>
      </c>
      <c r="E186" s="100">
        <f t="shared" si="4"/>
        <v>4674</v>
      </c>
      <c r="F186" s="100">
        <f t="shared" si="4"/>
        <v>1935</v>
      </c>
      <c r="G186" s="100">
        <f t="shared" si="4"/>
        <v>744</v>
      </c>
      <c r="H186" s="100">
        <f>SUM(E186:G186)</f>
        <v>7353</v>
      </c>
    </row>
    <row r="187" spans="1:10" x14ac:dyDescent="0.3">
      <c r="D187" s="74" t="s">
        <v>416</v>
      </c>
      <c r="E187" s="100">
        <f>SUM(E184:E186)</f>
        <v>13900</v>
      </c>
      <c r="F187" s="100">
        <f>SUM(F184:F186)</f>
        <v>5650</v>
      </c>
      <c r="G187" s="100">
        <f>SUM(G184:G186)</f>
        <v>2077</v>
      </c>
      <c r="H187" s="100">
        <f>SUM(E187:G187)</f>
        <v>21627</v>
      </c>
    </row>
    <row r="189" spans="1:10" x14ac:dyDescent="0.3">
      <c r="C189" s="21" t="s">
        <v>417</v>
      </c>
    </row>
    <row r="192" spans="1:10" s="52" customFormat="1" ht="21" x14ac:dyDescent="0.5">
      <c r="A192" s="55"/>
      <c r="B192" s="56" t="s">
        <v>418</v>
      </c>
      <c r="C192" s="55"/>
      <c r="D192" s="55"/>
      <c r="E192" s="55"/>
      <c r="F192" s="57"/>
      <c r="G192" s="57"/>
      <c r="H192" s="57"/>
      <c r="I192" s="57"/>
      <c r="J192" s="57"/>
    </row>
    <row r="194" spans="3:8" x14ac:dyDescent="0.3">
      <c r="C194" s="21" t="s">
        <v>419</v>
      </c>
    </row>
    <row r="196" spans="3:8" x14ac:dyDescent="0.3">
      <c r="C196" s="21" t="s">
        <v>420</v>
      </c>
    </row>
    <row r="198" spans="3:8" x14ac:dyDescent="0.3">
      <c r="D198" s="98" t="s">
        <v>165</v>
      </c>
    </row>
    <row r="199" spans="3:8" x14ac:dyDescent="0.3">
      <c r="D199" s="98" t="s">
        <v>123</v>
      </c>
    </row>
    <row r="200" spans="3:8" x14ac:dyDescent="0.3">
      <c r="D200" s="98" t="s">
        <v>350</v>
      </c>
      <c r="F200" s="100">
        <f>SUMIFS($F$23:$F$76, $D$23:$D$76, D198, $E$23:$E$76, D199, $C$23:$C$76, D200)</f>
        <v>685</v>
      </c>
      <c r="H200" s="83" t="str">
        <f ca="1">_xlfn.FORMULATEXT(F200)</f>
        <v>=SUMIFS($F$23:$F$76, $D$23:$D$76, D198, $E$23:$E$76, D199, $C$23:$C$76, D200)</v>
      </c>
    </row>
    <row r="202" spans="3:8" x14ac:dyDescent="0.3">
      <c r="C202" s="21" t="s">
        <v>386</v>
      </c>
      <c r="G202" s="83"/>
    </row>
    <row r="203" spans="3:8" x14ac:dyDescent="0.3">
      <c r="G203" s="83"/>
    </row>
    <row r="204" spans="3:8" x14ac:dyDescent="0.3">
      <c r="C204" s="83" t="s">
        <v>421</v>
      </c>
    </row>
    <row r="206" spans="3:8" x14ac:dyDescent="0.3">
      <c r="C206" s="21" t="s">
        <v>388</v>
      </c>
      <c r="D206" s="21" t="s">
        <v>407</v>
      </c>
    </row>
    <row r="207" spans="3:8" x14ac:dyDescent="0.3">
      <c r="C207" s="21" t="s">
        <v>390</v>
      </c>
      <c r="D207" s="21" t="s">
        <v>408</v>
      </c>
    </row>
    <row r="208" spans="3:8" x14ac:dyDescent="0.3">
      <c r="C208" s="21" t="s">
        <v>392</v>
      </c>
      <c r="D208" s="21" t="s">
        <v>422</v>
      </c>
    </row>
    <row r="209" spans="3:8" x14ac:dyDescent="0.3">
      <c r="C209" s="21" t="s">
        <v>410</v>
      </c>
      <c r="D209" s="21" t="s">
        <v>411</v>
      </c>
    </row>
    <row r="210" spans="3:8" x14ac:dyDescent="0.3">
      <c r="C210" s="21" t="s">
        <v>412</v>
      </c>
      <c r="D210" s="21" t="s">
        <v>423</v>
      </c>
    </row>
    <row r="211" spans="3:8" x14ac:dyDescent="0.3">
      <c r="C211" s="21" t="s">
        <v>424</v>
      </c>
      <c r="D211" s="21" t="s">
        <v>425</v>
      </c>
    </row>
    <row r="212" spans="3:8" x14ac:dyDescent="0.3">
      <c r="C212" s="21" t="s">
        <v>426</v>
      </c>
      <c r="D212" s="21" t="s">
        <v>427</v>
      </c>
    </row>
    <row r="214" spans="3:8" x14ac:dyDescent="0.3">
      <c r="C214" s="21" t="s">
        <v>428</v>
      </c>
    </row>
    <row r="216" spans="3:8" x14ac:dyDescent="0.3">
      <c r="D216" s="98" t="s">
        <v>350</v>
      </c>
    </row>
    <row r="218" spans="3:8" x14ac:dyDescent="0.3">
      <c r="D218" s="74" t="s">
        <v>415</v>
      </c>
      <c r="E218" s="74" t="s">
        <v>123</v>
      </c>
      <c r="F218" s="74" t="s">
        <v>125</v>
      </c>
      <c r="G218" s="74" t="s">
        <v>126</v>
      </c>
      <c r="H218" s="74" t="s">
        <v>416</v>
      </c>
    </row>
    <row r="219" spans="3:8" x14ac:dyDescent="0.3">
      <c r="D219" s="74" t="s">
        <v>165</v>
      </c>
      <c r="E219" s="100">
        <f t="shared" ref="E219:G221" si="5">SUMIFS($F$23:$F$76, $D$23:$D$76, $D219, $E$23:$E$76, E$218, $C$23:$C$76, $D$216)</f>
        <v>685</v>
      </c>
      <c r="F219" s="100">
        <f t="shared" si="5"/>
        <v>271</v>
      </c>
      <c r="G219" s="100">
        <f t="shared" si="5"/>
        <v>100</v>
      </c>
      <c r="H219" s="100">
        <f>SUM(E219:G219)</f>
        <v>1056</v>
      </c>
    </row>
    <row r="220" spans="3:8" x14ac:dyDescent="0.3">
      <c r="D220" s="74" t="s">
        <v>167</v>
      </c>
      <c r="E220" s="100">
        <f t="shared" si="5"/>
        <v>714</v>
      </c>
      <c r="F220" s="100">
        <f t="shared" si="5"/>
        <v>291</v>
      </c>
      <c r="G220" s="100">
        <f t="shared" si="5"/>
        <v>100</v>
      </c>
      <c r="H220" s="100">
        <f>SUM(E220:G220)</f>
        <v>1105</v>
      </c>
    </row>
    <row r="221" spans="3:8" x14ac:dyDescent="0.3">
      <c r="D221" s="74" t="s">
        <v>169</v>
      </c>
      <c r="E221" s="100">
        <f t="shared" si="5"/>
        <v>720</v>
      </c>
      <c r="F221" s="100">
        <f t="shared" si="5"/>
        <v>300</v>
      </c>
      <c r="G221" s="100">
        <f t="shared" si="5"/>
        <v>118</v>
      </c>
      <c r="H221" s="100">
        <f>SUM(E221:G221)</f>
        <v>1138</v>
      </c>
    </row>
    <row r="222" spans="3:8" x14ac:dyDescent="0.3">
      <c r="D222" s="74" t="s">
        <v>416</v>
      </c>
      <c r="E222" s="100">
        <f>SUM(E219:E221)</f>
        <v>2119</v>
      </c>
      <c r="F222" s="100">
        <f>SUM(F219:F221)</f>
        <v>862</v>
      </c>
      <c r="G222" s="100">
        <f>SUM(G219:G221)</f>
        <v>318</v>
      </c>
      <c r="H222" s="100">
        <f>SUM(E222:G222)</f>
        <v>3299</v>
      </c>
    </row>
    <row r="224" spans="3:8" x14ac:dyDescent="0.3">
      <c r="C224" s="21" t="s">
        <v>429</v>
      </c>
    </row>
    <row r="225" spans="1:10" x14ac:dyDescent="0.3">
      <c r="C225" s="21" t="s">
        <v>430</v>
      </c>
    </row>
    <row r="230" spans="1:10" s="52" customFormat="1" ht="21" x14ac:dyDescent="0.5">
      <c r="A230" s="55"/>
      <c r="B230" s="56" t="s">
        <v>10</v>
      </c>
      <c r="C230" s="55"/>
      <c r="D230" s="55"/>
      <c r="E230" s="55"/>
      <c r="F230" s="57"/>
      <c r="G230" s="57"/>
      <c r="H230" s="57"/>
      <c r="I230" s="57"/>
      <c r="J230" s="57"/>
    </row>
    <row r="232" spans="1:10" x14ac:dyDescent="0.3">
      <c r="C232" s="37" t="s">
        <v>431</v>
      </c>
    </row>
    <row r="235" spans="1:10" x14ac:dyDescent="0.3">
      <c r="C235" s="74" t="s">
        <v>432</v>
      </c>
      <c r="D235" s="74" t="s">
        <v>381</v>
      </c>
      <c r="E235" s="74" t="s">
        <v>433</v>
      </c>
      <c r="F235" s="74" t="s">
        <v>434</v>
      </c>
    </row>
    <row r="236" spans="1:10" x14ac:dyDescent="0.3">
      <c r="C236" s="98">
        <v>1</v>
      </c>
      <c r="D236" s="98" t="s">
        <v>165</v>
      </c>
      <c r="E236" s="98" t="s">
        <v>435</v>
      </c>
      <c r="F236" s="11">
        <v>1000</v>
      </c>
    </row>
    <row r="237" spans="1:10" x14ac:dyDescent="0.3">
      <c r="C237" s="98">
        <v>1</v>
      </c>
      <c r="D237" s="98" t="s">
        <v>167</v>
      </c>
      <c r="E237" s="98" t="s">
        <v>436</v>
      </c>
      <c r="F237" s="11">
        <v>575</v>
      </c>
    </row>
    <row r="238" spans="1:10" x14ac:dyDescent="0.3">
      <c r="C238" s="98">
        <v>1</v>
      </c>
      <c r="D238" s="98" t="s">
        <v>169</v>
      </c>
      <c r="E238" s="98" t="s">
        <v>437</v>
      </c>
      <c r="F238" s="11">
        <v>698</v>
      </c>
    </row>
    <row r="239" spans="1:10" x14ac:dyDescent="0.3">
      <c r="C239" s="98">
        <v>2</v>
      </c>
      <c r="D239" s="98" t="s">
        <v>165</v>
      </c>
      <c r="E239" s="98" t="s">
        <v>437</v>
      </c>
      <c r="F239" s="11">
        <v>758</v>
      </c>
    </row>
    <row r="240" spans="1:10" x14ac:dyDescent="0.3">
      <c r="C240" s="98">
        <v>2</v>
      </c>
      <c r="D240" s="98" t="s">
        <v>167</v>
      </c>
      <c r="E240" s="98" t="s">
        <v>435</v>
      </c>
      <c r="F240" s="11">
        <v>1207</v>
      </c>
    </row>
    <row r="241" spans="3:8" x14ac:dyDescent="0.3">
      <c r="C241" s="98">
        <v>2</v>
      </c>
      <c r="D241" s="98" t="s">
        <v>169</v>
      </c>
      <c r="E241" s="98" t="s">
        <v>436</v>
      </c>
      <c r="F241" s="11">
        <v>694</v>
      </c>
    </row>
    <row r="242" spans="3:8" x14ac:dyDescent="0.3">
      <c r="C242" s="98">
        <v>3</v>
      </c>
      <c r="D242" s="98" t="s">
        <v>165</v>
      </c>
      <c r="E242" s="98" t="s">
        <v>437</v>
      </c>
      <c r="F242" s="11">
        <v>797</v>
      </c>
    </row>
    <row r="243" spans="3:8" x14ac:dyDescent="0.3">
      <c r="C243" s="98">
        <v>3</v>
      </c>
      <c r="D243" s="98" t="s">
        <v>167</v>
      </c>
      <c r="E243" s="98" t="s">
        <v>435</v>
      </c>
      <c r="F243" s="11">
        <v>1035</v>
      </c>
    </row>
    <row r="244" spans="3:8" x14ac:dyDescent="0.3">
      <c r="C244" s="98">
        <v>3</v>
      </c>
      <c r="D244" s="98" t="s">
        <v>169</v>
      </c>
      <c r="E244" s="98" t="s">
        <v>435</v>
      </c>
      <c r="F244" s="11">
        <v>1190</v>
      </c>
    </row>
    <row r="245" spans="3:8" x14ac:dyDescent="0.3">
      <c r="C245" s="98">
        <v>4</v>
      </c>
      <c r="D245" s="98" t="s">
        <v>165</v>
      </c>
      <c r="E245" s="98" t="s">
        <v>436</v>
      </c>
      <c r="F245" s="11">
        <v>597</v>
      </c>
    </row>
    <row r="246" spans="3:8" x14ac:dyDescent="0.3">
      <c r="C246" s="98">
        <v>4</v>
      </c>
      <c r="D246" s="98" t="s">
        <v>167</v>
      </c>
      <c r="E246" s="98" t="s">
        <v>435</v>
      </c>
      <c r="F246" s="11">
        <v>970</v>
      </c>
    </row>
    <row r="247" spans="3:8" x14ac:dyDescent="0.3">
      <c r="C247" s="98">
        <v>4</v>
      </c>
      <c r="D247" s="98" t="s">
        <v>169</v>
      </c>
      <c r="E247" s="98" t="s">
        <v>435</v>
      </c>
      <c r="F247" s="11">
        <v>1397</v>
      </c>
    </row>
    <row r="251" spans="3:8" x14ac:dyDescent="0.3">
      <c r="C251" s="74" t="s">
        <v>432</v>
      </c>
      <c r="D251" s="98">
        <v>4</v>
      </c>
    </row>
    <row r="253" spans="3:8" x14ac:dyDescent="0.3">
      <c r="D253" s="74" t="s">
        <v>438</v>
      </c>
      <c r="E253" s="102" t="s">
        <v>435</v>
      </c>
      <c r="F253" s="102" t="s">
        <v>437</v>
      </c>
      <c r="G253" s="102" t="s">
        <v>436</v>
      </c>
      <c r="H253" s="102" t="s">
        <v>416</v>
      </c>
    </row>
    <row r="254" spans="3:8" x14ac:dyDescent="0.3">
      <c r="D254" s="74" t="s">
        <v>165</v>
      </c>
      <c r="E254" s="100"/>
      <c r="F254" s="100"/>
      <c r="G254" s="100"/>
      <c r="H254" s="100"/>
    </row>
    <row r="255" spans="3:8" x14ac:dyDescent="0.3">
      <c r="D255" s="74" t="s">
        <v>167</v>
      </c>
      <c r="E255" s="100"/>
      <c r="F255" s="100"/>
      <c r="G255" s="100"/>
      <c r="H255" s="100"/>
    </row>
    <row r="256" spans="3:8" x14ac:dyDescent="0.3">
      <c r="D256" s="74" t="s">
        <v>169</v>
      </c>
      <c r="E256" s="100"/>
      <c r="F256" s="100"/>
      <c r="G256" s="100"/>
      <c r="H256" s="100"/>
    </row>
    <row r="257" spans="1:10" x14ac:dyDescent="0.3">
      <c r="D257" s="74" t="s">
        <v>416</v>
      </c>
      <c r="E257" s="100"/>
      <c r="F257" s="100"/>
      <c r="G257" s="100"/>
      <c r="H257" s="100"/>
    </row>
    <row r="259" spans="1:10" x14ac:dyDescent="0.3">
      <c r="C259" s="21" t="s">
        <v>439</v>
      </c>
    </row>
    <row r="261" spans="1:10" s="52" customFormat="1" ht="21" x14ac:dyDescent="0.5">
      <c r="A261" s="55"/>
      <c r="B261" s="56" t="s">
        <v>11</v>
      </c>
      <c r="C261" s="55"/>
      <c r="D261" s="55"/>
      <c r="E261" s="55"/>
      <c r="F261" s="57"/>
      <c r="G261" s="57"/>
      <c r="H261" s="57"/>
      <c r="I261" s="57"/>
      <c r="J261" s="57"/>
    </row>
    <row r="263" spans="1:10" x14ac:dyDescent="0.3">
      <c r="C263" s="37" t="s">
        <v>431</v>
      </c>
    </row>
    <row r="266" spans="1:10" x14ac:dyDescent="0.3">
      <c r="C266" s="74" t="s">
        <v>432</v>
      </c>
      <c r="D266" s="74" t="s">
        <v>381</v>
      </c>
      <c r="E266" s="74" t="s">
        <v>433</v>
      </c>
      <c r="F266" s="74" t="s">
        <v>434</v>
      </c>
    </row>
    <row r="267" spans="1:10" x14ac:dyDescent="0.3">
      <c r="C267" s="98">
        <v>1</v>
      </c>
      <c r="D267" s="98" t="s">
        <v>165</v>
      </c>
      <c r="E267" s="98" t="s">
        <v>435</v>
      </c>
      <c r="F267" s="11">
        <v>1000</v>
      </c>
    </row>
    <row r="268" spans="1:10" x14ac:dyDescent="0.3">
      <c r="C268" s="98">
        <v>1</v>
      </c>
      <c r="D268" s="98" t="s">
        <v>167</v>
      </c>
      <c r="E268" s="98" t="s">
        <v>436</v>
      </c>
      <c r="F268" s="11">
        <v>575</v>
      </c>
    </row>
    <row r="269" spans="1:10" x14ac:dyDescent="0.3">
      <c r="C269" s="98">
        <v>1</v>
      </c>
      <c r="D269" s="98" t="s">
        <v>169</v>
      </c>
      <c r="E269" s="98" t="s">
        <v>437</v>
      </c>
      <c r="F269" s="11">
        <v>698</v>
      </c>
    </row>
    <row r="270" spans="1:10" x14ac:dyDescent="0.3">
      <c r="C270" s="98">
        <v>2</v>
      </c>
      <c r="D270" s="98" t="s">
        <v>165</v>
      </c>
      <c r="E270" s="98" t="s">
        <v>437</v>
      </c>
      <c r="F270" s="11">
        <v>758</v>
      </c>
    </row>
    <row r="271" spans="1:10" x14ac:dyDescent="0.3">
      <c r="C271" s="98">
        <v>2</v>
      </c>
      <c r="D271" s="98" t="s">
        <v>167</v>
      </c>
      <c r="E271" s="98" t="s">
        <v>435</v>
      </c>
      <c r="F271" s="11">
        <v>1207</v>
      </c>
    </row>
    <row r="272" spans="1:10" x14ac:dyDescent="0.3">
      <c r="C272" s="98">
        <v>2</v>
      </c>
      <c r="D272" s="98" t="s">
        <v>169</v>
      </c>
      <c r="E272" s="98" t="s">
        <v>436</v>
      </c>
      <c r="F272" s="11">
        <v>694</v>
      </c>
    </row>
    <row r="273" spans="3:8" x14ac:dyDescent="0.3">
      <c r="C273" s="98">
        <v>3</v>
      </c>
      <c r="D273" s="98" t="s">
        <v>165</v>
      </c>
      <c r="E273" s="98" t="s">
        <v>437</v>
      </c>
      <c r="F273" s="11">
        <v>797</v>
      </c>
    </row>
    <row r="274" spans="3:8" x14ac:dyDescent="0.3">
      <c r="C274" s="98">
        <v>3</v>
      </c>
      <c r="D274" s="98" t="s">
        <v>167</v>
      </c>
      <c r="E274" s="98" t="s">
        <v>435</v>
      </c>
      <c r="F274" s="11">
        <v>1035</v>
      </c>
    </row>
    <row r="275" spans="3:8" x14ac:dyDescent="0.3">
      <c r="C275" s="98">
        <v>3</v>
      </c>
      <c r="D275" s="98" t="s">
        <v>169</v>
      </c>
      <c r="E275" s="98" t="s">
        <v>435</v>
      </c>
      <c r="F275" s="11">
        <v>1190</v>
      </c>
    </row>
    <row r="276" spans="3:8" x14ac:dyDescent="0.3">
      <c r="C276" s="98">
        <v>4</v>
      </c>
      <c r="D276" s="98" t="s">
        <v>165</v>
      </c>
      <c r="E276" s="98" t="s">
        <v>436</v>
      </c>
      <c r="F276" s="11">
        <v>597</v>
      </c>
    </row>
    <row r="277" spans="3:8" x14ac:dyDescent="0.3">
      <c r="C277" s="98">
        <v>4</v>
      </c>
      <c r="D277" s="98" t="s">
        <v>167</v>
      </c>
      <c r="E277" s="98" t="s">
        <v>435</v>
      </c>
      <c r="F277" s="11">
        <v>970</v>
      </c>
    </row>
    <row r="278" spans="3:8" x14ac:dyDescent="0.3">
      <c r="C278" s="98">
        <v>4</v>
      </c>
      <c r="D278" s="98" t="s">
        <v>169</v>
      </c>
      <c r="E278" s="98" t="s">
        <v>435</v>
      </c>
      <c r="F278" s="11">
        <v>1397</v>
      </c>
    </row>
    <row r="282" spans="3:8" x14ac:dyDescent="0.3">
      <c r="C282" s="74" t="s">
        <v>432</v>
      </c>
      <c r="D282" s="98">
        <v>4</v>
      </c>
    </row>
    <row r="284" spans="3:8" x14ac:dyDescent="0.3">
      <c r="D284" s="74" t="s">
        <v>438</v>
      </c>
      <c r="E284" s="102" t="s">
        <v>435</v>
      </c>
      <c r="F284" s="102" t="s">
        <v>437</v>
      </c>
      <c r="G284" s="102" t="s">
        <v>436</v>
      </c>
      <c r="H284" s="102" t="s">
        <v>416</v>
      </c>
    </row>
    <row r="285" spans="3:8" x14ac:dyDescent="0.3">
      <c r="D285" s="74" t="s">
        <v>165</v>
      </c>
      <c r="E285" s="100">
        <f>SUMIFS($F$267:$F$278, $E$267:$E$278, E$284, $D$267:$D$278, $D285, $C$267:$C$278, $D$282)</f>
        <v>0</v>
      </c>
      <c r="F285" s="100">
        <f t="shared" ref="F285:G287" si="6">SUMIFS($F$267:$F$278, $E$267:$E$278, F$284, $D$267:$D$278, $D285, $C$267:$C$278, $D$282)</f>
        <v>0</v>
      </c>
      <c r="G285" s="100">
        <f t="shared" si="6"/>
        <v>597</v>
      </c>
      <c r="H285" s="100">
        <f>SUM(E285:G285)</f>
        <v>597</v>
      </c>
    </row>
    <row r="286" spans="3:8" x14ac:dyDescent="0.3">
      <c r="D286" s="74" t="s">
        <v>167</v>
      </c>
      <c r="E286" s="100">
        <f>SUMIFS($F$267:$F$278, $E$267:$E$278, E$284, $D$267:$D$278, $D286, $C$267:$C$278, $D$282)</f>
        <v>970</v>
      </c>
      <c r="F286" s="100">
        <f t="shared" si="6"/>
        <v>0</v>
      </c>
      <c r="G286" s="100">
        <f t="shared" si="6"/>
        <v>0</v>
      </c>
      <c r="H286" s="100">
        <f>SUM(E286:G286)</f>
        <v>970</v>
      </c>
    </row>
    <row r="287" spans="3:8" x14ac:dyDescent="0.3">
      <c r="D287" s="74" t="s">
        <v>169</v>
      </c>
      <c r="E287" s="100">
        <f>SUMIFS($F$267:$F$278, $E$267:$E$278, E$284, $D$267:$D$278, $D287, $C$267:$C$278, $D$282)</f>
        <v>1397</v>
      </c>
      <c r="F287" s="100">
        <f t="shared" si="6"/>
        <v>0</v>
      </c>
      <c r="G287" s="100">
        <f t="shared" si="6"/>
        <v>0</v>
      </c>
      <c r="H287" s="100">
        <f>SUM(E287:G287)</f>
        <v>1397</v>
      </c>
    </row>
    <row r="288" spans="3:8" x14ac:dyDescent="0.3">
      <c r="D288" s="74" t="s">
        <v>416</v>
      </c>
      <c r="E288" s="100">
        <f>SUM(E285:E287)</f>
        <v>2367</v>
      </c>
      <c r="F288" s="100">
        <f>SUM(F285:F287)</f>
        <v>0</v>
      </c>
      <c r="G288" s="100">
        <f>SUM(G285:G287)</f>
        <v>597</v>
      </c>
      <c r="H288" s="100">
        <f>SUM(E288:G288)</f>
        <v>2964</v>
      </c>
    </row>
    <row r="290" spans="3:8" x14ac:dyDescent="0.3">
      <c r="C290" s="21" t="s">
        <v>439</v>
      </c>
    </row>
    <row r="294" spans="3:8" x14ac:dyDescent="0.3">
      <c r="C294" s="21" t="s">
        <v>1239</v>
      </c>
    </row>
    <row r="296" spans="3:8" x14ac:dyDescent="0.3">
      <c r="D296" s="74" t="s">
        <v>438</v>
      </c>
      <c r="E296" s="102" t="s">
        <v>435</v>
      </c>
      <c r="F296" s="102" t="s">
        <v>437</v>
      </c>
      <c r="G296" s="102" t="s">
        <v>436</v>
      </c>
      <c r="H296" s="102" t="s">
        <v>416</v>
      </c>
    </row>
    <row r="297" spans="3:8" x14ac:dyDescent="0.3">
      <c r="D297" s="74" t="s">
        <v>165</v>
      </c>
      <c r="E297" s="100" cm="1">
        <f t="array" ref="E297:G299">SUMIFS($F$267:$F$278, $E$267:$E$278, E$284:G$284, $D$267:$D$278, $D297:$D299, $C$267:$C$278, $D$282)</f>
        <v>0</v>
      </c>
      <c r="F297" s="222">
        <v>0</v>
      </c>
      <c r="G297" s="222">
        <v>597</v>
      </c>
      <c r="H297" s="100" cm="1">
        <f t="array" ref="H297:H299">_xlfn.BYROW(_xlfn.ANCHORARRAY(E297), _xlfn.LAMBDA(_xlpm.range, SUM(_xlpm.range)))</f>
        <v>597</v>
      </c>
    </row>
    <row r="298" spans="3:8" x14ac:dyDescent="0.3">
      <c r="D298" s="74" t="s">
        <v>167</v>
      </c>
      <c r="E298" s="222">
        <v>970</v>
      </c>
      <c r="F298" s="222">
        <v>0</v>
      </c>
      <c r="G298" s="222">
        <v>0</v>
      </c>
      <c r="H298" s="222">
        <v>970</v>
      </c>
    </row>
    <row r="299" spans="3:8" x14ac:dyDescent="0.3">
      <c r="D299" s="74" t="s">
        <v>169</v>
      </c>
      <c r="E299" s="222">
        <v>1397</v>
      </c>
      <c r="F299" s="222">
        <v>0</v>
      </c>
      <c r="G299" s="222">
        <v>0</v>
      </c>
      <c r="H299" s="222">
        <v>1397</v>
      </c>
    </row>
    <row r="300" spans="3:8" x14ac:dyDescent="0.3">
      <c r="D300" s="74" t="s">
        <v>416</v>
      </c>
      <c r="E300" s="100" cm="1">
        <f t="array" ref="E300:G300">_xlfn.BYCOL(_xlfn.ANCHORARRAY(E297),_xlfn.LAMBDA(_xlpm.range,SUM(_xlpm.range)))</f>
        <v>2367</v>
      </c>
      <c r="F300" s="222">
        <v>0</v>
      </c>
      <c r="G300" s="222">
        <v>597</v>
      </c>
      <c r="H300" s="223">
        <f>SUM(_xlfn.ANCHORARRAY(H297))</f>
        <v>2964</v>
      </c>
    </row>
  </sheetData>
  <autoFilter ref="C22:F76" xr:uid="{84750683-A082-4A94-9588-E60599F4469D}"/>
  <dataValidations disablePrompts="1" count="3">
    <dataValidation type="list" allowBlank="1" showInputMessage="1" showErrorMessage="1" sqref="D87" xr:uid="{52FAF8E3-3822-429D-A9DF-13E0A2D6B13C}">
      <formula1>"Jan, Feb, Mar, Apr, May, Jun"</formula1>
    </dataValidation>
    <dataValidation type="list" allowBlank="1" showInputMessage="1" showErrorMessage="1" error="Please select month from list" prompt="Please select month from list" sqref="D251 D282" xr:uid="{EE699C29-FBAB-42CF-A0FB-7F39880E8D87}">
      <formula1>"1, 2, 3, 4"</formula1>
    </dataValidation>
    <dataValidation type="list" allowBlank="1" showInputMessage="1" showErrorMessage="1" error="Please select month from list" prompt="Please select month from list" sqref="D216" xr:uid="{D82A9ABC-C391-4A7D-9E6C-D05493E4D2D6}">
      <formula1>$D$100:$D$105</formula1>
    </dataValidation>
  </dataValidations>
  <printOptions horizontalCentered="1"/>
  <pageMargins left="0.15748031496063" right="0.15748031496063" top="0.78740157480314998" bottom="0.78740157480314998" header="0.511811023622047" footer="0.511811023622047"/>
  <pageSetup paperSize="9" scale="54" orientation="landscape" r:id="rId1"/>
  <headerFooter alignWithMargins="0">
    <oddFooter xml:space="preserve">&amp;CClarity Consultancy Services Ltd   info@clarityconsultancyservices.co.uk
Registered in the UK (6619745). Registered Office:  Suite 6 Bourne Gate, Bourne Valley Rd, Poole, BH12 1DY
</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2F6E4-89F8-4FC4-A54E-F320404CBEAB}">
  <sheetPr>
    <pageSetUpPr fitToPage="1"/>
  </sheetPr>
  <dimension ref="A1:T248"/>
  <sheetViews>
    <sheetView showGridLines="0" zoomScaleNormal="100" workbookViewId="0">
      <pane ySplit="1" topLeftCell="A2" activePane="bottomLeft" state="frozen"/>
      <selection activeCell="C202" sqref="C202:F214"/>
      <selection pane="bottomLeft"/>
    </sheetView>
  </sheetViews>
  <sheetFormatPr defaultColWidth="0" defaultRowHeight="16.8" x14ac:dyDescent="0.3"/>
  <cols>
    <col min="1" max="2" width="3.6640625" style="21" customWidth="1"/>
    <col min="3" max="3" width="14.109375" style="21" customWidth="1"/>
    <col min="4" max="4" width="16.44140625" style="21" customWidth="1"/>
    <col min="5" max="8" width="16.109375" style="21" customWidth="1"/>
    <col min="9" max="18" width="16.44140625" style="21" customWidth="1"/>
    <col min="19" max="19" width="10" style="21" hidden="1" customWidth="1"/>
    <col min="20" max="20" width="10.44140625" style="21" hidden="1" customWidth="1"/>
    <col min="21" max="16384" width="8.77734375" style="21" hidden="1"/>
  </cols>
  <sheetData>
    <row r="1" spans="1:18" s="52" customFormat="1" ht="49.95" customHeight="1" x14ac:dyDescent="0.3">
      <c r="A1" s="49"/>
      <c r="B1" s="50" t="s">
        <v>440</v>
      </c>
      <c r="C1" s="49"/>
      <c r="D1" s="49"/>
      <c r="E1" s="49"/>
      <c r="F1" s="51"/>
      <c r="G1" s="51"/>
      <c r="H1" s="51"/>
      <c r="I1" s="51"/>
      <c r="J1" s="51"/>
      <c r="K1" s="51"/>
      <c r="L1" s="51"/>
      <c r="M1" s="51"/>
      <c r="N1" s="51"/>
      <c r="O1" s="51"/>
      <c r="P1" s="51"/>
      <c r="Q1" s="51"/>
      <c r="R1" s="51"/>
    </row>
    <row r="2" spans="1:18" ht="12" customHeight="1" x14ac:dyDescent="0.3"/>
    <row r="3" spans="1:18" ht="21" x14ac:dyDescent="0.5">
      <c r="B3" s="53" t="s">
        <v>441</v>
      </c>
      <c r="C3" s="53"/>
    </row>
    <row r="4" spans="1:18" ht="12" customHeight="1" x14ac:dyDescent="0.5">
      <c r="B4" s="53"/>
      <c r="C4" s="53"/>
    </row>
    <row r="5" spans="1:18" ht="21" x14ac:dyDescent="0.5">
      <c r="B5" s="53"/>
      <c r="C5" s="53" t="s">
        <v>371</v>
      </c>
    </row>
    <row r="6" spans="1:18" ht="21" x14ac:dyDescent="0.5">
      <c r="B6" s="53"/>
      <c r="C6" s="53" t="s">
        <v>372</v>
      </c>
    </row>
    <row r="7" spans="1:18" ht="21" x14ac:dyDescent="0.5">
      <c r="B7" s="53"/>
      <c r="C7" s="53" t="s">
        <v>373</v>
      </c>
    </row>
    <row r="8" spans="1:18" ht="21" x14ac:dyDescent="0.5">
      <c r="B8" s="53"/>
      <c r="C8" s="53" t="s">
        <v>374</v>
      </c>
    </row>
    <row r="10" spans="1:18" s="52" customFormat="1" ht="21" x14ac:dyDescent="0.5">
      <c r="A10" s="55"/>
      <c r="B10" s="56" t="s">
        <v>7</v>
      </c>
      <c r="C10" s="55"/>
      <c r="D10" s="55"/>
      <c r="E10" s="55"/>
      <c r="F10" s="57"/>
      <c r="G10" s="57"/>
      <c r="H10" s="57"/>
      <c r="I10" s="57"/>
      <c r="J10" s="57"/>
      <c r="K10" s="57"/>
      <c r="L10" s="57"/>
      <c r="M10" s="57"/>
      <c r="N10" s="57"/>
      <c r="O10" s="57"/>
      <c r="P10" s="57"/>
      <c r="Q10" s="57"/>
      <c r="R10" s="57"/>
    </row>
    <row r="11" spans="1:18" x14ac:dyDescent="0.3">
      <c r="C11" s="21" t="s">
        <v>442</v>
      </c>
    </row>
    <row r="12" spans="1:18" x14ac:dyDescent="0.3">
      <c r="C12" s="21" t="s">
        <v>443</v>
      </c>
    </row>
    <row r="13" spans="1:18" x14ac:dyDescent="0.3">
      <c r="C13" s="21" t="s">
        <v>444</v>
      </c>
    </row>
    <row r="14" spans="1:18" x14ac:dyDescent="0.3">
      <c r="C14" s="21" t="s">
        <v>445</v>
      </c>
    </row>
    <row r="16" spans="1:18" s="52" customFormat="1" ht="21" x14ac:dyDescent="0.5">
      <c r="A16" s="55"/>
      <c r="B16" s="56" t="s">
        <v>378</v>
      </c>
      <c r="C16" s="55"/>
      <c r="D16" s="55"/>
      <c r="E16" s="55"/>
      <c r="F16" s="57"/>
      <c r="G16" s="57"/>
      <c r="H16" s="57"/>
      <c r="I16" s="57"/>
      <c r="J16" s="57"/>
      <c r="K16" s="57"/>
      <c r="L16" s="57"/>
      <c r="M16" s="57"/>
      <c r="N16" s="57"/>
      <c r="O16" s="57"/>
      <c r="P16" s="57"/>
      <c r="Q16" s="57"/>
      <c r="R16" s="57"/>
    </row>
    <row r="18" spans="2:18" x14ac:dyDescent="0.3">
      <c r="C18" s="21" t="s">
        <v>446</v>
      </c>
    </row>
    <row r="19" spans="2:18" x14ac:dyDescent="0.3">
      <c r="C19" s="21" t="s">
        <v>447</v>
      </c>
    </row>
    <row r="20" spans="2:18" x14ac:dyDescent="0.3">
      <c r="B20" s="37"/>
    </row>
    <row r="21" spans="2:18" x14ac:dyDescent="0.3">
      <c r="C21" s="74" t="s">
        <v>310</v>
      </c>
      <c r="D21" s="74" t="s">
        <v>381</v>
      </c>
      <c r="E21" s="74" t="s">
        <v>28</v>
      </c>
      <c r="F21" s="74" t="s">
        <v>113</v>
      </c>
      <c r="R21" s="83"/>
    </row>
    <row r="22" spans="2:18" x14ac:dyDescent="0.3">
      <c r="C22" s="11" t="s">
        <v>349</v>
      </c>
      <c r="D22" s="11" t="s">
        <v>165</v>
      </c>
      <c r="E22" s="11" t="s">
        <v>123</v>
      </c>
      <c r="F22" s="11">
        <v>871</v>
      </c>
    </row>
    <row r="23" spans="2:18" x14ac:dyDescent="0.3">
      <c r="C23" s="11" t="s">
        <v>349</v>
      </c>
      <c r="D23" s="11" t="s">
        <v>165</v>
      </c>
      <c r="E23" s="11" t="s">
        <v>125</v>
      </c>
      <c r="F23" s="11">
        <v>357</v>
      </c>
    </row>
    <row r="24" spans="2:18" x14ac:dyDescent="0.3">
      <c r="C24" s="11" t="s">
        <v>349</v>
      </c>
      <c r="D24" s="11" t="s">
        <v>165</v>
      </c>
      <c r="E24" s="11" t="s">
        <v>126</v>
      </c>
      <c r="F24" s="11">
        <v>136</v>
      </c>
    </row>
    <row r="25" spans="2:18" x14ac:dyDescent="0.3">
      <c r="C25" s="11" t="s">
        <v>349</v>
      </c>
      <c r="D25" s="11" t="s">
        <v>167</v>
      </c>
      <c r="E25" s="11" t="s">
        <v>123</v>
      </c>
      <c r="F25" s="11">
        <v>708</v>
      </c>
    </row>
    <row r="26" spans="2:18" x14ac:dyDescent="0.3">
      <c r="C26" s="11" t="s">
        <v>349</v>
      </c>
      <c r="D26" s="11" t="s">
        <v>167</v>
      </c>
      <c r="E26" s="11" t="s">
        <v>125</v>
      </c>
      <c r="F26" s="11">
        <v>280</v>
      </c>
    </row>
    <row r="27" spans="2:18" x14ac:dyDescent="0.3">
      <c r="C27" s="11" t="s">
        <v>349</v>
      </c>
      <c r="D27" s="11" t="s">
        <v>167</v>
      </c>
      <c r="E27" s="11" t="s">
        <v>126</v>
      </c>
      <c r="F27" s="11">
        <v>110</v>
      </c>
    </row>
    <row r="28" spans="2:18" x14ac:dyDescent="0.3">
      <c r="C28" s="11" t="s">
        <v>349</v>
      </c>
      <c r="D28" s="11" t="s">
        <v>169</v>
      </c>
      <c r="E28" s="11" t="s">
        <v>123</v>
      </c>
      <c r="F28" s="11">
        <v>714</v>
      </c>
    </row>
    <row r="29" spans="2:18" x14ac:dyDescent="0.3">
      <c r="C29" s="11" t="s">
        <v>349</v>
      </c>
      <c r="D29" s="11" t="s">
        <v>169</v>
      </c>
      <c r="E29" s="11" t="s">
        <v>125</v>
      </c>
      <c r="F29" s="11">
        <v>291</v>
      </c>
    </row>
    <row r="30" spans="2:18" x14ac:dyDescent="0.3">
      <c r="C30" s="11" t="s">
        <v>349</v>
      </c>
      <c r="D30" s="11" t="s">
        <v>169</v>
      </c>
      <c r="E30" s="11" t="s">
        <v>126</v>
      </c>
      <c r="F30" s="11">
        <v>111</v>
      </c>
    </row>
    <row r="31" spans="2:18" x14ac:dyDescent="0.3">
      <c r="C31" s="11" t="s">
        <v>350</v>
      </c>
      <c r="D31" s="11" t="s">
        <v>165</v>
      </c>
      <c r="E31" s="11" t="s">
        <v>123</v>
      </c>
      <c r="F31" s="11">
        <v>685</v>
      </c>
    </row>
    <row r="32" spans="2:18" x14ac:dyDescent="0.3">
      <c r="C32" s="11" t="s">
        <v>350</v>
      </c>
      <c r="D32" s="11" t="s">
        <v>165</v>
      </c>
      <c r="E32" s="11" t="s">
        <v>125</v>
      </c>
      <c r="F32" s="11">
        <v>271</v>
      </c>
    </row>
    <row r="33" spans="3:6" x14ac:dyDescent="0.3">
      <c r="C33" s="11" t="s">
        <v>350</v>
      </c>
      <c r="D33" s="11" t="s">
        <v>165</v>
      </c>
      <c r="E33" s="11" t="s">
        <v>126</v>
      </c>
      <c r="F33" s="11">
        <v>100</v>
      </c>
    </row>
    <row r="34" spans="3:6" x14ac:dyDescent="0.3">
      <c r="C34" s="11" t="s">
        <v>350</v>
      </c>
      <c r="D34" s="11" t="s">
        <v>167</v>
      </c>
      <c r="E34" s="11" t="s">
        <v>123</v>
      </c>
      <c r="F34" s="11">
        <v>714</v>
      </c>
    </row>
    <row r="35" spans="3:6" x14ac:dyDescent="0.3">
      <c r="C35" s="11" t="s">
        <v>350</v>
      </c>
      <c r="D35" s="11" t="s">
        <v>167</v>
      </c>
      <c r="E35" s="11" t="s">
        <v>125</v>
      </c>
      <c r="F35" s="11">
        <v>291</v>
      </c>
    </row>
    <row r="36" spans="3:6" x14ac:dyDescent="0.3">
      <c r="C36" s="11" t="s">
        <v>350</v>
      </c>
      <c r="D36" s="11" t="s">
        <v>167</v>
      </c>
      <c r="E36" s="11" t="s">
        <v>126</v>
      </c>
      <c r="F36" s="11">
        <v>100</v>
      </c>
    </row>
    <row r="37" spans="3:6" x14ac:dyDescent="0.3">
      <c r="C37" s="11" t="s">
        <v>350</v>
      </c>
      <c r="D37" s="11" t="s">
        <v>169</v>
      </c>
      <c r="E37" s="11" t="s">
        <v>123</v>
      </c>
      <c r="F37" s="11">
        <v>720</v>
      </c>
    </row>
    <row r="38" spans="3:6" x14ac:dyDescent="0.3">
      <c r="C38" s="11" t="s">
        <v>350</v>
      </c>
      <c r="D38" s="11" t="s">
        <v>169</v>
      </c>
      <c r="E38" s="11" t="s">
        <v>125</v>
      </c>
      <c r="F38" s="11">
        <v>300</v>
      </c>
    </row>
    <row r="39" spans="3:6" x14ac:dyDescent="0.3">
      <c r="C39" s="11" t="s">
        <v>350</v>
      </c>
      <c r="D39" s="11" t="s">
        <v>169</v>
      </c>
      <c r="E39" s="11" t="s">
        <v>126</v>
      </c>
      <c r="F39" s="11">
        <v>118</v>
      </c>
    </row>
    <row r="40" spans="3:6" x14ac:dyDescent="0.3">
      <c r="C40" s="11" t="s">
        <v>351</v>
      </c>
      <c r="D40" s="11" t="s">
        <v>165</v>
      </c>
      <c r="E40" s="11" t="s">
        <v>123</v>
      </c>
      <c r="F40" s="11">
        <v>708</v>
      </c>
    </row>
    <row r="41" spans="3:6" x14ac:dyDescent="0.3">
      <c r="C41" s="11" t="s">
        <v>351</v>
      </c>
      <c r="D41" s="11" t="s">
        <v>165</v>
      </c>
      <c r="E41" s="11" t="s">
        <v>125</v>
      </c>
      <c r="F41" s="11">
        <v>290</v>
      </c>
    </row>
    <row r="42" spans="3:6" x14ac:dyDescent="0.3">
      <c r="C42" s="11" t="s">
        <v>351</v>
      </c>
      <c r="D42" s="11" t="s">
        <v>165</v>
      </c>
      <c r="E42" s="11" t="s">
        <v>126</v>
      </c>
      <c r="F42" s="11">
        <v>86</v>
      </c>
    </row>
    <row r="43" spans="3:6" x14ac:dyDescent="0.3">
      <c r="C43" s="11" t="s">
        <v>351</v>
      </c>
      <c r="D43" s="11" t="s">
        <v>167</v>
      </c>
      <c r="E43" s="11" t="s">
        <v>123</v>
      </c>
      <c r="F43" s="11">
        <v>896</v>
      </c>
    </row>
    <row r="44" spans="3:6" x14ac:dyDescent="0.3">
      <c r="C44" s="11" t="s">
        <v>351</v>
      </c>
      <c r="D44" s="11" t="s">
        <v>167</v>
      </c>
      <c r="E44" s="11" t="s">
        <v>125</v>
      </c>
      <c r="F44" s="11">
        <v>357</v>
      </c>
    </row>
    <row r="45" spans="3:6" x14ac:dyDescent="0.3">
      <c r="C45" s="11" t="s">
        <v>351</v>
      </c>
      <c r="D45" s="11" t="s">
        <v>167</v>
      </c>
      <c r="E45" s="11" t="s">
        <v>126</v>
      </c>
      <c r="F45" s="11">
        <v>132</v>
      </c>
    </row>
    <row r="46" spans="3:6" x14ac:dyDescent="0.3">
      <c r="C46" s="11" t="s">
        <v>351</v>
      </c>
      <c r="D46" s="11" t="s">
        <v>169</v>
      </c>
      <c r="E46" s="11" t="s">
        <v>123</v>
      </c>
      <c r="F46" s="11">
        <v>900</v>
      </c>
    </row>
    <row r="47" spans="3:6" x14ac:dyDescent="0.3">
      <c r="C47" s="11" t="s">
        <v>351</v>
      </c>
      <c r="D47" s="11" t="s">
        <v>169</v>
      </c>
      <c r="E47" s="11" t="s">
        <v>125</v>
      </c>
      <c r="F47" s="11">
        <v>374</v>
      </c>
    </row>
    <row r="48" spans="3:6" x14ac:dyDescent="0.3">
      <c r="C48" s="11" t="s">
        <v>351</v>
      </c>
      <c r="D48" s="11" t="s">
        <v>169</v>
      </c>
      <c r="E48" s="11" t="s">
        <v>126</v>
      </c>
      <c r="F48" s="11">
        <v>140</v>
      </c>
    </row>
    <row r="49" spans="3:6" x14ac:dyDescent="0.3">
      <c r="C49" s="11" t="s">
        <v>352</v>
      </c>
      <c r="D49" s="11" t="s">
        <v>165</v>
      </c>
      <c r="E49" s="11" t="s">
        <v>123</v>
      </c>
      <c r="F49" s="11">
        <v>700</v>
      </c>
    </row>
    <row r="50" spans="3:6" x14ac:dyDescent="0.3">
      <c r="C50" s="11" t="s">
        <v>352</v>
      </c>
      <c r="D50" s="11" t="s">
        <v>165</v>
      </c>
      <c r="E50" s="11" t="s">
        <v>125</v>
      </c>
      <c r="F50" s="11">
        <v>283</v>
      </c>
    </row>
    <row r="51" spans="3:6" x14ac:dyDescent="0.3">
      <c r="C51" s="11" t="s">
        <v>352</v>
      </c>
      <c r="D51" s="11" t="s">
        <v>165</v>
      </c>
      <c r="E51" s="11" t="s">
        <v>126</v>
      </c>
      <c r="F51" s="11">
        <v>100</v>
      </c>
    </row>
    <row r="52" spans="3:6" x14ac:dyDescent="0.3">
      <c r="C52" s="11" t="s">
        <v>352</v>
      </c>
      <c r="D52" s="11" t="s">
        <v>167</v>
      </c>
      <c r="E52" s="11" t="s">
        <v>123</v>
      </c>
      <c r="F52" s="11">
        <v>718</v>
      </c>
    </row>
    <row r="53" spans="3:6" x14ac:dyDescent="0.3">
      <c r="C53" s="11" t="s">
        <v>352</v>
      </c>
      <c r="D53" s="11" t="s">
        <v>167</v>
      </c>
      <c r="E53" s="11" t="s">
        <v>125</v>
      </c>
      <c r="F53" s="11">
        <v>295</v>
      </c>
    </row>
    <row r="54" spans="3:6" x14ac:dyDescent="0.3">
      <c r="C54" s="11" t="s">
        <v>352</v>
      </c>
      <c r="D54" s="11" t="s">
        <v>167</v>
      </c>
      <c r="E54" s="11" t="s">
        <v>126</v>
      </c>
      <c r="F54" s="11">
        <v>106</v>
      </c>
    </row>
    <row r="55" spans="3:6" x14ac:dyDescent="0.3">
      <c r="C55" s="11" t="s">
        <v>352</v>
      </c>
      <c r="D55" s="11" t="s">
        <v>169</v>
      </c>
      <c r="E55" s="11" t="s">
        <v>123</v>
      </c>
      <c r="F55" s="11">
        <v>720</v>
      </c>
    </row>
    <row r="56" spans="3:6" x14ac:dyDescent="0.3">
      <c r="C56" s="11" t="s">
        <v>352</v>
      </c>
      <c r="D56" s="11" t="s">
        <v>169</v>
      </c>
      <c r="E56" s="11" t="s">
        <v>125</v>
      </c>
      <c r="F56" s="11">
        <v>300</v>
      </c>
    </row>
    <row r="57" spans="3:6" x14ac:dyDescent="0.3">
      <c r="C57" s="11" t="s">
        <v>352</v>
      </c>
      <c r="D57" s="11" t="s">
        <v>169</v>
      </c>
      <c r="E57" s="11" t="s">
        <v>126</v>
      </c>
      <c r="F57" s="11">
        <v>118</v>
      </c>
    </row>
    <row r="58" spans="3:6" x14ac:dyDescent="0.3">
      <c r="C58" s="11" t="s">
        <v>353</v>
      </c>
      <c r="D58" s="11" t="s">
        <v>165</v>
      </c>
      <c r="E58" s="11" t="s">
        <v>123</v>
      </c>
      <c r="F58" s="11">
        <v>892</v>
      </c>
    </row>
    <row r="59" spans="3:6" x14ac:dyDescent="0.3">
      <c r="C59" s="11" t="s">
        <v>353</v>
      </c>
      <c r="D59" s="11" t="s">
        <v>165</v>
      </c>
      <c r="E59" s="11" t="s">
        <v>125</v>
      </c>
      <c r="F59" s="11">
        <v>357</v>
      </c>
    </row>
    <row r="60" spans="3:6" x14ac:dyDescent="0.3">
      <c r="C60" s="11" t="s">
        <v>353</v>
      </c>
      <c r="D60" s="11" t="s">
        <v>165</v>
      </c>
      <c r="E60" s="11" t="s">
        <v>126</v>
      </c>
      <c r="F60" s="11">
        <v>128</v>
      </c>
    </row>
    <row r="61" spans="3:6" x14ac:dyDescent="0.3">
      <c r="C61" s="11" t="s">
        <v>353</v>
      </c>
      <c r="D61" s="11" t="s">
        <v>167</v>
      </c>
      <c r="E61" s="11" t="s">
        <v>123</v>
      </c>
      <c r="F61" s="11">
        <v>894</v>
      </c>
    </row>
    <row r="62" spans="3:6" x14ac:dyDescent="0.3">
      <c r="C62" s="11" t="s">
        <v>353</v>
      </c>
      <c r="D62" s="11" t="s">
        <v>167</v>
      </c>
      <c r="E62" s="11" t="s">
        <v>125</v>
      </c>
      <c r="F62" s="11">
        <v>359</v>
      </c>
    </row>
    <row r="63" spans="3:6" x14ac:dyDescent="0.3">
      <c r="C63" s="11" t="s">
        <v>353</v>
      </c>
      <c r="D63" s="11" t="s">
        <v>167</v>
      </c>
      <c r="E63" s="11" t="s">
        <v>126</v>
      </c>
      <c r="F63" s="11">
        <v>131</v>
      </c>
    </row>
    <row r="64" spans="3:6" x14ac:dyDescent="0.3">
      <c r="C64" s="11" t="s">
        <v>353</v>
      </c>
      <c r="D64" s="11" t="s">
        <v>169</v>
      </c>
      <c r="E64" s="11" t="s">
        <v>123</v>
      </c>
      <c r="F64" s="11">
        <v>720</v>
      </c>
    </row>
    <row r="65" spans="1:18" x14ac:dyDescent="0.3">
      <c r="C65" s="11" t="s">
        <v>353</v>
      </c>
      <c r="D65" s="11" t="s">
        <v>169</v>
      </c>
      <c r="E65" s="11" t="s">
        <v>125</v>
      </c>
      <c r="F65" s="11">
        <v>300</v>
      </c>
    </row>
    <row r="66" spans="1:18" x14ac:dyDescent="0.3">
      <c r="C66" s="11" t="s">
        <v>353</v>
      </c>
      <c r="D66" s="11" t="s">
        <v>169</v>
      </c>
      <c r="E66" s="11" t="s">
        <v>126</v>
      </c>
      <c r="F66" s="11">
        <v>112</v>
      </c>
    </row>
    <row r="67" spans="1:18" x14ac:dyDescent="0.3">
      <c r="C67" s="11" t="s">
        <v>354</v>
      </c>
      <c r="D67" s="11" t="s">
        <v>165</v>
      </c>
      <c r="E67" s="11" t="s">
        <v>123</v>
      </c>
      <c r="F67" s="11">
        <v>720</v>
      </c>
    </row>
    <row r="68" spans="1:18" x14ac:dyDescent="0.3">
      <c r="C68" s="11" t="s">
        <v>354</v>
      </c>
      <c r="D68" s="11" t="s">
        <v>165</v>
      </c>
      <c r="E68" s="11" t="s">
        <v>125</v>
      </c>
      <c r="F68" s="11">
        <v>283</v>
      </c>
    </row>
    <row r="69" spans="1:18" x14ac:dyDescent="0.3">
      <c r="C69" s="11" t="s">
        <v>354</v>
      </c>
      <c r="D69" s="11" t="s">
        <v>165</v>
      </c>
      <c r="E69" s="11" t="s">
        <v>126</v>
      </c>
      <c r="F69" s="11">
        <v>95</v>
      </c>
    </row>
    <row r="70" spans="1:18" x14ac:dyDescent="0.3">
      <c r="C70" s="11" t="s">
        <v>354</v>
      </c>
      <c r="D70" s="11" t="s">
        <v>167</v>
      </c>
      <c r="E70" s="11" t="s">
        <v>123</v>
      </c>
      <c r="F70" s="11">
        <v>720</v>
      </c>
    </row>
    <row r="71" spans="1:18" x14ac:dyDescent="0.3">
      <c r="C71" s="11" t="s">
        <v>354</v>
      </c>
      <c r="D71" s="11" t="s">
        <v>167</v>
      </c>
      <c r="E71" s="11" t="s">
        <v>125</v>
      </c>
      <c r="F71" s="11">
        <v>292</v>
      </c>
    </row>
    <row r="72" spans="1:18" x14ac:dyDescent="0.3">
      <c r="C72" s="11" t="s">
        <v>354</v>
      </c>
      <c r="D72" s="11" t="s">
        <v>167</v>
      </c>
      <c r="E72" s="11" t="s">
        <v>126</v>
      </c>
      <c r="F72" s="11">
        <v>109</v>
      </c>
    </row>
    <row r="73" spans="1:18" x14ac:dyDescent="0.3">
      <c r="C73" s="11" t="s">
        <v>354</v>
      </c>
      <c r="D73" s="11" t="s">
        <v>169</v>
      </c>
      <c r="E73" s="11" t="s">
        <v>123</v>
      </c>
      <c r="F73" s="11">
        <v>900</v>
      </c>
    </row>
    <row r="74" spans="1:18" x14ac:dyDescent="0.3">
      <c r="C74" s="11" t="s">
        <v>354</v>
      </c>
      <c r="D74" s="11" t="s">
        <v>169</v>
      </c>
      <c r="E74" s="11" t="s">
        <v>125</v>
      </c>
      <c r="F74" s="11">
        <v>370</v>
      </c>
    </row>
    <row r="75" spans="1:18" x14ac:dyDescent="0.3">
      <c r="C75" s="11" t="s">
        <v>354</v>
      </c>
      <c r="D75" s="11" t="s">
        <v>169</v>
      </c>
      <c r="E75" s="11" t="s">
        <v>126</v>
      </c>
      <c r="F75" s="11">
        <v>145</v>
      </c>
    </row>
    <row r="76" spans="1:18" ht="12.45" customHeight="1" x14ac:dyDescent="0.3"/>
    <row r="77" spans="1:18" x14ac:dyDescent="0.3">
      <c r="C77" s="99" t="s">
        <v>448</v>
      </c>
      <c r="F77" s="100">
        <f>COUNT(F22:F75)</f>
        <v>54</v>
      </c>
      <c r="H77" s="83" t="str">
        <f ca="1">_xlfn.FORMULATEXT(F77)</f>
        <v>=COUNT(F22:F75)</v>
      </c>
    </row>
    <row r="78" spans="1:18" ht="12.45" customHeight="1" x14ac:dyDescent="0.3">
      <c r="B78" s="99"/>
    </row>
    <row r="79" spans="1:18" ht="12.45" customHeight="1" x14ac:dyDescent="0.3">
      <c r="B79" s="99"/>
    </row>
    <row r="80" spans="1:18" s="52" customFormat="1" ht="21" x14ac:dyDescent="0.5">
      <c r="A80" s="55"/>
      <c r="B80" s="56" t="s">
        <v>449</v>
      </c>
      <c r="C80" s="55"/>
      <c r="D80" s="55"/>
      <c r="E80" s="55"/>
      <c r="F80" s="57"/>
      <c r="G80" s="57"/>
      <c r="H80" s="57"/>
      <c r="I80" s="57"/>
      <c r="J80" s="57"/>
      <c r="K80" s="57"/>
      <c r="L80" s="57"/>
      <c r="M80" s="57"/>
      <c r="N80" s="57"/>
      <c r="O80" s="57"/>
      <c r="P80" s="57"/>
      <c r="Q80" s="57"/>
      <c r="R80" s="57"/>
    </row>
    <row r="81" spans="2:8" ht="12.45" customHeight="1" x14ac:dyDescent="0.3">
      <c r="B81" s="99"/>
    </row>
    <row r="82" spans="2:8" x14ac:dyDescent="0.3">
      <c r="C82" s="21" t="s">
        <v>450</v>
      </c>
    </row>
    <row r="83" spans="2:8" x14ac:dyDescent="0.3">
      <c r="C83" s="32"/>
    </row>
    <row r="84" spans="2:8" x14ac:dyDescent="0.3">
      <c r="C84" s="21" t="s">
        <v>451</v>
      </c>
    </row>
    <row r="85" spans="2:8" x14ac:dyDescent="0.3">
      <c r="C85" s="32"/>
    </row>
    <row r="86" spans="2:8" x14ac:dyDescent="0.3">
      <c r="C86" s="21" t="s">
        <v>310</v>
      </c>
      <c r="D86" s="11" t="s">
        <v>349</v>
      </c>
      <c r="F86" s="100">
        <f>COUNTIFS($C$22:$C$75, D86)</f>
        <v>9</v>
      </c>
      <c r="H86" s="83" t="str">
        <f ca="1">_xlfn.FORMULATEXT(F86)</f>
        <v>=COUNTIFS($C$22:$C$75, D86)</v>
      </c>
    </row>
    <row r="87" spans="2:8" ht="6.45" customHeight="1" x14ac:dyDescent="0.3"/>
    <row r="88" spans="2:8" x14ac:dyDescent="0.3">
      <c r="G88" s="83"/>
    </row>
    <row r="89" spans="2:8" x14ac:dyDescent="0.3">
      <c r="C89" s="21" t="s">
        <v>386</v>
      </c>
      <c r="G89" s="83"/>
    </row>
    <row r="90" spans="2:8" x14ac:dyDescent="0.3">
      <c r="G90" s="83"/>
    </row>
    <row r="91" spans="2:8" x14ac:dyDescent="0.3">
      <c r="C91" s="83" t="s">
        <v>452</v>
      </c>
    </row>
    <row r="93" spans="2:8" x14ac:dyDescent="0.3">
      <c r="C93" s="21" t="s">
        <v>390</v>
      </c>
      <c r="D93" s="21" t="s">
        <v>453</v>
      </c>
    </row>
    <row r="94" spans="2:8" x14ac:dyDescent="0.3">
      <c r="C94" s="21" t="s">
        <v>392</v>
      </c>
      <c r="D94" s="21" t="s">
        <v>454</v>
      </c>
    </row>
    <row r="96" spans="2:8" x14ac:dyDescent="0.3">
      <c r="C96" s="21" t="s">
        <v>394</v>
      </c>
    </row>
    <row r="98" spans="3:8" x14ac:dyDescent="0.3">
      <c r="D98" s="11" t="s">
        <v>349</v>
      </c>
      <c r="F98" s="100">
        <f t="shared" ref="F98:F103" si="0">COUNTIFS($C$22:$C$75, D98)</f>
        <v>9</v>
      </c>
      <c r="H98" s="83" t="str">
        <f t="shared" ref="H98:H104" ca="1" si="1">_xlfn.FORMULATEXT(F98)</f>
        <v>=COUNTIFS($C$22:$C$75, D98)</v>
      </c>
    </row>
    <row r="99" spans="3:8" x14ac:dyDescent="0.3">
      <c r="D99" s="11" t="s">
        <v>350</v>
      </c>
      <c r="F99" s="100">
        <f t="shared" si="0"/>
        <v>9</v>
      </c>
      <c r="H99" s="83" t="str">
        <f t="shared" ca="1" si="1"/>
        <v>=COUNTIFS($C$22:$C$75, D99)</v>
      </c>
    </row>
    <row r="100" spans="3:8" x14ac:dyDescent="0.3">
      <c r="D100" s="11" t="s">
        <v>351</v>
      </c>
      <c r="F100" s="100">
        <f t="shared" si="0"/>
        <v>9</v>
      </c>
      <c r="H100" s="83" t="str">
        <f t="shared" ca="1" si="1"/>
        <v>=COUNTIFS($C$22:$C$75, D100)</v>
      </c>
    </row>
    <row r="101" spans="3:8" x14ac:dyDescent="0.3">
      <c r="D101" s="11" t="s">
        <v>352</v>
      </c>
      <c r="F101" s="100">
        <f t="shared" si="0"/>
        <v>9</v>
      </c>
      <c r="H101" s="83" t="str">
        <f t="shared" ca="1" si="1"/>
        <v>=COUNTIFS($C$22:$C$75, D101)</v>
      </c>
    </row>
    <row r="102" spans="3:8" x14ac:dyDescent="0.3">
      <c r="D102" s="11" t="s">
        <v>353</v>
      </c>
      <c r="F102" s="100">
        <f t="shared" si="0"/>
        <v>9</v>
      </c>
      <c r="H102" s="83" t="str">
        <f t="shared" ca="1" si="1"/>
        <v>=COUNTIFS($C$22:$C$75, D102)</v>
      </c>
    </row>
    <row r="103" spans="3:8" x14ac:dyDescent="0.3">
      <c r="D103" s="11" t="s">
        <v>354</v>
      </c>
      <c r="F103" s="100">
        <f t="shared" si="0"/>
        <v>9</v>
      </c>
      <c r="H103" s="83" t="str">
        <f t="shared" ca="1" si="1"/>
        <v>=COUNTIFS($C$22:$C$75, D103)</v>
      </c>
    </row>
    <row r="104" spans="3:8" x14ac:dyDescent="0.3">
      <c r="D104" s="74" t="s">
        <v>395</v>
      </c>
      <c r="F104" s="100">
        <f>SUM(F98:F103)</f>
        <v>54</v>
      </c>
      <c r="H104" s="21" t="str">
        <f t="shared" ca="1" si="1"/>
        <v>=SUM(F98:F103)</v>
      </c>
    </row>
    <row r="106" spans="3:8" x14ac:dyDescent="0.3">
      <c r="C106" s="21" t="s">
        <v>455</v>
      </c>
    </row>
    <row r="108" spans="3:8" x14ac:dyDescent="0.3">
      <c r="D108" s="11" t="s">
        <v>165</v>
      </c>
      <c r="F108" s="100">
        <f>COUNTIFS($D$22:$D$75, D108)</f>
        <v>18</v>
      </c>
      <c r="H108" s="83" t="str">
        <f ca="1">_xlfn.FORMULATEXT(F108)</f>
        <v>=COUNTIFS($D$22:$D$75, D108)</v>
      </c>
    </row>
    <row r="109" spans="3:8" x14ac:dyDescent="0.3">
      <c r="D109" s="11" t="s">
        <v>167</v>
      </c>
      <c r="F109" s="100">
        <f>COUNTIFS($D$22:$D$75, D109)</f>
        <v>18</v>
      </c>
      <c r="H109" s="83" t="str">
        <f ca="1">_xlfn.FORMULATEXT(F109)</f>
        <v>=COUNTIFS($D$22:$D$75, D109)</v>
      </c>
    </row>
    <row r="110" spans="3:8" x14ac:dyDescent="0.3">
      <c r="D110" s="11" t="s">
        <v>169</v>
      </c>
      <c r="F110" s="100">
        <f>COUNTIFS($D$22:$D$75, D110)</f>
        <v>18</v>
      </c>
      <c r="H110" s="83" t="str">
        <f ca="1">_xlfn.FORMULATEXT(F110)</f>
        <v>=COUNTIFS($D$22:$D$75, D110)</v>
      </c>
    </row>
    <row r="111" spans="3:8" x14ac:dyDescent="0.3">
      <c r="D111" s="74" t="s">
        <v>395</v>
      </c>
      <c r="F111" s="100">
        <f>SUM(F108:F110)</f>
        <v>54</v>
      </c>
    </row>
    <row r="114" spans="1:18" x14ac:dyDescent="0.3">
      <c r="C114" s="21" t="s">
        <v>456</v>
      </c>
    </row>
    <row r="116" spans="1:18" x14ac:dyDescent="0.3">
      <c r="D116" s="11" t="s">
        <v>123</v>
      </c>
      <c r="F116" s="100">
        <f>COUNTIFS($E$22:$E$75, D116)</f>
        <v>18</v>
      </c>
      <c r="H116" s="83" t="str">
        <f ca="1">_xlfn.FORMULATEXT(F116)</f>
        <v>=COUNTIFS($E$22:$E$75, D116)</v>
      </c>
    </row>
    <row r="117" spans="1:18" x14ac:dyDescent="0.3">
      <c r="D117" s="11" t="s">
        <v>125</v>
      </c>
      <c r="F117" s="100">
        <f>COUNTIFS($E$22:$E$75, D117)</f>
        <v>18</v>
      </c>
      <c r="H117" s="83" t="str">
        <f ca="1">_xlfn.FORMULATEXT(F117)</f>
        <v>=COUNTIFS($E$22:$E$75, D117)</v>
      </c>
    </row>
    <row r="118" spans="1:18" x14ac:dyDescent="0.3">
      <c r="D118" s="11" t="s">
        <v>126</v>
      </c>
      <c r="F118" s="100">
        <f>COUNTIFS($E$22:$E$75, D118)</f>
        <v>18</v>
      </c>
      <c r="H118" s="83" t="str">
        <f ca="1">_xlfn.FORMULATEXT(F118)</f>
        <v>=COUNTIFS($E$22:$E$75, D118)</v>
      </c>
    </row>
    <row r="119" spans="1:18" x14ac:dyDescent="0.3">
      <c r="D119" s="74" t="s">
        <v>395</v>
      </c>
      <c r="F119" s="100">
        <f>SUM(F116:F118)</f>
        <v>54</v>
      </c>
    </row>
    <row r="122" spans="1:18" x14ac:dyDescent="0.3">
      <c r="C122" s="21" t="s">
        <v>457</v>
      </c>
    </row>
    <row r="123" spans="1:18" x14ac:dyDescent="0.3">
      <c r="C123" s="101" t="s">
        <v>458</v>
      </c>
    </row>
    <row r="124" spans="1:18" x14ac:dyDescent="0.3">
      <c r="C124" s="101" t="s">
        <v>459</v>
      </c>
    </row>
    <row r="125" spans="1:18" x14ac:dyDescent="0.3">
      <c r="C125" s="101" t="s">
        <v>460</v>
      </c>
    </row>
    <row r="127" spans="1:18" s="52" customFormat="1" ht="21" x14ac:dyDescent="0.5">
      <c r="A127" s="55"/>
      <c r="B127" s="56" t="s">
        <v>403</v>
      </c>
      <c r="C127" s="55"/>
      <c r="D127" s="55"/>
      <c r="E127" s="55"/>
      <c r="F127" s="57"/>
      <c r="G127" s="57"/>
      <c r="H127" s="57"/>
      <c r="I127" s="57"/>
      <c r="J127" s="57"/>
      <c r="K127" s="57"/>
      <c r="L127" s="57"/>
      <c r="M127" s="57"/>
      <c r="N127" s="57"/>
      <c r="O127" s="57"/>
      <c r="P127" s="57"/>
      <c r="Q127" s="57"/>
      <c r="R127" s="57"/>
    </row>
    <row r="129" spans="3:8" x14ac:dyDescent="0.3">
      <c r="C129" s="21" t="s">
        <v>461</v>
      </c>
    </row>
    <row r="131" spans="3:8" x14ac:dyDescent="0.3">
      <c r="C131" s="21" t="s">
        <v>462</v>
      </c>
    </row>
    <row r="133" spans="3:8" x14ac:dyDescent="0.3">
      <c r="D133" s="11" t="s">
        <v>165</v>
      </c>
    </row>
    <row r="134" spans="3:8" x14ac:dyDescent="0.3">
      <c r="D134" s="11" t="s">
        <v>123</v>
      </c>
      <c r="F134" s="100">
        <f>COUNTIFS($D$22:$D$75, D133, $E$22:$E$75, D134)</f>
        <v>6</v>
      </c>
      <c r="H134" s="83" t="str">
        <f ca="1">_xlfn.FORMULATEXT(F134)</f>
        <v>=COUNTIFS($D$22:$D$75, D133, $E$22:$E$75, D134)</v>
      </c>
    </row>
    <row r="136" spans="3:8" x14ac:dyDescent="0.3">
      <c r="C136" s="21" t="s">
        <v>386</v>
      </c>
      <c r="G136" s="83"/>
    </row>
    <row r="137" spans="3:8" x14ac:dyDescent="0.3">
      <c r="G137" s="83"/>
    </row>
    <row r="138" spans="3:8" x14ac:dyDescent="0.3">
      <c r="C138" s="83" t="s">
        <v>463</v>
      </c>
    </row>
    <row r="140" spans="3:8" x14ac:dyDescent="0.3">
      <c r="C140" s="21" t="s">
        <v>390</v>
      </c>
      <c r="D140" s="21" t="s">
        <v>464</v>
      </c>
    </row>
    <row r="141" spans="3:8" x14ac:dyDescent="0.3">
      <c r="C141" s="21" t="s">
        <v>392</v>
      </c>
      <c r="D141" s="21" t="s">
        <v>465</v>
      </c>
    </row>
    <row r="142" spans="3:8" x14ac:dyDescent="0.3">
      <c r="C142" s="21" t="s">
        <v>410</v>
      </c>
      <c r="D142" s="21" t="s">
        <v>466</v>
      </c>
    </row>
    <row r="143" spans="3:8" x14ac:dyDescent="0.3">
      <c r="C143" s="21" t="s">
        <v>412</v>
      </c>
      <c r="D143" s="21" t="s">
        <v>467</v>
      </c>
    </row>
    <row r="146" spans="1:18" x14ac:dyDescent="0.3">
      <c r="C146" s="21" t="s">
        <v>468</v>
      </c>
    </row>
    <row r="148" spans="1:18" x14ac:dyDescent="0.3">
      <c r="D148" s="74" t="s">
        <v>415</v>
      </c>
      <c r="E148" s="102" t="s">
        <v>123</v>
      </c>
      <c r="F148" s="102" t="s">
        <v>125</v>
      </c>
      <c r="G148" s="102" t="s">
        <v>126</v>
      </c>
      <c r="H148" s="102" t="s">
        <v>416</v>
      </c>
    </row>
    <row r="149" spans="1:18" x14ac:dyDescent="0.3">
      <c r="D149" s="74" t="s">
        <v>165</v>
      </c>
      <c r="E149" s="100">
        <f t="shared" ref="E149:G151" si="2">COUNTIFS($D$22:$D$75, $D149, $E$22:$E$75, E$148)</f>
        <v>6</v>
      </c>
      <c r="F149" s="100">
        <f t="shared" si="2"/>
        <v>6</v>
      </c>
      <c r="G149" s="100">
        <f t="shared" si="2"/>
        <v>6</v>
      </c>
      <c r="H149" s="100">
        <f>SUM(E149:G149)</f>
        <v>18</v>
      </c>
    </row>
    <row r="150" spans="1:18" x14ac:dyDescent="0.3">
      <c r="D150" s="74" t="s">
        <v>167</v>
      </c>
      <c r="E150" s="100">
        <f t="shared" si="2"/>
        <v>6</v>
      </c>
      <c r="F150" s="100">
        <f t="shared" si="2"/>
        <v>6</v>
      </c>
      <c r="G150" s="100">
        <f t="shared" si="2"/>
        <v>6</v>
      </c>
      <c r="H150" s="100">
        <f>SUM(E150:G150)</f>
        <v>18</v>
      </c>
    </row>
    <row r="151" spans="1:18" x14ac:dyDescent="0.3">
      <c r="D151" s="74" t="s">
        <v>169</v>
      </c>
      <c r="E151" s="100">
        <f t="shared" si="2"/>
        <v>6</v>
      </c>
      <c r="F151" s="100">
        <f t="shared" si="2"/>
        <v>6</v>
      </c>
      <c r="G151" s="100">
        <f t="shared" si="2"/>
        <v>6</v>
      </c>
      <c r="H151" s="100">
        <f>SUM(E151:G151)</f>
        <v>18</v>
      </c>
    </row>
    <row r="152" spans="1:18" x14ac:dyDescent="0.3">
      <c r="D152" s="74" t="s">
        <v>416</v>
      </c>
      <c r="E152" s="100">
        <f>SUM(E149:E151)</f>
        <v>18</v>
      </c>
      <c r="F152" s="100">
        <f>SUM(F149:F151)</f>
        <v>18</v>
      </c>
      <c r="G152" s="100">
        <f>SUM(G149:G151)</f>
        <v>18</v>
      </c>
      <c r="H152" s="100">
        <f>SUM(E152:G152)</f>
        <v>54</v>
      </c>
    </row>
    <row r="154" spans="1:18" x14ac:dyDescent="0.3">
      <c r="C154" s="21" t="s">
        <v>469</v>
      </c>
    </row>
    <row r="157" spans="1:18" s="52" customFormat="1" ht="21" x14ac:dyDescent="0.5">
      <c r="A157" s="55"/>
      <c r="B157" s="56" t="s">
        <v>418</v>
      </c>
      <c r="C157" s="55"/>
      <c r="D157" s="55"/>
      <c r="E157" s="55"/>
      <c r="F157" s="57"/>
      <c r="G157" s="57"/>
      <c r="H157" s="57"/>
      <c r="I157" s="57"/>
      <c r="J157" s="57"/>
      <c r="K157" s="57"/>
      <c r="L157" s="57"/>
      <c r="M157" s="57"/>
      <c r="N157" s="57"/>
      <c r="O157" s="57"/>
      <c r="P157" s="57"/>
      <c r="Q157" s="57"/>
      <c r="R157" s="57"/>
    </row>
    <row r="159" spans="1:18" x14ac:dyDescent="0.3">
      <c r="C159" s="21" t="s">
        <v>470</v>
      </c>
    </row>
    <row r="161" spans="3:8" x14ac:dyDescent="0.3">
      <c r="C161" s="21" t="s">
        <v>471</v>
      </c>
    </row>
    <row r="163" spans="3:8" x14ac:dyDescent="0.3">
      <c r="D163" s="11" t="s">
        <v>165</v>
      </c>
    </row>
    <row r="164" spans="3:8" x14ac:dyDescent="0.3">
      <c r="D164" s="11" t="s">
        <v>123</v>
      </c>
    </row>
    <row r="165" spans="3:8" x14ac:dyDescent="0.3">
      <c r="D165" s="11" t="s">
        <v>350</v>
      </c>
      <c r="F165" s="100">
        <f>COUNTIFS($D$22:$D$75, D163, $E$22:$E$75, D164, $C$22:$C$75, D165)</f>
        <v>1</v>
      </c>
      <c r="H165" s="83" t="str">
        <f ca="1">_xlfn.FORMULATEXT(F165)</f>
        <v>=COUNTIFS($D$22:$D$75, D163, $E$22:$E$75, D164, $C$22:$C$75, D165)</v>
      </c>
    </row>
    <row r="167" spans="3:8" x14ac:dyDescent="0.3">
      <c r="C167" s="21" t="s">
        <v>386</v>
      </c>
      <c r="G167" s="83"/>
    </row>
    <row r="168" spans="3:8" x14ac:dyDescent="0.3">
      <c r="G168" s="83"/>
    </row>
    <row r="169" spans="3:8" x14ac:dyDescent="0.3">
      <c r="C169" s="83" t="s">
        <v>472</v>
      </c>
    </row>
    <row r="171" spans="3:8" x14ac:dyDescent="0.3">
      <c r="C171" s="21" t="s">
        <v>390</v>
      </c>
      <c r="D171" s="21" t="s">
        <v>464</v>
      </c>
    </row>
    <row r="172" spans="3:8" x14ac:dyDescent="0.3">
      <c r="C172" s="21" t="s">
        <v>392</v>
      </c>
      <c r="D172" s="21" t="s">
        <v>473</v>
      </c>
    </row>
    <row r="173" spans="3:8" x14ac:dyDescent="0.3">
      <c r="C173" s="21" t="s">
        <v>410</v>
      </c>
      <c r="D173" s="21" t="s">
        <v>466</v>
      </c>
    </row>
    <row r="174" spans="3:8" x14ac:dyDescent="0.3">
      <c r="C174" s="21" t="s">
        <v>412</v>
      </c>
      <c r="D174" s="21" t="s">
        <v>467</v>
      </c>
    </row>
    <row r="175" spans="3:8" x14ac:dyDescent="0.3">
      <c r="C175" s="21" t="s">
        <v>424</v>
      </c>
      <c r="D175" s="21" t="s">
        <v>474</v>
      </c>
    </row>
    <row r="176" spans="3:8" x14ac:dyDescent="0.3">
      <c r="C176" s="21" t="s">
        <v>426</v>
      </c>
      <c r="D176" s="21" t="s">
        <v>1333</v>
      </c>
    </row>
    <row r="178" spans="1:18" x14ac:dyDescent="0.3">
      <c r="C178" s="21" t="s">
        <v>475</v>
      </c>
    </row>
    <row r="180" spans="1:18" x14ac:dyDescent="0.3">
      <c r="D180" s="103" t="s">
        <v>350</v>
      </c>
    </row>
    <row r="182" spans="1:18" x14ac:dyDescent="0.3">
      <c r="D182" s="74" t="s">
        <v>415</v>
      </c>
      <c r="E182" s="102" t="s">
        <v>123</v>
      </c>
      <c r="F182" s="102" t="s">
        <v>125</v>
      </c>
      <c r="G182" s="102" t="s">
        <v>126</v>
      </c>
      <c r="H182" s="102" t="s">
        <v>416</v>
      </c>
    </row>
    <row r="183" spans="1:18" x14ac:dyDescent="0.3">
      <c r="D183" s="74" t="s">
        <v>165</v>
      </c>
      <c r="E183" s="100">
        <f t="shared" ref="E183:G185" si="3">COUNTIFS($D$22:$D$75, $D183, $E$22:$E$75, E$182, $C$22:$C$75, $D$180)</f>
        <v>1</v>
      </c>
      <c r="F183" s="100">
        <f t="shared" si="3"/>
        <v>1</v>
      </c>
      <c r="G183" s="100">
        <f t="shared" si="3"/>
        <v>1</v>
      </c>
      <c r="H183" s="100">
        <f>SUM(E183:G183)</f>
        <v>3</v>
      </c>
    </row>
    <row r="184" spans="1:18" x14ac:dyDescent="0.3">
      <c r="D184" s="74" t="s">
        <v>167</v>
      </c>
      <c r="E184" s="100">
        <f t="shared" si="3"/>
        <v>1</v>
      </c>
      <c r="F184" s="100">
        <f t="shared" si="3"/>
        <v>1</v>
      </c>
      <c r="G184" s="100">
        <f t="shared" si="3"/>
        <v>1</v>
      </c>
      <c r="H184" s="100">
        <f>SUM(E184:G184)</f>
        <v>3</v>
      </c>
    </row>
    <row r="185" spans="1:18" x14ac:dyDescent="0.3">
      <c r="D185" s="74" t="s">
        <v>169</v>
      </c>
      <c r="E185" s="100">
        <f t="shared" si="3"/>
        <v>1</v>
      </c>
      <c r="F185" s="100">
        <f t="shared" si="3"/>
        <v>1</v>
      </c>
      <c r="G185" s="100">
        <f t="shared" si="3"/>
        <v>1</v>
      </c>
      <c r="H185" s="100">
        <f>SUM(E185:G185)</f>
        <v>3</v>
      </c>
    </row>
    <row r="186" spans="1:18" x14ac:dyDescent="0.3">
      <c r="D186" s="74" t="s">
        <v>416</v>
      </c>
      <c r="E186" s="100">
        <f>SUM(E183:E185)</f>
        <v>3</v>
      </c>
      <c r="F186" s="100">
        <f>SUM(F183:F185)</f>
        <v>3</v>
      </c>
      <c r="G186" s="100">
        <f>SUM(G183:G185)</f>
        <v>3</v>
      </c>
      <c r="H186" s="100">
        <f>SUM(E186:G186)</f>
        <v>9</v>
      </c>
    </row>
    <row r="190" spans="1:18" s="52" customFormat="1" ht="21" x14ac:dyDescent="0.5">
      <c r="A190" s="55"/>
      <c r="B190" s="56" t="s">
        <v>10</v>
      </c>
      <c r="C190" s="55"/>
      <c r="D190" s="55"/>
      <c r="E190" s="55"/>
      <c r="F190" s="57"/>
      <c r="G190" s="57"/>
      <c r="H190" s="57"/>
      <c r="I190" s="57"/>
      <c r="J190" s="57"/>
      <c r="K190" s="57"/>
      <c r="L190" s="57"/>
      <c r="M190" s="57"/>
      <c r="N190" s="57"/>
      <c r="O190" s="57"/>
      <c r="P190" s="57"/>
      <c r="Q190" s="57"/>
      <c r="R190" s="57"/>
    </row>
    <row r="192" spans="1:18" x14ac:dyDescent="0.3">
      <c r="C192" s="37" t="s">
        <v>431</v>
      </c>
    </row>
    <row r="195" spans="3:6" x14ac:dyDescent="0.3">
      <c r="C195" s="74" t="s">
        <v>432</v>
      </c>
      <c r="D195" s="74" t="s">
        <v>381</v>
      </c>
      <c r="E195" s="74" t="s">
        <v>433</v>
      </c>
      <c r="F195" s="74" t="s">
        <v>434</v>
      </c>
    </row>
    <row r="196" spans="3:6" x14ac:dyDescent="0.3">
      <c r="C196" s="11">
        <v>1</v>
      </c>
      <c r="D196" s="11" t="s">
        <v>165</v>
      </c>
      <c r="E196" s="11" t="s">
        <v>435</v>
      </c>
      <c r="F196" s="11">
        <v>1000</v>
      </c>
    </row>
    <row r="197" spans="3:6" x14ac:dyDescent="0.3">
      <c r="C197" s="11">
        <v>1</v>
      </c>
      <c r="D197" s="11" t="s">
        <v>167</v>
      </c>
      <c r="E197" s="11" t="s">
        <v>436</v>
      </c>
      <c r="F197" s="11">
        <v>575</v>
      </c>
    </row>
    <row r="198" spans="3:6" x14ac:dyDescent="0.3">
      <c r="C198" s="11">
        <v>1</v>
      </c>
      <c r="D198" s="11" t="s">
        <v>169</v>
      </c>
      <c r="E198" s="11" t="s">
        <v>437</v>
      </c>
      <c r="F198" s="11">
        <v>698</v>
      </c>
    </row>
    <row r="199" spans="3:6" x14ac:dyDescent="0.3">
      <c r="C199" s="11">
        <v>2</v>
      </c>
      <c r="D199" s="11" t="s">
        <v>165</v>
      </c>
      <c r="E199" s="11" t="s">
        <v>437</v>
      </c>
      <c r="F199" s="11">
        <v>758</v>
      </c>
    </row>
    <row r="200" spans="3:6" x14ac:dyDescent="0.3">
      <c r="C200" s="11">
        <v>2</v>
      </c>
      <c r="D200" s="11" t="s">
        <v>167</v>
      </c>
      <c r="E200" s="11" t="s">
        <v>435</v>
      </c>
      <c r="F200" s="11">
        <v>1207</v>
      </c>
    </row>
    <row r="201" spans="3:6" x14ac:dyDescent="0.3">
      <c r="C201" s="11">
        <v>2</v>
      </c>
      <c r="D201" s="11" t="s">
        <v>169</v>
      </c>
      <c r="E201" s="11" t="s">
        <v>436</v>
      </c>
      <c r="F201" s="11">
        <v>694</v>
      </c>
    </row>
    <row r="202" spans="3:6" x14ac:dyDescent="0.3">
      <c r="C202" s="11">
        <v>3</v>
      </c>
      <c r="D202" s="11" t="s">
        <v>165</v>
      </c>
      <c r="E202" s="11" t="s">
        <v>437</v>
      </c>
      <c r="F202" s="11">
        <v>797</v>
      </c>
    </row>
    <row r="203" spans="3:6" x14ac:dyDescent="0.3">
      <c r="C203" s="11">
        <v>3</v>
      </c>
      <c r="D203" s="11" t="s">
        <v>167</v>
      </c>
      <c r="E203" s="11" t="s">
        <v>435</v>
      </c>
      <c r="F203" s="11">
        <v>1035</v>
      </c>
    </row>
    <row r="204" spans="3:6" x14ac:dyDescent="0.3">
      <c r="C204" s="11">
        <v>3</v>
      </c>
      <c r="D204" s="11" t="s">
        <v>169</v>
      </c>
      <c r="E204" s="11" t="s">
        <v>435</v>
      </c>
      <c r="F204" s="11">
        <v>1190</v>
      </c>
    </row>
    <row r="205" spans="3:6" x14ac:dyDescent="0.3">
      <c r="C205" s="11">
        <v>4</v>
      </c>
      <c r="D205" s="11" t="s">
        <v>165</v>
      </c>
      <c r="E205" s="11" t="s">
        <v>436</v>
      </c>
      <c r="F205" s="11">
        <v>597</v>
      </c>
    </row>
    <row r="206" spans="3:6" x14ac:dyDescent="0.3">
      <c r="C206" s="11">
        <v>4</v>
      </c>
      <c r="D206" s="11" t="s">
        <v>167</v>
      </c>
      <c r="E206" s="11" t="s">
        <v>435</v>
      </c>
      <c r="F206" s="11">
        <v>970</v>
      </c>
    </row>
    <row r="207" spans="3:6" x14ac:dyDescent="0.3">
      <c r="C207" s="11">
        <v>4</v>
      </c>
      <c r="D207" s="11" t="s">
        <v>169</v>
      </c>
      <c r="E207" s="11" t="s">
        <v>435</v>
      </c>
      <c r="F207" s="11">
        <v>1397</v>
      </c>
    </row>
    <row r="211" spans="1:18" x14ac:dyDescent="0.3">
      <c r="D211" s="74" t="s">
        <v>438</v>
      </c>
      <c r="E211" s="102" t="s">
        <v>435</v>
      </c>
      <c r="F211" s="102" t="s">
        <v>437</v>
      </c>
      <c r="G211" s="102" t="s">
        <v>436</v>
      </c>
      <c r="H211" s="102" t="s">
        <v>416</v>
      </c>
    </row>
    <row r="212" spans="1:18" x14ac:dyDescent="0.3">
      <c r="D212" s="74" t="s">
        <v>165</v>
      </c>
      <c r="E212" s="100"/>
      <c r="F212" s="100"/>
      <c r="G212" s="100"/>
      <c r="H212" s="100"/>
    </row>
    <row r="213" spans="1:18" x14ac:dyDescent="0.3">
      <c r="D213" s="74" t="s">
        <v>167</v>
      </c>
      <c r="E213" s="100"/>
      <c r="F213" s="100"/>
      <c r="G213" s="100"/>
      <c r="H213" s="100"/>
    </row>
    <row r="214" spans="1:18" x14ac:dyDescent="0.3">
      <c r="D214" s="74" t="s">
        <v>169</v>
      </c>
      <c r="E214" s="100"/>
      <c r="F214" s="100"/>
      <c r="G214" s="100"/>
      <c r="H214" s="100"/>
    </row>
    <row r="215" spans="1:18" x14ac:dyDescent="0.3">
      <c r="D215" s="74" t="s">
        <v>416</v>
      </c>
      <c r="E215" s="100"/>
      <c r="F215" s="100"/>
      <c r="G215" s="100"/>
      <c r="H215" s="100"/>
    </row>
    <row r="217" spans="1:18" x14ac:dyDescent="0.3">
      <c r="C217" s="21" t="s">
        <v>476</v>
      </c>
    </row>
    <row r="218" spans="1:18" x14ac:dyDescent="0.3">
      <c r="C218" s="21" t="s">
        <v>477</v>
      </c>
    </row>
    <row r="220" spans="1:18" s="52" customFormat="1" ht="21" x14ac:dyDescent="0.5">
      <c r="A220" s="55"/>
      <c r="B220" s="56" t="s">
        <v>11</v>
      </c>
      <c r="C220" s="55"/>
      <c r="D220" s="55"/>
      <c r="E220" s="55"/>
      <c r="F220" s="57"/>
      <c r="G220" s="57"/>
      <c r="H220" s="57"/>
      <c r="I220" s="57"/>
      <c r="J220" s="57"/>
      <c r="K220" s="57"/>
      <c r="L220" s="57"/>
      <c r="M220" s="57"/>
      <c r="N220" s="57"/>
      <c r="O220" s="57"/>
      <c r="P220" s="57"/>
      <c r="Q220" s="57"/>
      <c r="R220" s="57"/>
    </row>
    <row r="222" spans="1:18" x14ac:dyDescent="0.3">
      <c r="C222" s="37" t="s">
        <v>431</v>
      </c>
    </row>
    <row r="225" spans="3:6" x14ac:dyDescent="0.3">
      <c r="C225" s="74" t="s">
        <v>432</v>
      </c>
      <c r="D225" s="74" t="s">
        <v>381</v>
      </c>
      <c r="E225" s="74" t="s">
        <v>433</v>
      </c>
      <c r="F225" s="74" t="s">
        <v>434</v>
      </c>
    </row>
    <row r="226" spans="3:6" x14ac:dyDescent="0.3">
      <c r="C226" s="11">
        <v>1</v>
      </c>
      <c r="D226" s="11" t="s">
        <v>165</v>
      </c>
      <c r="E226" s="11" t="s">
        <v>435</v>
      </c>
      <c r="F226" s="11">
        <v>1000</v>
      </c>
    </row>
    <row r="227" spans="3:6" x14ac:dyDescent="0.3">
      <c r="C227" s="11">
        <v>1</v>
      </c>
      <c r="D227" s="11" t="s">
        <v>167</v>
      </c>
      <c r="E227" s="11" t="s">
        <v>436</v>
      </c>
      <c r="F227" s="11">
        <v>575</v>
      </c>
    </row>
    <row r="228" spans="3:6" x14ac:dyDescent="0.3">
      <c r="C228" s="11">
        <v>1</v>
      </c>
      <c r="D228" s="11" t="s">
        <v>169</v>
      </c>
      <c r="E228" s="11" t="s">
        <v>437</v>
      </c>
      <c r="F228" s="11">
        <v>698</v>
      </c>
    </row>
    <row r="229" spans="3:6" x14ac:dyDescent="0.3">
      <c r="C229" s="11">
        <v>2</v>
      </c>
      <c r="D229" s="11" t="s">
        <v>165</v>
      </c>
      <c r="E229" s="11" t="s">
        <v>437</v>
      </c>
      <c r="F229" s="11">
        <v>758</v>
      </c>
    </row>
    <row r="230" spans="3:6" x14ac:dyDescent="0.3">
      <c r="C230" s="11">
        <v>2</v>
      </c>
      <c r="D230" s="11" t="s">
        <v>167</v>
      </c>
      <c r="E230" s="11" t="s">
        <v>435</v>
      </c>
      <c r="F230" s="11">
        <v>1207</v>
      </c>
    </row>
    <row r="231" spans="3:6" x14ac:dyDescent="0.3">
      <c r="C231" s="11">
        <v>2</v>
      </c>
      <c r="D231" s="11" t="s">
        <v>169</v>
      </c>
      <c r="E231" s="11" t="s">
        <v>436</v>
      </c>
      <c r="F231" s="11">
        <v>694</v>
      </c>
    </row>
    <row r="232" spans="3:6" x14ac:dyDescent="0.3">
      <c r="C232" s="11">
        <v>3</v>
      </c>
      <c r="D232" s="11" t="s">
        <v>165</v>
      </c>
      <c r="E232" s="11" t="s">
        <v>437</v>
      </c>
      <c r="F232" s="11">
        <v>797</v>
      </c>
    </row>
    <row r="233" spans="3:6" x14ac:dyDescent="0.3">
      <c r="C233" s="11">
        <v>3</v>
      </c>
      <c r="D233" s="11" t="s">
        <v>167</v>
      </c>
      <c r="E233" s="11" t="s">
        <v>435</v>
      </c>
      <c r="F233" s="11">
        <v>1035</v>
      </c>
    </row>
    <row r="234" spans="3:6" x14ac:dyDescent="0.3">
      <c r="C234" s="11">
        <v>3</v>
      </c>
      <c r="D234" s="11" t="s">
        <v>169</v>
      </c>
      <c r="E234" s="11" t="s">
        <v>435</v>
      </c>
      <c r="F234" s="11">
        <v>1190</v>
      </c>
    </row>
    <row r="235" spans="3:6" x14ac:dyDescent="0.3">
      <c r="C235" s="11">
        <v>4</v>
      </c>
      <c r="D235" s="11" t="s">
        <v>165</v>
      </c>
      <c r="E235" s="11" t="s">
        <v>436</v>
      </c>
      <c r="F235" s="11">
        <v>597</v>
      </c>
    </row>
    <row r="236" spans="3:6" x14ac:dyDescent="0.3">
      <c r="C236" s="11">
        <v>4</v>
      </c>
      <c r="D236" s="11" t="s">
        <v>167</v>
      </c>
      <c r="E236" s="11" t="s">
        <v>435</v>
      </c>
      <c r="F236" s="11">
        <v>970</v>
      </c>
    </row>
    <row r="237" spans="3:6" x14ac:dyDescent="0.3">
      <c r="C237" s="11">
        <v>4</v>
      </c>
      <c r="D237" s="11" t="s">
        <v>169</v>
      </c>
      <c r="E237" s="11" t="s">
        <v>435</v>
      </c>
      <c r="F237" s="11">
        <v>1397</v>
      </c>
    </row>
    <row r="241" spans="3:8" x14ac:dyDescent="0.3">
      <c r="D241" s="74" t="s">
        <v>438</v>
      </c>
      <c r="E241" s="74" t="s">
        <v>435</v>
      </c>
      <c r="F241" s="74" t="s">
        <v>437</v>
      </c>
      <c r="G241" s="74" t="s">
        <v>436</v>
      </c>
      <c r="H241" s="74" t="s">
        <v>416</v>
      </c>
    </row>
    <row r="242" spans="3:8" x14ac:dyDescent="0.3">
      <c r="D242" s="74" t="s">
        <v>165</v>
      </c>
      <c r="E242" s="100">
        <f>COUNTIFS($D$226:$D$237, $D242, $E$226:$E$237, E$241)</f>
        <v>1</v>
      </c>
      <c r="F242" s="100">
        <f t="shared" ref="F242:G244" si="4">COUNTIFS($D$226:$D$237, $D242, $E$226:$E$237, F$241)</f>
        <v>2</v>
      </c>
      <c r="G242" s="100">
        <f t="shared" si="4"/>
        <v>1</v>
      </c>
      <c r="H242" s="100">
        <f>SUM(E242:G242)</f>
        <v>4</v>
      </c>
    </row>
    <row r="243" spans="3:8" x14ac:dyDescent="0.3">
      <c r="D243" s="74" t="s">
        <v>167</v>
      </c>
      <c r="E243" s="100">
        <f>COUNTIFS($D$226:$D$237, $D243, $E$226:$E$237, E$241)</f>
        <v>3</v>
      </c>
      <c r="F243" s="100">
        <f t="shared" si="4"/>
        <v>0</v>
      </c>
      <c r="G243" s="100">
        <f t="shared" si="4"/>
        <v>1</v>
      </c>
      <c r="H243" s="100">
        <f>SUM(E243:G243)</f>
        <v>4</v>
      </c>
    </row>
    <row r="244" spans="3:8" x14ac:dyDescent="0.3">
      <c r="D244" s="74" t="s">
        <v>169</v>
      </c>
      <c r="E244" s="100">
        <f>COUNTIFS($D$226:$D$237, $D244, $E$226:$E$237, E$241)</f>
        <v>2</v>
      </c>
      <c r="F244" s="100">
        <f t="shared" si="4"/>
        <v>1</v>
      </c>
      <c r="G244" s="100">
        <f t="shared" si="4"/>
        <v>1</v>
      </c>
      <c r="H244" s="100">
        <f>SUM(E244:G244)</f>
        <v>4</v>
      </c>
    </row>
    <row r="245" spans="3:8" x14ac:dyDescent="0.3">
      <c r="D245" s="74" t="s">
        <v>416</v>
      </c>
      <c r="E245" s="100">
        <f>SUM(E242:E244)</f>
        <v>6</v>
      </c>
      <c r="F245" s="100">
        <f>SUM(F242:F244)</f>
        <v>3</v>
      </c>
      <c r="G245" s="100">
        <f>SUM(G242:G244)</f>
        <v>3</v>
      </c>
      <c r="H245" s="100">
        <f>SUM(E245:G245)</f>
        <v>12</v>
      </c>
    </row>
    <row r="247" spans="3:8" x14ac:dyDescent="0.3">
      <c r="C247" s="21" t="s">
        <v>476</v>
      </c>
    </row>
    <row r="248" spans="3:8" x14ac:dyDescent="0.3">
      <c r="C248" s="21" t="s">
        <v>477</v>
      </c>
    </row>
  </sheetData>
  <autoFilter ref="C21:F75" xr:uid="{84750683-A082-4A94-9588-E60599F4469D}"/>
  <dataValidations disablePrompts="1" count="2">
    <dataValidation type="list" allowBlank="1" showInputMessage="1" showErrorMessage="1" sqref="D86" xr:uid="{00AB22C1-4E9D-40AA-9E58-1CFA60495996}">
      <formula1>"Jan, Feb, Mar, Apr, May, Jun"</formula1>
    </dataValidation>
    <dataValidation type="list" allowBlank="1" showInputMessage="1" showErrorMessage="1" error="Please select month from list" prompt="Please select month from list" sqref="D180" xr:uid="{6F5AADE4-501D-4C91-9FCD-71375D8A2E5B}">
      <formula1>$D$98:$D$103</formula1>
    </dataValidation>
  </dataValidations>
  <printOptions horizontalCentered="1"/>
  <pageMargins left="0.15748031496063" right="0.15748031496063" top="0.78740157480314998" bottom="0.78740157480314998" header="0.511811023622047" footer="0.511811023622047"/>
  <pageSetup paperSize="9" scale="54" orientation="landscape" r:id="rId1"/>
  <headerFooter alignWithMargins="0">
    <oddFooter xml:space="preserve">&amp;CClarity Consultancy Services Ltd   info@clarityconsultancyservices.co.uk
Registered in the UK (6619745). Registered Office:  Suite 6 Bourne Gate, Bourne Valley Rd, Poole, BH12 1DY
</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8C36B-DCC9-4413-B3F0-14850F0ACC6C}">
  <sheetPr>
    <pageSetUpPr fitToPage="1"/>
  </sheetPr>
  <dimension ref="A1:O263"/>
  <sheetViews>
    <sheetView showGridLines="0" zoomScaleNormal="100" workbookViewId="0">
      <pane ySplit="1" topLeftCell="A2" activePane="bottomLeft" state="frozen"/>
      <selection activeCell="C202" sqref="C202:F214"/>
      <selection pane="bottomLeft"/>
    </sheetView>
  </sheetViews>
  <sheetFormatPr defaultColWidth="0" defaultRowHeight="16.8" x14ac:dyDescent="0.3"/>
  <cols>
    <col min="1" max="2" width="3.6640625" style="21" customWidth="1"/>
    <col min="3" max="4" width="14.109375" style="21" customWidth="1"/>
    <col min="5" max="5" width="16.6640625" style="21" customWidth="1"/>
    <col min="6" max="6" width="19.109375" style="21" customWidth="1"/>
    <col min="7" max="8" width="16.6640625" style="21" customWidth="1"/>
    <col min="9" max="9" width="15.33203125" style="21" customWidth="1"/>
    <col min="10" max="10" width="21" style="21" customWidth="1"/>
    <col min="11" max="11" width="18.44140625" style="21" customWidth="1"/>
    <col min="12" max="15" width="18.6640625" style="21" customWidth="1"/>
    <col min="16" max="16384" width="8.77734375" style="21" hidden="1"/>
  </cols>
  <sheetData>
    <row r="1" spans="1:15" s="52" customFormat="1" ht="49.95" customHeight="1" x14ac:dyDescent="0.3">
      <c r="A1" s="49"/>
      <c r="B1" s="50" t="s">
        <v>478</v>
      </c>
      <c r="C1" s="49"/>
      <c r="D1" s="49"/>
      <c r="E1" s="49"/>
      <c r="F1" s="51"/>
      <c r="G1" s="51"/>
      <c r="H1" s="51"/>
      <c r="I1" s="51"/>
      <c r="J1" s="51"/>
      <c r="K1" s="51"/>
      <c r="L1" s="51"/>
      <c r="M1" s="51"/>
      <c r="N1" s="51"/>
      <c r="O1" s="51"/>
    </row>
    <row r="2" spans="1:15" ht="12" customHeight="1" x14ac:dyDescent="0.3"/>
    <row r="3" spans="1:15" ht="21" x14ac:dyDescent="0.5">
      <c r="B3" s="53" t="s">
        <v>479</v>
      </c>
      <c r="C3" s="53"/>
    </row>
    <row r="4" spans="1:15" ht="12" customHeight="1" x14ac:dyDescent="0.5">
      <c r="C4" s="53"/>
    </row>
    <row r="5" spans="1:15" ht="21" x14ac:dyDescent="0.5">
      <c r="C5" s="53" t="s">
        <v>480</v>
      </c>
      <c r="D5" s="21" t="s">
        <v>481</v>
      </c>
    </row>
    <row r="6" spans="1:15" ht="21" x14ac:dyDescent="0.5">
      <c r="C6" s="53" t="s">
        <v>482</v>
      </c>
      <c r="D6" s="21" t="s">
        <v>483</v>
      </c>
    </row>
    <row r="7" spans="1:15" ht="21" x14ac:dyDescent="0.5">
      <c r="C7" s="53" t="s">
        <v>484</v>
      </c>
      <c r="D7" s="21" t="s">
        <v>485</v>
      </c>
    </row>
    <row r="8" spans="1:15" ht="21" x14ac:dyDescent="0.5">
      <c r="C8" s="53"/>
    </row>
    <row r="10" spans="1:15" s="52" customFormat="1" ht="21" x14ac:dyDescent="0.5">
      <c r="A10" s="55"/>
      <c r="B10" s="56" t="s">
        <v>7</v>
      </c>
      <c r="C10" s="55"/>
      <c r="D10" s="55"/>
      <c r="E10" s="55"/>
      <c r="F10" s="57"/>
      <c r="G10" s="57"/>
      <c r="H10" s="57"/>
      <c r="I10" s="57"/>
      <c r="J10" s="57"/>
      <c r="K10" s="57"/>
      <c r="L10" s="57"/>
      <c r="M10" s="57"/>
      <c r="N10" s="57"/>
      <c r="O10" s="57"/>
    </row>
    <row r="11" spans="1:15" x14ac:dyDescent="0.3">
      <c r="C11" s="21" t="s">
        <v>486</v>
      </c>
    </row>
    <row r="12" spans="1:15" x14ac:dyDescent="0.3">
      <c r="C12" s="21" t="s">
        <v>1158</v>
      </c>
    </row>
    <row r="13" spans="1:15" x14ac:dyDescent="0.3">
      <c r="C13" s="21" t="s">
        <v>1159</v>
      </c>
    </row>
    <row r="14" spans="1:15" x14ac:dyDescent="0.3">
      <c r="C14" s="21" t="s">
        <v>1160</v>
      </c>
    </row>
    <row r="15" spans="1:15" x14ac:dyDescent="0.3">
      <c r="C15" s="21" t="s">
        <v>1142</v>
      </c>
    </row>
    <row r="17" spans="1:15" s="52" customFormat="1" ht="21" x14ac:dyDescent="0.5">
      <c r="A17" s="55"/>
      <c r="B17" s="56" t="s">
        <v>487</v>
      </c>
      <c r="C17" s="55"/>
      <c r="D17" s="55"/>
      <c r="E17" s="55"/>
      <c r="F17" s="57"/>
      <c r="G17" s="57"/>
      <c r="H17" s="57"/>
      <c r="I17" s="57"/>
      <c r="J17" s="57"/>
      <c r="K17" s="57"/>
      <c r="L17" s="57"/>
      <c r="M17" s="57"/>
      <c r="N17" s="57"/>
      <c r="O17" s="57"/>
    </row>
    <row r="19" spans="1:15" x14ac:dyDescent="0.3">
      <c r="C19" s="21" t="s">
        <v>446</v>
      </c>
    </row>
    <row r="20" spans="1:15" x14ac:dyDescent="0.3">
      <c r="C20" s="21" t="s">
        <v>488</v>
      </c>
    </row>
    <row r="21" spans="1:15" x14ac:dyDescent="0.3">
      <c r="B21" s="37"/>
    </row>
    <row r="22" spans="1:15" x14ac:dyDescent="0.3">
      <c r="C22" s="74" t="s">
        <v>310</v>
      </c>
      <c r="D22" s="74" t="s">
        <v>381</v>
      </c>
      <c r="E22" s="74" t="s">
        <v>28</v>
      </c>
      <c r="F22" s="74" t="s">
        <v>113</v>
      </c>
      <c r="G22" s="58" t="s">
        <v>489</v>
      </c>
      <c r="J22" s="83" t="s">
        <v>490</v>
      </c>
      <c r="K22" s="104">
        <f>SUMPRODUCT(F23:F76, G23:G76)</f>
        <v>77481</v>
      </c>
      <c r="L22" s="21" t="str">
        <f ca="1">_xlfn.FORMULATEXT(K22)</f>
        <v>=SUMPRODUCT(F23:F76, G23:G76)</v>
      </c>
    </row>
    <row r="23" spans="1:15" x14ac:dyDescent="0.3">
      <c r="C23" s="11" t="s">
        <v>349</v>
      </c>
      <c r="D23" s="11" t="s">
        <v>165</v>
      </c>
      <c r="E23" s="11" t="s">
        <v>123</v>
      </c>
      <c r="F23" s="105">
        <v>871</v>
      </c>
      <c r="G23" s="106">
        <v>3.5</v>
      </c>
    </row>
    <row r="24" spans="1:15" x14ac:dyDescent="0.3">
      <c r="C24" s="11" t="s">
        <v>349</v>
      </c>
      <c r="D24" s="11" t="s">
        <v>165</v>
      </c>
      <c r="E24" s="11" t="s">
        <v>125</v>
      </c>
      <c r="F24" s="105">
        <v>357</v>
      </c>
      <c r="G24" s="106">
        <v>4</v>
      </c>
      <c r="J24" s="21" t="s">
        <v>491</v>
      </c>
    </row>
    <row r="25" spans="1:15" x14ac:dyDescent="0.3">
      <c r="C25" s="11" t="s">
        <v>349</v>
      </c>
      <c r="D25" s="11" t="s">
        <v>165</v>
      </c>
      <c r="E25" s="11" t="s">
        <v>126</v>
      </c>
      <c r="F25" s="105">
        <v>136</v>
      </c>
      <c r="G25" s="106">
        <v>3</v>
      </c>
      <c r="J25" s="83" t="s">
        <v>490</v>
      </c>
      <c r="K25" s="104">
        <f t="array" ref="K25">SUM(F23:F76 * G23:G76)</f>
        <v>77481</v>
      </c>
      <c r="L25" s="21" t="str">
        <f ca="1">_xlfn.FORMULATEXT(K25)</f>
        <v>{=SUM(F23:F76 * G23:G76)}</v>
      </c>
    </row>
    <row r="26" spans="1:15" x14ac:dyDescent="0.3">
      <c r="C26" s="11" t="s">
        <v>349</v>
      </c>
      <c r="D26" s="11" t="s">
        <v>167</v>
      </c>
      <c r="E26" s="11" t="s">
        <v>123</v>
      </c>
      <c r="F26" s="105">
        <v>708</v>
      </c>
      <c r="G26" s="106">
        <v>3.5</v>
      </c>
    </row>
    <row r="27" spans="1:15" x14ac:dyDescent="0.3">
      <c r="C27" s="11" t="s">
        <v>349</v>
      </c>
      <c r="D27" s="11" t="s">
        <v>167</v>
      </c>
      <c r="E27" s="11" t="s">
        <v>125</v>
      </c>
      <c r="F27" s="105">
        <v>280</v>
      </c>
      <c r="G27" s="106">
        <v>4</v>
      </c>
      <c r="J27" s="21" t="s">
        <v>492</v>
      </c>
    </row>
    <row r="28" spans="1:15" x14ac:dyDescent="0.3">
      <c r="C28" s="11" t="s">
        <v>349</v>
      </c>
      <c r="D28" s="11" t="s">
        <v>167</v>
      </c>
      <c r="E28" s="11" t="s">
        <v>126</v>
      </c>
      <c r="F28" s="105">
        <v>110</v>
      </c>
      <c r="G28" s="106">
        <v>3</v>
      </c>
      <c r="J28" s="21" t="s">
        <v>493</v>
      </c>
    </row>
    <row r="29" spans="1:15" x14ac:dyDescent="0.3">
      <c r="C29" s="11" t="s">
        <v>349</v>
      </c>
      <c r="D29" s="11" t="s">
        <v>169</v>
      </c>
      <c r="E29" s="11" t="s">
        <v>123</v>
      </c>
      <c r="F29" s="105">
        <v>714</v>
      </c>
      <c r="G29" s="106">
        <v>3.5</v>
      </c>
      <c r="J29" s="21" t="s">
        <v>1143</v>
      </c>
    </row>
    <row r="30" spans="1:15" x14ac:dyDescent="0.3">
      <c r="C30" s="11" t="s">
        <v>349</v>
      </c>
      <c r="D30" s="11" t="s">
        <v>169</v>
      </c>
      <c r="E30" s="11" t="s">
        <v>125</v>
      </c>
      <c r="F30" s="105">
        <v>291</v>
      </c>
      <c r="G30" s="106">
        <v>4</v>
      </c>
    </row>
    <row r="31" spans="1:15" x14ac:dyDescent="0.3">
      <c r="C31" s="11" t="s">
        <v>349</v>
      </c>
      <c r="D31" s="11" t="s">
        <v>169</v>
      </c>
      <c r="E31" s="11" t="s">
        <v>126</v>
      </c>
      <c r="F31" s="105">
        <v>111</v>
      </c>
      <c r="G31" s="106">
        <v>3</v>
      </c>
      <c r="J31" s="21" t="s">
        <v>1240</v>
      </c>
    </row>
    <row r="32" spans="1:15" x14ac:dyDescent="0.3">
      <c r="C32" s="11" t="s">
        <v>350</v>
      </c>
      <c r="D32" s="11" t="s">
        <v>165</v>
      </c>
      <c r="E32" s="11" t="s">
        <v>123</v>
      </c>
      <c r="F32" s="105">
        <v>685</v>
      </c>
      <c r="G32" s="106">
        <v>3.5</v>
      </c>
      <c r="J32" s="83" t="s">
        <v>490</v>
      </c>
      <c r="K32" s="104" cm="1">
        <f t="array" ref="K32">SUM(F23:F76 * G23:G76)</f>
        <v>77481</v>
      </c>
      <c r="L32" s="21" t="str">
        <f ca="1">_xlfn.FORMULATEXT(K32)</f>
        <v>=SUM(F23:F76 * G23:G76)</v>
      </c>
    </row>
    <row r="33" spans="3:12" x14ac:dyDescent="0.3">
      <c r="C33" s="11" t="s">
        <v>350</v>
      </c>
      <c r="D33" s="11" t="s">
        <v>165</v>
      </c>
      <c r="E33" s="11" t="s">
        <v>125</v>
      </c>
      <c r="F33" s="105">
        <v>271</v>
      </c>
      <c r="G33" s="106">
        <v>4</v>
      </c>
    </row>
    <row r="34" spans="3:12" x14ac:dyDescent="0.3">
      <c r="C34" s="11" t="s">
        <v>350</v>
      </c>
      <c r="D34" s="11" t="s">
        <v>165</v>
      </c>
      <c r="E34" s="11" t="s">
        <v>126</v>
      </c>
      <c r="F34" s="105">
        <v>100</v>
      </c>
      <c r="G34" s="106">
        <v>3</v>
      </c>
      <c r="J34" s="21" t="s">
        <v>1161</v>
      </c>
    </row>
    <row r="35" spans="3:12" x14ac:dyDescent="0.3">
      <c r="C35" s="11" t="s">
        <v>350</v>
      </c>
      <c r="D35" s="11" t="s">
        <v>167</v>
      </c>
      <c r="E35" s="11" t="s">
        <v>123</v>
      </c>
      <c r="F35" s="105">
        <v>714</v>
      </c>
      <c r="G35" s="106">
        <v>3.5</v>
      </c>
      <c r="J35" s="21" t="s">
        <v>1162</v>
      </c>
    </row>
    <row r="36" spans="3:12" x14ac:dyDescent="0.3">
      <c r="C36" s="11" t="s">
        <v>350</v>
      </c>
      <c r="D36" s="11" t="s">
        <v>167</v>
      </c>
      <c r="E36" s="11" t="s">
        <v>125</v>
      </c>
      <c r="F36" s="105">
        <v>291</v>
      </c>
      <c r="G36" s="106">
        <v>4</v>
      </c>
    </row>
    <row r="37" spans="3:12" x14ac:dyDescent="0.3">
      <c r="C37" s="11" t="s">
        <v>350</v>
      </c>
      <c r="D37" s="11" t="s">
        <v>167</v>
      </c>
      <c r="E37" s="11" t="s">
        <v>126</v>
      </c>
      <c r="F37" s="105">
        <v>100</v>
      </c>
      <c r="G37" s="106">
        <v>3</v>
      </c>
      <c r="J37" s="83" t="s">
        <v>490</v>
      </c>
      <c r="K37" s="104" cm="1">
        <f t="array" ref="K37:K47">(F23:F33 * G23:G33)</f>
        <v>3048.5</v>
      </c>
      <c r="L37" s="21" t="str">
        <f ca="1">_xlfn.FORMULATEXT(K37)</f>
        <v>=(F23:F33 * G23:G33)</v>
      </c>
    </row>
    <row r="38" spans="3:12" x14ac:dyDescent="0.3">
      <c r="C38" s="11" t="s">
        <v>350</v>
      </c>
      <c r="D38" s="11" t="s">
        <v>169</v>
      </c>
      <c r="E38" s="11" t="s">
        <v>123</v>
      </c>
      <c r="F38" s="105">
        <v>720</v>
      </c>
      <c r="G38" s="106">
        <v>3.5</v>
      </c>
      <c r="K38" s="21">
        <v>1428</v>
      </c>
    </row>
    <row r="39" spans="3:12" x14ac:dyDescent="0.3">
      <c r="C39" s="11" t="s">
        <v>350</v>
      </c>
      <c r="D39" s="11" t="s">
        <v>169</v>
      </c>
      <c r="E39" s="11" t="s">
        <v>125</v>
      </c>
      <c r="F39" s="105">
        <v>300</v>
      </c>
      <c r="G39" s="106">
        <v>4</v>
      </c>
      <c r="K39" s="21">
        <v>408</v>
      </c>
    </row>
    <row r="40" spans="3:12" x14ac:dyDescent="0.3">
      <c r="C40" s="11" t="s">
        <v>350</v>
      </c>
      <c r="D40" s="11" t="s">
        <v>169</v>
      </c>
      <c r="E40" s="11" t="s">
        <v>126</v>
      </c>
      <c r="F40" s="105">
        <v>118</v>
      </c>
      <c r="G40" s="106">
        <v>3</v>
      </c>
      <c r="K40" s="21">
        <v>2478</v>
      </c>
    </row>
    <row r="41" spans="3:12" x14ac:dyDescent="0.3">
      <c r="C41" s="11" t="s">
        <v>351</v>
      </c>
      <c r="D41" s="11" t="s">
        <v>165</v>
      </c>
      <c r="E41" s="11" t="s">
        <v>123</v>
      </c>
      <c r="F41" s="105">
        <v>708</v>
      </c>
      <c r="G41" s="106">
        <v>3.5</v>
      </c>
      <c r="K41" s="21">
        <v>1120</v>
      </c>
    </row>
    <row r="42" spans="3:12" x14ac:dyDescent="0.3">
      <c r="C42" s="11" t="s">
        <v>351</v>
      </c>
      <c r="D42" s="11" t="s">
        <v>165</v>
      </c>
      <c r="E42" s="11" t="s">
        <v>125</v>
      </c>
      <c r="F42" s="105">
        <v>290</v>
      </c>
      <c r="G42" s="106">
        <v>4</v>
      </c>
      <c r="K42" s="21">
        <v>330</v>
      </c>
    </row>
    <row r="43" spans="3:12" x14ac:dyDescent="0.3">
      <c r="C43" s="11" t="s">
        <v>351</v>
      </c>
      <c r="D43" s="11" t="s">
        <v>165</v>
      </c>
      <c r="E43" s="11" t="s">
        <v>126</v>
      </c>
      <c r="F43" s="105">
        <v>86</v>
      </c>
      <c r="G43" s="106">
        <v>3</v>
      </c>
      <c r="K43" s="21">
        <v>2499</v>
      </c>
    </row>
    <row r="44" spans="3:12" x14ac:dyDescent="0.3">
      <c r="C44" s="11" t="s">
        <v>351</v>
      </c>
      <c r="D44" s="11" t="s">
        <v>167</v>
      </c>
      <c r="E44" s="11" t="s">
        <v>123</v>
      </c>
      <c r="F44" s="105">
        <v>896</v>
      </c>
      <c r="G44" s="106">
        <v>3.5</v>
      </c>
      <c r="K44" s="21">
        <v>1164</v>
      </c>
    </row>
    <row r="45" spans="3:12" x14ac:dyDescent="0.3">
      <c r="C45" s="11" t="s">
        <v>351</v>
      </c>
      <c r="D45" s="11" t="s">
        <v>167</v>
      </c>
      <c r="E45" s="11" t="s">
        <v>125</v>
      </c>
      <c r="F45" s="105">
        <v>357</v>
      </c>
      <c r="G45" s="106">
        <v>4</v>
      </c>
      <c r="K45" s="21">
        <v>333</v>
      </c>
    </row>
    <row r="46" spans="3:12" x14ac:dyDescent="0.3">
      <c r="C46" s="11" t="s">
        <v>351</v>
      </c>
      <c r="D46" s="11" t="s">
        <v>167</v>
      </c>
      <c r="E46" s="11" t="s">
        <v>126</v>
      </c>
      <c r="F46" s="105">
        <v>132</v>
      </c>
      <c r="G46" s="106">
        <v>3</v>
      </c>
      <c r="K46" s="21">
        <v>2397.5</v>
      </c>
    </row>
    <row r="47" spans="3:12" x14ac:dyDescent="0.3">
      <c r="C47" s="11" t="s">
        <v>351</v>
      </c>
      <c r="D47" s="11" t="s">
        <v>169</v>
      </c>
      <c r="E47" s="11" t="s">
        <v>123</v>
      </c>
      <c r="F47" s="105">
        <v>900</v>
      </c>
      <c r="G47" s="106">
        <v>3.5</v>
      </c>
      <c r="K47" s="21">
        <v>1084</v>
      </c>
    </row>
    <row r="48" spans="3:12" x14ac:dyDescent="0.3">
      <c r="C48" s="11" t="s">
        <v>351</v>
      </c>
      <c r="D48" s="11" t="s">
        <v>169</v>
      </c>
      <c r="E48" s="11" t="s">
        <v>125</v>
      </c>
      <c r="F48" s="105">
        <v>374</v>
      </c>
      <c r="G48" s="106">
        <v>4</v>
      </c>
    </row>
    <row r="49" spans="3:10" x14ac:dyDescent="0.3">
      <c r="C49" s="11" t="s">
        <v>351</v>
      </c>
      <c r="D49" s="11" t="s">
        <v>169</v>
      </c>
      <c r="E49" s="11" t="s">
        <v>126</v>
      </c>
      <c r="F49" s="105">
        <v>140</v>
      </c>
      <c r="G49" s="106">
        <v>3</v>
      </c>
      <c r="J49" s="21" t="s">
        <v>1163</v>
      </c>
    </row>
    <row r="50" spans="3:10" x14ac:dyDescent="0.3">
      <c r="C50" s="11" t="s">
        <v>352</v>
      </c>
      <c r="D50" s="11" t="s">
        <v>165</v>
      </c>
      <c r="E50" s="11" t="s">
        <v>123</v>
      </c>
      <c r="F50" s="105">
        <v>700</v>
      </c>
      <c r="G50" s="106">
        <v>3.5</v>
      </c>
      <c r="J50" s="21" t="s">
        <v>1164</v>
      </c>
    </row>
    <row r="51" spans="3:10" x14ac:dyDescent="0.3">
      <c r="C51" s="11" t="s">
        <v>352</v>
      </c>
      <c r="D51" s="11" t="s">
        <v>165</v>
      </c>
      <c r="E51" s="11" t="s">
        <v>125</v>
      </c>
      <c r="F51" s="105">
        <v>283</v>
      </c>
      <c r="G51" s="106">
        <v>4</v>
      </c>
      <c r="J51" s="21" t="s">
        <v>1241</v>
      </c>
    </row>
    <row r="52" spans="3:10" x14ac:dyDescent="0.3">
      <c r="C52" s="11" t="s">
        <v>352</v>
      </c>
      <c r="D52" s="11" t="s">
        <v>165</v>
      </c>
      <c r="E52" s="11" t="s">
        <v>126</v>
      </c>
      <c r="F52" s="105">
        <v>100</v>
      </c>
      <c r="G52" s="106">
        <v>3</v>
      </c>
    </row>
    <row r="53" spans="3:10" x14ac:dyDescent="0.3">
      <c r="C53" s="11" t="s">
        <v>352</v>
      </c>
      <c r="D53" s="11" t="s">
        <v>167</v>
      </c>
      <c r="E53" s="11" t="s">
        <v>123</v>
      </c>
      <c r="F53" s="105">
        <v>718</v>
      </c>
      <c r="G53" s="106">
        <v>3.5</v>
      </c>
      <c r="J53" s="21" t="s">
        <v>1165</v>
      </c>
    </row>
    <row r="54" spans="3:10" x14ac:dyDescent="0.3">
      <c r="C54" s="11" t="s">
        <v>352</v>
      </c>
      <c r="D54" s="11" t="s">
        <v>167</v>
      </c>
      <c r="E54" s="11" t="s">
        <v>125</v>
      </c>
      <c r="F54" s="105">
        <v>295</v>
      </c>
      <c r="G54" s="106">
        <v>4</v>
      </c>
      <c r="J54" s="21" t="s">
        <v>1166</v>
      </c>
    </row>
    <row r="55" spans="3:10" x14ac:dyDescent="0.3">
      <c r="C55" s="11" t="s">
        <v>352</v>
      </c>
      <c r="D55" s="11" t="s">
        <v>167</v>
      </c>
      <c r="E55" s="11" t="s">
        <v>126</v>
      </c>
      <c r="F55" s="105">
        <v>106</v>
      </c>
      <c r="G55" s="106">
        <v>3</v>
      </c>
    </row>
    <row r="56" spans="3:10" x14ac:dyDescent="0.3">
      <c r="C56" s="11" t="s">
        <v>352</v>
      </c>
      <c r="D56" s="11" t="s">
        <v>169</v>
      </c>
      <c r="E56" s="11" t="s">
        <v>123</v>
      </c>
      <c r="F56" s="105">
        <v>720</v>
      </c>
      <c r="G56" s="106">
        <v>3.5</v>
      </c>
    </row>
    <row r="57" spans="3:10" x14ac:dyDescent="0.3">
      <c r="C57" s="11" t="s">
        <v>352</v>
      </c>
      <c r="D57" s="11" t="s">
        <v>169</v>
      </c>
      <c r="E57" s="11" t="s">
        <v>125</v>
      </c>
      <c r="F57" s="105">
        <v>300</v>
      </c>
      <c r="G57" s="106">
        <v>4</v>
      </c>
    </row>
    <row r="58" spans="3:10" x14ac:dyDescent="0.3">
      <c r="C58" s="11" t="s">
        <v>352</v>
      </c>
      <c r="D58" s="11" t="s">
        <v>169</v>
      </c>
      <c r="E58" s="11" t="s">
        <v>126</v>
      </c>
      <c r="F58" s="105">
        <v>118</v>
      </c>
      <c r="G58" s="106">
        <v>3</v>
      </c>
    </row>
    <row r="59" spans="3:10" x14ac:dyDescent="0.3">
      <c r="C59" s="11" t="s">
        <v>353</v>
      </c>
      <c r="D59" s="11" t="s">
        <v>165</v>
      </c>
      <c r="E59" s="11" t="s">
        <v>123</v>
      </c>
      <c r="F59" s="105">
        <v>892</v>
      </c>
      <c r="G59" s="106">
        <v>3.5</v>
      </c>
    </row>
    <row r="60" spans="3:10" x14ac:dyDescent="0.3">
      <c r="C60" s="11" t="s">
        <v>353</v>
      </c>
      <c r="D60" s="11" t="s">
        <v>165</v>
      </c>
      <c r="E60" s="11" t="s">
        <v>125</v>
      </c>
      <c r="F60" s="105">
        <v>357</v>
      </c>
      <c r="G60" s="106">
        <v>4</v>
      </c>
    </row>
    <row r="61" spans="3:10" x14ac:dyDescent="0.3">
      <c r="C61" s="11" t="s">
        <v>353</v>
      </c>
      <c r="D61" s="11" t="s">
        <v>165</v>
      </c>
      <c r="E61" s="11" t="s">
        <v>126</v>
      </c>
      <c r="F61" s="105">
        <v>128</v>
      </c>
      <c r="G61" s="106">
        <v>3</v>
      </c>
    </row>
    <row r="62" spans="3:10" x14ac:dyDescent="0.3">
      <c r="C62" s="11" t="s">
        <v>353</v>
      </c>
      <c r="D62" s="11" t="s">
        <v>167</v>
      </c>
      <c r="E62" s="11" t="s">
        <v>123</v>
      </c>
      <c r="F62" s="105">
        <v>894</v>
      </c>
      <c r="G62" s="106">
        <v>3.5</v>
      </c>
    </row>
    <row r="63" spans="3:10" x14ac:dyDescent="0.3">
      <c r="C63" s="11" t="s">
        <v>353</v>
      </c>
      <c r="D63" s="11" t="s">
        <v>167</v>
      </c>
      <c r="E63" s="11" t="s">
        <v>125</v>
      </c>
      <c r="F63" s="105">
        <v>359</v>
      </c>
      <c r="G63" s="106">
        <v>4</v>
      </c>
    </row>
    <row r="64" spans="3:10" x14ac:dyDescent="0.3">
      <c r="C64" s="11" t="s">
        <v>353</v>
      </c>
      <c r="D64" s="11" t="s">
        <v>167</v>
      </c>
      <c r="E64" s="11" t="s">
        <v>126</v>
      </c>
      <c r="F64" s="105">
        <v>131</v>
      </c>
      <c r="G64" s="106">
        <v>3</v>
      </c>
    </row>
    <row r="65" spans="1:15" x14ac:dyDescent="0.3">
      <c r="C65" s="11" t="s">
        <v>353</v>
      </c>
      <c r="D65" s="11" t="s">
        <v>169</v>
      </c>
      <c r="E65" s="11" t="s">
        <v>123</v>
      </c>
      <c r="F65" s="105">
        <v>720</v>
      </c>
      <c r="G65" s="106">
        <v>3.5</v>
      </c>
    </row>
    <row r="66" spans="1:15" x14ac:dyDescent="0.3">
      <c r="C66" s="11" t="s">
        <v>353</v>
      </c>
      <c r="D66" s="11" t="s">
        <v>169</v>
      </c>
      <c r="E66" s="11" t="s">
        <v>125</v>
      </c>
      <c r="F66" s="105">
        <v>300</v>
      </c>
      <c r="G66" s="106">
        <v>4</v>
      </c>
    </row>
    <row r="67" spans="1:15" x14ac:dyDescent="0.3">
      <c r="C67" s="11" t="s">
        <v>353</v>
      </c>
      <c r="D67" s="11" t="s">
        <v>169</v>
      </c>
      <c r="E67" s="11" t="s">
        <v>126</v>
      </c>
      <c r="F67" s="105">
        <v>112</v>
      </c>
      <c r="G67" s="106">
        <v>3</v>
      </c>
    </row>
    <row r="68" spans="1:15" x14ac:dyDescent="0.3">
      <c r="C68" s="11" t="s">
        <v>354</v>
      </c>
      <c r="D68" s="11" t="s">
        <v>165</v>
      </c>
      <c r="E68" s="11" t="s">
        <v>123</v>
      </c>
      <c r="F68" s="105">
        <v>720</v>
      </c>
      <c r="G68" s="106">
        <v>3.5</v>
      </c>
    </row>
    <row r="69" spans="1:15" x14ac:dyDescent="0.3">
      <c r="C69" s="11" t="s">
        <v>354</v>
      </c>
      <c r="D69" s="11" t="s">
        <v>165</v>
      </c>
      <c r="E69" s="11" t="s">
        <v>125</v>
      </c>
      <c r="F69" s="105">
        <v>283</v>
      </c>
      <c r="G69" s="106">
        <v>4</v>
      </c>
    </row>
    <row r="70" spans="1:15" x14ac:dyDescent="0.3">
      <c r="C70" s="11" t="s">
        <v>354</v>
      </c>
      <c r="D70" s="11" t="s">
        <v>165</v>
      </c>
      <c r="E70" s="11" t="s">
        <v>126</v>
      </c>
      <c r="F70" s="105">
        <v>95</v>
      </c>
      <c r="G70" s="106">
        <v>3</v>
      </c>
    </row>
    <row r="71" spans="1:15" x14ac:dyDescent="0.3">
      <c r="C71" s="11" t="s">
        <v>354</v>
      </c>
      <c r="D71" s="11" t="s">
        <v>167</v>
      </c>
      <c r="E71" s="11" t="s">
        <v>123</v>
      </c>
      <c r="F71" s="105">
        <v>720</v>
      </c>
      <c r="G71" s="106">
        <v>3.5</v>
      </c>
    </row>
    <row r="72" spans="1:15" x14ac:dyDescent="0.3">
      <c r="C72" s="11" t="s">
        <v>354</v>
      </c>
      <c r="D72" s="11" t="s">
        <v>167</v>
      </c>
      <c r="E72" s="11" t="s">
        <v>125</v>
      </c>
      <c r="F72" s="105">
        <v>292</v>
      </c>
      <c r="G72" s="106">
        <v>4</v>
      </c>
    </row>
    <row r="73" spans="1:15" x14ac:dyDescent="0.3">
      <c r="C73" s="11" t="s">
        <v>354</v>
      </c>
      <c r="D73" s="11" t="s">
        <v>167</v>
      </c>
      <c r="E73" s="11" t="s">
        <v>126</v>
      </c>
      <c r="F73" s="105">
        <v>109</v>
      </c>
      <c r="G73" s="106">
        <v>3</v>
      </c>
    </row>
    <row r="74" spans="1:15" x14ac:dyDescent="0.3">
      <c r="C74" s="11" t="s">
        <v>354</v>
      </c>
      <c r="D74" s="11" t="s">
        <v>169</v>
      </c>
      <c r="E74" s="11" t="s">
        <v>123</v>
      </c>
      <c r="F74" s="105">
        <v>900</v>
      </c>
      <c r="G74" s="106">
        <v>3.5</v>
      </c>
    </row>
    <row r="75" spans="1:15" x14ac:dyDescent="0.3">
      <c r="C75" s="11" t="s">
        <v>354</v>
      </c>
      <c r="D75" s="11" t="s">
        <v>169</v>
      </c>
      <c r="E75" s="11" t="s">
        <v>125</v>
      </c>
      <c r="F75" s="105">
        <v>370</v>
      </c>
      <c r="G75" s="106">
        <v>4</v>
      </c>
    </row>
    <row r="76" spans="1:15" x14ac:dyDescent="0.3">
      <c r="C76" s="11" t="s">
        <v>354</v>
      </c>
      <c r="D76" s="11" t="s">
        <v>169</v>
      </c>
      <c r="E76" s="11" t="s">
        <v>126</v>
      </c>
      <c r="F76" s="105">
        <v>145</v>
      </c>
      <c r="G76" s="106">
        <v>3</v>
      </c>
    </row>
    <row r="77" spans="1:15" ht="12.45" customHeight="1" x14ac:dyDescent="0.3"/>
    <row r="78" spans="1:15" ht="12.45" customHeight="1" x14ac:dyDescent="0.3">
      <c r="B78" s="99"/>
    </row>
    <row r="79" spans="1:15" s="52" customFormat="1" ht="21" x14ac:dyDescent="0.5">
      <c r="A79" s="55"/>
      <c r="B79" s="56" t="s">
        <v>494</v>
      </c>
      <c r="C79" s="55"/>
      <c r="D79" s="55"/>
      <c r="E79" s="55"/>
      <c r="F79" s="57"/>
      <c r="G79" s="57"/>
      <c r="H79" s="57"/>
      <c r="I79" s="57"/>
      <c r="J79" s="57"/>
      <c r="K79" s="57"/>
      <c r="L79" s="57"/>
      <c r="M79" s="57"/>
      <c r="N79" s="57"/>
      <c r="O79" s="57"/>
    </row>
    <row r="81" spans="3:14" x14ac:dyDescent="0.3">
      <c r="C81" s="74" t="s">
        <v>310</v>
      </c>
      <c r="D81" s="74" t="s">
        <v>381</v>
      </c>
      <c r="E81" s="74" t="s">
        <v>28</v>
      </c>
      <c r="F81" s="74" t="s">
        <v>112</v>
      </c>
      <c r="G81" s="74" t="s">
        <v>113</v>
      </c>
      <c r="H81" s="58" t="s">
        <v>489</v>
      </c>
    </row>
    <row r="82" spans="3:14" x14ac:dyDescent="0.3">
      <c r="C82" s="11" t="s">
        <v>349</v>
      </c>
      <c r="D82" s="11" t="s">
        <v>165</v>
      </c>
      <c r="E82" s="11" t="s">
        <v>123</v>
      </c>
      <c r="F82" s="105">
        <v>900</v>
      </c>
      <c r="G82" s="105">
        <v>896</v>
      </c>
      <c r="H82" s="106">
        <v>3.5</v>
      </c>
    </row>
    <row r="83" spans="3:14" x14ac:dyDescent="0.3">
      <c r="C83" s="11" t="s">
        <v>349</v>
      </c>
      <c r="D83" s="11" t="s">
        <v>165</v>
      </c>
      <c r="E83" s="11" t="s">
        <v>125</v>
      </c>
      <c r="F83" s="105">
        <v>400</v>
      </c>
      <c r="G83" s="105">
        <v>365</v>
      </c>
      <c r="H83" s="106">
        <v>4</v>
      </c>
      <c r="K83" s="21" t="s">
        <v>495</v>
      </c>
    </row>
    <row r="84" spans="3:14" x14ac:dyDescent="0.3">
      <c r="C84" s="11" t="s">
        <v>349</v>
      </c>
      <c r="D84" s="11" t="s">
        <v>165</v>
      </c>
      <c r="E84" s="11" t="s">
        <v>126</v>
      </c>
      <c r="F84" s="105">
        <v>150</v>
      </c>
      <c r="G84" s="105">
        <v>136</v>
      </c>
      <c r="H84" s="106">
        <v>3</v>
      </c>
    </row>
    <row r="85" spans="3:14" x14ac:dyDescent="0.3">
      <c r="C85" s="11" t="s">
        <v>349</v>
      </c>
      <c r="D85" s="11" t="s">
        <v>167</v>
      </c>
      <c r="E85" s="11" t="s">
        <v>123</v>
      </c>
      <c r="F85" s="105">
        <v>708</v>
      </c>
      <c r="G85" s="105">
        <v>600</v>
      </c>
      <c r="H85" s="106">
        <v>3.5</v>
      </c>
      <c r="K85" s="21" t="s">
        <v>496</v>
      </c>
      <c r="N85" s="100" cm="1">
        <f t="array" ref="N85">SUMPRODUCT(--(F82:F135 = G82:G135))</f>
        <v>15</v>
      </c>
    </row>
    <row r="86" spans="3:14" x14ac:dyDescent="0.3">
      <c r="C86" s="11" t="s">
        <v>349</v>
      </c>
      <c r="D86" s="11" t="s">
        <v>167</v>
      </c>
      <c r="E86" s="11" t="s">
        <v>125</v>
      </c>
      <c r="F86" s="105">
        <v>280</v>
      </c>
      <c r="G86" s="105">
        <v>279</v>
      </c>
      <c r="H86" s="106">
        <v>4</v>
      </c>
    </row>
    <row r="87" spans="3:14" x14ac:dyDescent="0.3">
      <c r="C87" s="11" t="s">
        <v>349</v>
      </c>
      <c r="D87" s="11" t="s">
        <v>167</v>
      </c>
      <c r="E87" s="11" t="s">
        <v>126</v>
      </c>
      <c r="F87" s="105">
        <v>110</v>
      </c>
      <c r="G87" s="105">
        <v>110</v>
      </c>
      <c r="H87" s="106">
        <v>3</v>
      </c>
      <c r="K87" s="21" t="s">
        <v>497</v>
      </c>
    </row>
    <row r="88" spans="3:14" x14ac:dyDescent="0.3">
      <c r="C88" s="11" t="s">
        <v>349</v>
      </c>
      <c r="D88" s="11" t="s">
        <v>169</v>
      </c>
      <c r="E88" s="11" t="s">
        <v>123</v>
      </c>
      <c r="F88" s="105">
        <v>714</v>
      </c>
      <c r="G88" s="105">
        <v>711</v>
      </c>
      <c r="H88" s="106">
        <v>3.5</v>
      </c>
      <c r="K88" s="21" t="s">
        <v>123</v>
      </c>
      <c r="N88" s="100" cm="1">
        <f t="array" ref="N88">SUMPRODUCT(($F$82:$F$135 = $G$82:$G$135) * ($E$82:$E$135 = $K88))</f>
        <v>4</v>
      </c>
    </row>
    <row r="89" spans="3:14" x14ac:dyDescent="0.3">
      <c r="C89" s="11" t="s">
        <v>349</v>
      </c>
      <c r="D89" s="11" t="s">
        <v>169</v>
      </c>
      <c r="E89" s="11" t="s">
        <v>125</v>
      </c>
      <c r="F89" s="105">
        <v>291</v>
      </c>
      <c r="G89" s="105">
        <v>291</v>
      </c>
      <c r="H89" s="106">
        <v>4</v>
      </c>
      <c r="K89" s="21" t="s">
        <v>125</v>
      </c>
      <c r="N89" s="100" cm="1">
        <f t="array" ref="N89">SUMPRODUCT(($F$82:$F$135 = $G$82:$G$135) * ($E$82:$E$135 = $K89))</f>
        <v>5</v>
      </c>
    </row>
    <row r="90" spans="3:14" x14ac:dyDescent="0.3">
      <c r="C90" s="11" t="s">
        <v>349</v>
      </c>
      <c r="D90" s="11" t="s">
        <v>169</v>
      </c>
      <c r="E90" s="11" t="s">
        <v>126</v>
      </c>
      <c r="F90" s="105">
        <v>111</v>
      </c>
      <c r="G90" s="105">
        <v>95</v>
      </c>
      <c r="H90" s="106">
        <v>3</v>
      </c>
      <c r="K90" s="21" t="s">
        <v>126</v>
      </c>
      <c r="N90" s="100" cm="1">
        <f t="array" ref="N90">SUMPRODUCT(($F$82:$F$135 = $G$82:$G$135) * ($E$82:$E$135 = $K90))</f>
        <v>6</v>
      </c>
    </row>
    <row r="91" spans="3:14" x14ac:dyDescent="0.3">
      <c r="C91" s="11" t="s">
        <v>350</v>
      </c>
      <c r="D91" s="11" t="s">
        <v>165</v>
      </c>
      <c r="E91" s="11" t="s">
        <v>123</v>
      </c>
      <c r="F91" s="105">
        <v>685</v>
      </c>
      <c r="G91" s="105">
        <v>685</v>
      </c>
      <c r="H91" s="106">
        <v>3.5</v>
      </c>
    </row>
    <row r="92" spans="3:14" x14ac:dyDescent="0.3">
      <c r="C92" s="11" t="s">
        <v>350</v>
      </c>
      <c r="D92" s="11" t="s">
        <v>165</v>
      </c>
      <c r="E92" s="11" t="s">
        <v>125</v>
      </c>
      <c r="F92" s="105">
        <v>271</v>
      </c>
      <c r="G92" s="105">
        <v>271</v>
      </c>
      <c r="H92" s="106">
        <v>4</v>
      </c>
    </row>
    <row r="93" spans="3:14" x14ac:dyDescent="0.3">
      <c r="C93" s="11" t="s">
        <v>350</v>
      </c>
      <c r="D93" s="11" t="s">
        <v>165</v>
      </c>
      <c r="E93" s="11" t="s">
        <v>126</v>
      </c>
      <c r="F93" s="105">
        <v>100</v>
      </c>
      <c r="G93" s="105">
        <v>100</v>
      </c>
      <c r="H93" s="106">
        <v>3</v>
      </c>
      <c r="K93" s="21" t="s">
        <v>498</v>
      </c>
    </row>
    <row r="94" spans="3:14" x14ac:dyDescent="0.3">
      <c r="C94" s="11" t="s">
        <v>350</v>
      </c>
      <c r="D94" s="11" t="s">
        <v>167</v>
      </c>
      <c r="E94" s="11" t="s">
        <v>123</v>
      </c>
      <c r="F94" s="105">
        <v>714</v>
      </c>
      <c r="G94" s="105">
        <v>701</v>
      </c>
      <c r="H94" s="106">
        <v>3.5</v>
      </c>
    </row>
    <row r="95" spans="3:14" x14ac:dyDescent="0.3">
      <c r="C95" s="11" t="s">
        <v>350</v>
      </c>
      <c r="D95" s="11" t="s">
        <v>167</v>
      </c>
      <c r="E95" s="11" t="s">
        <v>125</v>
      </c>
      <c r="F95" s="105">
        <v>291</v>
      </c>
      <c r="G95" s="105">
        <v>280</v>
      </c>
      <c r="H95" s="106">
        <v>4</v>
      </c>
      <c r="K95" s="11" t="s">
        <v>165</v>
      </c>
    </row>
    <row r="96" spans="3:14" x14ac:dyDescent="0.3">
      <c r="C96" s="11" t="s">
        <v>350</v>
      </c>
      <c r="D96" s="11" t="s">
        <v>167</v>
      </c>
      <c r="E96" s="11" t="s">
        <v>126</v>
      </c>
      <c r="F96" s="105">
        <v>100</v>
      </c>
      <c r="G96" s="105">
        <v>60</v>
      </c>
      <c r="H96" s="106">
        <v>3</v>
      </c>
      <c r="K96" s="21" t="s">
        <v>123</v>
      </c>
      <c r="N96" s="100" cm="1">
        <f t="array" ref="N96">SUMPRODUCT(($D$82:$D$135 = $K$95) * ($E$82:$E$135 = $K96) * $G$82:$G$135 * $H$82:$H$135)</f>
        <v>16026.5</v>
      </c>
    </row>
    <row r="97" spans="3:14" x14ac:dyDescent="0.3">
      <c r="C97" s="11" t="s">
        <v>350</v>
      </c>
      <c r="D97" s="11" t="s">
        <v>169</v>
      </c>
      <c r="E97" s="11" t="s">
        <v>123</v>
      </c>
      <c r="F97" s="105">
        <v>720</v>
      </c>
      <c r="G97" s="105">
        <v>720</v>
      </c>
      <c r="H97" s="106">
        <v>3.5</v>
      </c>
      <c r="K97" s="21" t="s">
        <v>125</v>
      </c>
      <c r="N97" s="100" cm="1">
        <f t="array" ref="N97">SUMPRODUCT(($D$82:$D$135 = $K$95) * ($E$82:$E$135 = $K97) * $G$82:$G$135 * $H$82:$H$135)</f>
        <v>7324</v>
      </c>
    </row>
    <row r="98" spans="3:14" x14ac:dyDescent="0.3">
      <c r="C98" s="11" t="s">
        <v>350</v>
      </c>
      <c r="D98" s="11" t="s">
        <v>169</v>
      </c>
      <c r="E98" s="11" t="s">
        <v>125</v>
      </c>
      <c r="F98" s="105">
        <v>300</v>
      </c>
      <c r="G98" s="105">
        <v>300</v>
      </c>
      <c r="H98" s="106">
        <v>4</v>
      </c>
      <c r="K98" s="21" t="s">
        <v>126</v>
      </c>
      <c r="N98" s="100" cm="1">
        <f t="array" ref="N98">SUMPRODUCT(($D$82:$D$135 = $K$95) * ($E$82:$E$135 = $K98) * $G$82:$G$135 * $H$82:$H$135)</f>
        <v>1890</v>
      </c>
    </row>
    <row r="99" spans="3:14" x14ac:dyDescent="0.3">
      <c r="C99" s="11" t="s">
        <v>350</v>
      </c>
      <c r="D99" s="11" t="s">
        <v>169</v>
      </c>
      <c r="E99" s="11" t="s">
        <v>126</v>
      </c>
      <c r="F99" s="105">
        <v>118</v>
      </c>
      <c r="G99" s="105">
        <v>118</v>
      </c>
      <c r="H99" s="106">
        <v>3</v>
      </c>
    </row>
    <row r="100" spans="3:14" x14ac:dyDescent="0.3">
      <c r="C100" s="11" t="s">
        <v>351</v>
      </c>
      <c r="D100" s="11" t="s">
        <v>165</v>
      </c>
      <c r="E100" s="11" t="s">
        <v>123</v>
      </c>
      <c r="F100" s="105">
        <v>708</v>
      </c>
      <c r="G100" s="105">
        <v>700</v>
      </c>
      <c r="H100" s="106">
        <v>3.5</v>
      </c>
    </row>
    <row r="101" spans="3:14" x14ac:dyDescent="0.3">
      <c r="C101" s="11" t="s">
        <v>351</v>
      </c>
      <c r="D101" s="11" t="s">
        <v>165</v>
      </c>
      <c r="E101" s="11" t="s">
        <v>125</v>
      </c>
      <c r="F101" s="105">
        <v>290</v>
      </c>
      <c r="G101" s="105">
        <v>284</v>
      </c>
      <c r="H101" s="106">
        <v>4</v>
      </c>
      <c r="K101" s="21" t="s">
        <v>499</v>
      </c>
    </row>
    <row r="102" spans="3:14" x14ac:dyDescent="0.3">
      <c r="C102" s="11" t="s">
        <v>351</v>
      </c>
      <c r="D102" s="11" t="s">
        <v>165</v>
      </c>
      <c r="E102" s="11" t="s">
        <v>126</v>
      </c>
      <c r="F102" s="105">
        <v>86</v>
      </c>
      <c r="G102" s="105">
        <v>86</v>
      </c>
      <c r="H102" s="106">
        <v>3</v>
      </c>
    </row>
    <row r="103" spans="3:14" x14ac:dyDescent="0.3">
      <c r="C103" s="11" t="s">
        <v>351</v>
      </c>
      <c r="D103" s="11" t="s">
        <v>167</v>
      </c>
      <c r="E103" s="11" t="s">
        <v>123</v>
      </c>
      <c r="F103" s="105">
        <v>896</v>
      </c>
      <c r="G103" s="105">
        <v>860</v>
      </c>
      <c r="H103" s="106">
        <v>3.5</v>
      </c>
      <c r="L103" s="21" t="s">
        <v>165</v>
      </c>
      <c r="M103" s="21" t="s">
        <v>167</v>
      </c>
      <c r="N103" s="21" t="s">
        <v>169</v>
      </c>
    </row>
    <row r="104" spans="3:14" x14ac:dyDescent="0.3">
      <c r="C104" s="11" t="s">
        <v>351</v>
      </c>
      <c r="D104" s="11" t="s">
        <v>167</v>
      </c>
      <c r="E104" s="11" t="s">
        <v>125</v>
      </c>
      <c r="F104" s="105">
        <v>357</v>
      </c>
      <c r="G104" s="105">
        <v>357</v>
      </c>
      <c r="H104" s="106">
        <v>4</v>
      </c>
      <c r="K104" s="21" t="s">
        <v>123</v>
      </c>
      <c r="L104" s="100" cm="1">
        <f t="array" ref="L104">SUMPRODUCT(($F$82:$F$135 = $G$82:$G$135) * ($E$82:$E$135 = $K104) * ($D$82:$D$135 = L$103))</f>
        <v>1</v>
      </c>
      <c r="M104" s="100" cm="1">
        <f t="array" ref="M104">SUMPRODUCT(($F$82:$F$135 = $G$82:$G$135) * ($E$82:$E$135 = $K104) * ($D$82:$D$135 = M$103))</f>
        <v>0</v>
      </c>
      <c r="N104" s="100" cm="1">
        <f t="array" ref="N104">SUMPRODUCT(($F$82:$F$135 = $G$82:$G$135) * ($E$82:$E$135 = $K104) * ($D$82:$D$135 = N$103))</f>
        <v>3</v>
      </c>
    </row>
    <row r="105" spans="3:14" x14ac:dyDescent="0.3">
      <c r="C105" s="11" t="s">
        <v>351</v>
      </c>
      <c r="D105" s="11" t="s">
        <v>167</v>
      </c>
      <c r="E105" s="11" t="s">
        <v>126</v>
      </c>
      <c r="F105" s="105">
        <v>132</v>
      </c>
      <c r="G105" s="105">
        <v>125</v>
      </c>
      <c r="H105" s="106">
        <v>3</v>
      </c>
      <c r="K105" s="21" t="s">
        <v>125</v>
      </c>
      <c r="L105" s="100" cm="1">
        <f t="array" ref="L105">SUMPRODUCT(($F$82:$F$135 = $G$82:$G$135) * ($E$82:$E$135 = $K105) * ($D$82:$D$135 = L$103))</f>
        <v>1</v>
      </c>
      <c r="M105" s="100" cm="1">
        <f t="array" ref="M105">SUMPRODUCT(($F$82:$F$135 = $G$82:$G$135) * ($E$82:$E$135 = $K105) * ($D$82:$D$135 = M$103))</f>
        <v>1</v>
      </c>
      <c r="N105" s="100" cm="1">
        <f t="array" ref="N105">SUMPRODUCT(($F$82:$F$135 = $G$82:$G$135) * ($E$82:$E$135 = $K105) * ($D$82:$D$135 = N$103))</f>
        <v>3</v>
      </c>
    </row>
    <row r="106" spans="3:14" x14ac:dyDescent="0.3">
      <c r="C106" s="11" t="s">
        <v>351</v>
      </c>
      <c r="D106" s="11" t="s">
        <v>169</v>
      </c>
      <c r="E106" s="11" t="s">
        <v>123</v>
      </c>
      <c r="F106" s="105">
        <v>900</v>
      </c>
      <c r="G106" s="105">
        <v>801</v>
      </c>
      <c r="H106" s="106">
        <v>3.5</v>
      </c>
      <c r="K106" s="21" t="s">
        <v>126</v>
      </c>
      <c r="L106" s="100" cm="1">
        <f t="array" ref="L106">SUMPRODUCT(($F$82:$F$135 = $G$82:$G$135) * ($E$82:$E$135 = $K106) * ($D$82:$D$135 = L$103))</f>
        <v>2</v>
      </c>
      <c r="M106" s="100" cm="1">
        <f t="array" ref="M106">SUMPRODUCT(($F$82:$F$135 = $G$82:$G$135) * ($E$82:$E$135 = $K106) * ($D$82:$D$135 = M$103))</f>
        <v>1</v>
      </c>
      <c r="N106" s="100" cm="1">
        <f t="array" ref="N106">SUMPRODUCT(($F$82:$F$135 = $G$82:$G$135) * ($E$82:$E$135 = $K106) * ($D$82:$D$135 = N$103))</f>
        <v>3</v>
      </c>
    </row>
    <row r="107" spans="3:14" x14ac:dyDescent="0.3">
      <c r="C107" s="11" t="s">
        <v>351</v>
      </c>
      <c r="D107" s="11" t="s">
        <v>169</v>
      </c>
      <c r="E107" s="11" t="s">
        <v>125</v>
      </c>
      <c r="F107" s="105">
        <v>374</v>
      </c>
      <c r="G107" s="105">
        <v>370</v>
      </c>
      <c r="H107" s="106">
        <v>4</v>
      </c>
    </row>
    <row r="108" spans="3:14" x14ac:dyDescent="0.3">
      <c r="C108" s="11" t="s">
        <v>351</v>
      </c>
      <c r="D108" s="11" t="s">
        <v>169</v>
      </c>
      <c r="E108" s="11" t="s">
        <v>126</v>
      </c>
      <c r="F108" s="105">
        <v>140</v>
      </c>
      <c r="G108" s="105">
        <v>140</v>
      </c>
      <c r="H108" s="106">
        <v>3</v>
      </c>
    </row>
    <row r="109" spans="3:14" x14ac:dyDescent="0.3">
      <c r="C109" s="11" t="s">
        <v>352</v>
      </c>
      <c r="D109" s="11" t="s">
        <v>165</v>
      </c>
      <c r="E109" s="11" t="s">
        <v>123</v>
      </c>
      <c r="F109" s="105">
        <v>700</v>
      </c>
      <c r="G109" s="105">
        <v>697</v>
      </c>
      <c r="H109" s="106">
        <v>3.5</v>
      </c>
      <c r="K109" s="21" t="s">
        <v>500</v>
      </c>
    </row>
    <row r="110" spans="3:14" x14ac:dyDescent="0.3">
      <c r="C110" s="11" t="s">
        <v>352</v>
      </c>
      <c r="D110" s="11" t="s">
        <v>165</v>
      </c>
      <c r="E110" s="11" t="s">
        <v>125</v>
      </c>
      <c r="F110" s="105">
        <v>283</v>
      </c>
      <c r="G110" s="105">
        <v>280</v>
      </c>
      <c r="H110" s="106">
        <v>4</v>
      </c>
    </row>
    <row r="111" spans="3:14" x14ac:dyDescent="0.3">
      <c r="C111" s="11" t="s">
        <v>352</v>
      </c>
      <c r="D111" s="11" t="s">
        <v>165</v>
      </c>
      <c r="E111" s="11" t="s">
        <v>126</v>
      </c>
      <c r="F111" s="105">
        <v>100</v>
      </c>
      <c r="G111" s="105">
        <v>97</v>
      </c>
      <c r="H111" s="106">
        <v>3</v>
      </c>
      <c r="K111" s="21" t="s">
        <v>501</v>
      </c>
      <c r="L111" s="100" cm="1">
        <f t="array" ref="L111">SUMPRODUCT(($D$82:$D$135="Tuesday") * ($G$82:$G$135) + ($D$82:$D$135="Thursday") * ($G$82:$G$135))</f>
        <v>13994</v>
      </c>
    </row>
    <row r="112" spans="3:14" x14ac:dyDescent="0.3">
      <c r="C112" s="11" t="s">
        <v>352</v>
      </c>
      <c r="D112" s="11" t="s">
        <v>167</v>
      </c>
      <c r="E112" s="11" t="s">
        <v>123</v>
      </c>
      <c r="F112" s="105">
        <v>718</v>
      </c>
      <c r="G112" s="105">
        <v>717</v>
      </c>
      <c r="H112" s="106">
        <v>3.5</v>
      </c>
      <c r="K112" s="21" t="s">
        <v>502</v>
      </c>
      <c r="L112" s="100" cm="1">
        <f t="array" ref="L112">SUMPRODUCT(($D$82:$D$135="Saturday") * ($G$82:$G$135))</f>
        <v>7214</v>
      </c>
    </row>
    <row r="113" spans="3:12" x14ac:dyDescent="0.3">
      <c r="C113" s="11" t="s">
        <v>352</v>
      </c>
      <c r="D113" s="11" t="s">
        <v>167</v>
      </c>
      <c r="E113" s="11" t="s">
        <v>125</v>
      </c>
      <c r="F113" s="105">
        <v>295</v>
      </c>
      <c r="G113" s="105">
        <v>292</v>
      </c>
      <c r="H113" s="106">
        <v>4</v>
      </c>
      <c r="K113" s="21" t="s">
        <v>503</v>
      </c>
      <c r="L113" s="100">
        <f>SUM(L111:L112)</f>
        <v>21208</v>
      </c>
    </row>
    <row r="114" spans="3:12" x14ac:dyDescent="0.3">
      <c r="C114" s="11" t="s">
        <v>352</v>
      </c>
      <c r="D114" s="11" t="s">
        <v>167</v>
      </c>
      <c r="E114" s="11" t="s">
        <v>126</v>
      </c>
      <c r="F114" s="105">
        <v>106</v>
      </c>
      <c r="G114" s="105">
        <v>103</v>
      </c>
      <c r="H114" s="106">
        <v>3</v>
      </c>
      <c r="K114" s="21" t="s">
        <v>504</v>
      </c>
      <c r="L114" s="100">
        <f>SUM(G82:G135) - L113</f>
        <v>0</v>
      </c>
    </row>
    <row r="115" spans="3:12" x14ac:dyDescent="0.3">
      <c r="C115" s="11" t="s">
        <v>352</v>
      </c>
      <c r="D115" s="11" t="s">
        <v>169</v>
      </c>
      <c r="E115" s="11" t="s">
        <v>123</v>
      </c>
      <c r="F115" s="105">
        <v>720</v>
      </c>
      <c r="G115" s="105">
        <v>720</v>
      </c>
      <c r="H115" s="106">
        <v>3.5</v>
      </c>
    </row>
    <row r="116" spans="3:12" x14ac:dyDescent="0.3">
      <c r="C116" s="11" t="s">
        <v>352</v>
      </c>
      <c r="D116" s="11" t="s">
        <v>169</v>
      </c>
      <c r="E116" s="11" t="s">
        <v>125</v>
      </c>
      <c r="F116" s="105">
        <v>300</v>
      </c>
      <c r="G116" s="105">
        <v>300</v>
      </c>
      <c r="H116" s="106">
        <v>4</v>
      </c>
      <c r="K116" s="21" t="s">
        <v>505</v>
      </c>
    </row>
    <row r="117" spans="3:12" x14ac:dyDescent="0.3">
      <c r="C117" s="11" t="s">
        <v>352</v>
      </c>
      <c r="D117" s="11" t="s">
        <v>169</v>
      </c>
      <c r="E117" s="11" t="s">
        <v>126</v>
      </c>
      <c r="F117" s="105">
        <v>118</v>
      </c>
      <c r="G117" s="105">
        <v>118</v>
      </c>
      <c r="H117" s="106">
        <v>3</v>
      </c>
    </row>
    <row r="118" spans="3:12" x14ac:dyDescent="0.3">
      <c r="C118" s="11" t="s">
        <v>353</v>
      </c>
      <c r="D118" s="11" t="s">
        <v>165</v>
      </c>
      <c r="E118" s="11" t="s">
        <v>123</v>
      </c>
      <c r="F118" s="105">
        <v>892</v>
      </c>
      <c r="G118" s="105">
        <v>891</v>
      </c>
      <c r="H118" s="106">
        <v>3.5</v>
      </c>
    </row>
    <row r="119" spans="3:12" x14ac:dyDescent="0.3">
      <c r="C119" s="11" t="s">
        <v>353</v>
      </c>
      <c r="D119" s="11" t="s">
        <v>165</v>
      </c>
      <c r="E119" s="11" t="s">
        <v>125</v>
      </c>
      <c r="F119" s="105">
        <v>357</v>
      </c>
      <c r="G119" s="105">
        <v>350</v>
      </c>
      <c r="H119" s="106">
        <v>4</v>
      </c>
    </row>
    <row r="120" spans="3:12" x14ac:dyDescent="0.3">
      <c r="C120" s="11" t="s">
        <v>353</v>
      </c>
      <c r="D120" s="11" t="s">
        <v>165</v>
      </c>
      <c r="E120" s="11" t="s">
        <v>126</v>
      </c>
      <c r="F120" s="105">
        <v>128</v>
      </c>
      <c r="G120" s="105">
        <v>120</v>
      </c>
      <c r="H120" s="106">
        <v>3</v>
      </c>
    </row>
    <row r="121" spans="3:12" x14ac:dyDescent="0.3">
      <c r="C121" s="11" t="s">
        <v>353</v>
      </c>
      <c r="D121" s="11" t="s">
        <v>167</v>
      </c>
      <c r="E121" s="11" t="s">
        <v>123</v>
      </c>
      <c r="F121" s="105">
        <v>894</v>
      </c>
      <c r="G121" s="105">
        <v>890</v>
      </c>
      <c r="H121" s="106">
        <v>3.5</v>
      </c>
    </row>
    <row r="122" spans="3:12" x14ac:dyDescent="0.3">
      <c r="C122" s="11" t="s">
        <v>353</v>
      </c>
      <c r="D122" s="11" t="s">
        <v>167</v>
      </c>
      <c r="E122" s="11" t="s">
        <v>125</v>
      </c>
      <c r="F122" s="105">
        <v>359</v>
      </c>
      <c r="G122" s="105">
        <v>351</v>
      </c>
      <c r="H122" s="106">
        <v>4</v>
      </c>
    </row>
    <row r="123" spans="3:12" x14ac:dyDescent="0.3">
      <c r="C123" s="11" t="s">
        <v>353</v>
      </c>
      <c r="D123" s="11" t="s">
        <v>167</v>
      </c>
      <c r="E123" s="11" t="s">
        <v>126</v>
      </c>
      <c r="F123" s="105">
        <v>131</v>
      </c>
      <c r="G123" s="105">
        <v>128</v>
      </c>
      <c r="H123" s="106">
        <v>3</v>
      </c>
    </row>
    <row r="124" spans="3:12" x14ac:dyDescent="0.3">
      <c r="C124" s="11" t="s">
        <v>353</v>
      </c>
      <c r="D124" s="11" t="s">
        <v>169</v>
      </c>
      <c r="E124" s="11" t="s">
        <v>123</v>
      </c>
      <c r="F124" s="105">
        <v>720</v>
      </c>
      <c r="G124" s="105">
        <v>719</v>
      </c>
      <c r="H124" s="106">
        <v>3.5</v>
      </c>
    </row>
    <row r="125" spans="3:12" x14ac:dyDescent="0.3">
      <c r="C125" s="11" t="s">
        <v>353</v>
      </c>
      <c r="D125" s="11" t="s">
        <v>169</v>
      </c>
      <c r="E125" s="11" t="s">
        <v>125</v>
      </c>
      <c r="F125" s="105">
        <v>300</v>
      </c>
      <c r="G125" s="105">
        <v>289</v>
      </c>
      <c r="H125" s="106">
        <v>4</v>
      </c>
    </row>
    <row r="126" spans="3:12" x14ac:dyDescent="0.3">
      <c r="C126" s="11" t="s">
        <v>353</v>
      </c>
      <c r="D126" s="11" t="s">
        <v>169</v>
      </c>
      <c r="E126" s="11" t="s">
        <v>126</v>
      </c>
      <c r="F126" s="105">
        <v>112</v>
      </c>
      <c r="G126" s="105">
        <v>110</v>
      </c>
      <c r="H126" s="106">
        <v>3</v>
      </c>
    </row>
    <row r="127" spans="3:12" x14ac:dyDescent="0.3">
      <c r="C127" s="11" t="s">
        <v>354</v>
      </c>
      <c r="D127" s="11" t="s">
        <v>165</v>
      </c>
      <c r="E127" s="11" t="s">
        <v>123</v>
      </c>
      <c r="F127" s="105">
        <v>720</v>
      </c>
      <c r="G127" s="105">
        <v>710</v>
      </c>
      <c r="H127" s="106">
        <v>3.5</v>
      </c>
    </row>
    <row r="128" spans="3:12" x14ac:dyDescent="0.3">
      <c r="C128" s="11" t="s">
        <v>354</v>
      </c>
      <c r="D128" s="11" t="s">
        <v>165</v>
      </c>
      <c r="E128" s="11" t="s">
        <v>125</v>
      </c>
      <c r="F128" s="105">
        <v>283</v>
      </c>
      <c r="G128" s="105">
        <v>281</v>
      </c>
      <c r="H128" s="106">
        <v>4</v>
      </c>
    </row>
    <row r="129" spans="1:15" x14ac:dyDescent="0.3">
      <c r="C129" s="11" t="s">
        <v>354</v>
      </c>
      <c r="D129" s="11" t="s">
        <v>165</v>
      </c>
      <c r="E129" s="11" t="s">
        <v>126</v>
      </c>
      <c r="F129" s="105">
        <v>95</v>
      </c>
      <c r="G129" s="105">
        <v>91</v>
      </c>
      <c r="H129" s="106">
        <v>3</v>
      </c>
    </row>
    <row r="130" spans="1:15" x14ac:dyDescent="0.3">
      <c r="C130" s="11" t="s">
        <v>354</v>
      </c>
      <c r="D130" s="11" t="s">
        <v>167</v>
      </c>
      <c r="E130" s="11" t="s">
        <v>123</v>
      </c>
      <c r="F130" s="105">
        <v>720</v>
      </c>
      <c r="G130" s="105">
        <v>710</v>
      </c>
      <c r="H130" s="106">
        <v>3.5</v>
      </c>
    </row>
    <row r="131" spans="1:15" x14ac:dyDescent="0.3">
      <c r="C131" s="11" t="s">
        <v>354</v>
      </c>
      <c r="D131" s="11" t="s">
        <v>167</v>
      </c>
      <c r="E131" s="11" t="s">
        <v>125</v>
      </c>
      <c r="F131" s="105">
        <v>292</v>
      </c>
      <c r="G131" s="105">
        <v>291</v>
      </c>
      <c r="H131" s="106">
        <v>4</v>
      </c>
    </row>
    <row r="132" spans="1:15" x14ac:dyDescent="0.3">
      <c r="C132" s="11" t="s">
        <v>354</v>
      </c>
      <c r="D132" s="11" t="s">
        <v>167</v>
      </c>
      <c r="E132" s="11" t="s">
        <v>126</v>
      </c>
      <c r="F132" s="105">
        <v>109</v>
      </c>
      <c r="G132" s="105">
        <v>100</v>
      </c>
      <c r="H132" s="106">
        <v>3</v>
      </c>
    </row>
    <row r="133" spans="1:15" x14ac:dyDescent="0.3">
      <c r="C133" s="11" t="s">
        <v>354</v>
      </c>
      <c r="D133" s="11" t="s">
        <v>169</v>
      </c>
      <c r="E133" s="11" t="s">
        <v>123</v>
      </c>
      <c r="F133" s="105">
        <v>900</v>
      </c>
      <c r="G133" s="105">
        <v>900</v>
      </c>
      <c r="H133" s="106">
        <v>3.5</v>
      </c>
    </row>
    <row r="134" spans="1:15" x14ac:dyDescent="0.3">
      <c r="C134" s="11" t="s">
        <v>354</v>
      </c>
      <c r="D134" s="11" t="s">
        <v>169</v>
      </c>
      <c r="E134" s="11" t="s">
        <v>125</v>
      </c>
      <c r="F134" s="105">
        <v>370</v>
      </c>
      <c r="G134" s="105">
        <v>369</v>
      </c>
      <c r="H134" s="106">
        <v>4</v>
      </c>
    </row>
    <row r="135" spans="1:15" x14ac:dyDescent="0.3">
      <c r="C135" s="11" t="s">
        <v>354</v>
      </c>
      <c r="D135" s="11" t="s">
        <v>169</v>
      </c>
      <c r="E135" s="11" t="s">
        <v>126</v>
      </c>
      <c r="F135" s="105">
        <v>145</v>
      </c>
      <c r="G135" s="105">
        <v>143</v>
      </c>
      <c r="H135" s="106">
        <v>3</v>
      </c>
    </row>
    <row r="137" spans="1:15" s="52" customFormat="1" ht="21" x14ac:dyDescent="0.5">
      <c r="A137" s="55"/>
      <c r="B137" s="56" t="s">
        <v>506</v>
      </c>
      <c r="C137" s="55"/>
      <c r="D137" s="55"/>
      <c r="E137" s="55"/>
      <c r="F137" s="57"/>
      <c r="G137" s="57"/>
      <c r="H137" s="57"/>
      <c r="I137" s="57"/>
      <c r="J137" s="57"/>
      <c r="K137" s="57"/>
      <c r="L137" s="57"/>
      <c r="M137" s="57"/>
      <c r="N137" s="57"/>
      <c r="O137" s="57"/>
    </row>
    <row r="140" spans="1:15" x14ac:dyDescent="0.3">
      <c r="C140" s="74" t="s">
        <v>310</v>
      </c>
      <c r="D140" s="74" t="s">
        <v>381</v>
      </c>
      <c r="E140" s="74" t="s">
        <v>28</v>
      </c>
      <c r="F140" s="74" t="s">
        <v>112</v>
      </c>
      <c r="G140" s="74" t="s">
        <v>113</v>
      </c>
      <c r="H140" s="58" t="s">
        <v>489</v>
      </c>
    </row>
    <row r="141" spans="1:15" x14ac:dyDescent="0.3">
      <c r="C141" s="11" t="s">
        <v>349</v>
      </c>
      <c r="D141" s="11" t="s">
        <v>165</v>
      </c>
      <c r="E141" s="11" t="s">
        <v>123</v>
      </c>
      <c r="F141" s="105">
        <v>900</v>
      </c>
      <c r="G141" s="105">
        <v>896</v>
      </c>
      <c r="H141" s="106">
        <v>3.5</v>
      </c>
    </row>
    <row r="142" spans="1:15" x14ac:dyDescent="0.3">
      <c r="C142" s="11" t="s">
        <v>349</v>
      </c>
      <c r="D142" s="11" t="s">
        <v>165</v>
      </c>
      <c r="E142" s="11" t="s">
        <v>125</v>
      </c>
      <c r="F142" s="105">
        <v>400</v>
      </c>
      <c r="G142" s="105">
        <v>365</v>
      </c>
      <c r="H142" s="106">
        <v>4</v>
      </c>
      <c r="J142" s="21" t="s">
        <v>507</v>
      </c>
    </row>
    <row r="143" spans="1:15" x14ac:dyDescent="0.3">
      <c r="C143" s="11" t="s">
        <v>349</v>
      </c>
      <c r="D143" s="11" t="s">
        <v>165</v>
      </c>
      <c r="E143" s="11" t="s">
        <v>126</v>
      </c>
      <c r="F143" s="105">
        <v>150</v>
      </c>
      <c r="G143" s="105">
        <v>136</v>
      </c>
      <c r="H143" s="106">
        <v>3</v>
      </c>
      <c r="J143" s="21" t="s">
        <v>508</v>
      </c>
    </row>
    <row r="144" spans="1:15" x14ac:dyDescent="0.3">
      <c r="C144" s="11" t="s">
        <v>349</v>
      </c>
      <c r="D144" s="11" t="s">
        <v>167</v>
      </c>
      <c r="E144" s="11" t="s">
        <v>123</v>
      </c>
      <c r="F144" s="105">
        <v>708</v>
      </c>
      <c r="G144" s="105">
        <v>600</v>
      </c>
      <c r="H144" s="106">
        <v>3.5</v>
      </c>
    </row>
    <row r="145" spans="3:13" x14ac:dyDescent="0.3">
      <c r="C145" s="11" t="s">
        <v>349</v>
      </c>
      <c r="D145" s="11" t="s">
        <v>167</v>
      </c>
      <c r="E145" s="11" t="s">
        <v>125</v>
      </c>
      <c r="F145" s="105">
        <v>280</v>
      </c>
      <c r="G145" s="105">
        <v>279</v>
      </c>
      <c r="H145" s="106">
        <v>4</v>
      </c>
      <c r="J145" s="21" t="s">
        <v>509</v>
      </c>
      <c r="K145" s="21" t="s">
        <v>510</v>
      </c>
      <c r="L145" s="21" t="s">
        <v>511</v>
      </c>
      <c r="M145" s="21" t="s">
        <v>512</v>
      </c>
    </row>
    <row r="146" spans="3:13" x14ac:dyDescent="0.3">
      <c r="C146" s="11" t="s">
        <v>349</v>
      </c>
      <c r="D146" s="11" t="s">
        <v>167</v>
      </c>
      <c r="E146" s="11" t="s">
        <v>126</v>
      </c>
      <c r="F146" s="105">
        <v>110</v>
      </c>
      <c r="G146" s="105">
        <v>110</v>
      </c>
      <c r="H146" s="106">
        <v>3</v>
      </c>
      <c r="J146" s="21" t="s">
        <v>123</v>
      </c>
      <c r="K146" s="104" cm="1">
        <f t="array" ref="K146">SUMPRODUCT(--($E$141:$E$194=$J146), $G$141:$G$194, $H$141:$H$194)</f>
        <v>47698</v>
      </c>
      <c r="L146" s="104" cm="1">
        <f t="array" ref="L146">SUMPRODUCT(N($E$141:$E$194=$J146), $G$141:$G$194, $H$141:$H$194)</f>
        <v>47698</v>
      </c>
      <c r="M146" s="104" cm="1">
        <f t="array" ref="M146">SUMPRODUCT(($E$141:$E$194=$J146) * $G$141:$G$194 * $H$141:$H$194)</f>
        <v>47698</v>
      </c>
    </row>
    <row r="147" spans="3:13" x14ac:dyDescent="0.3">
      <c r="C147" s="11" t="s">
        <v>349</v>
      </c>
      <c r="D147" s="11" t="s">
        <v>169</v>
      </c>
      <c r="E147" s="11" t="s">
        <v>123</v>
      </c>
      <c r="F147" s="105">
        <v>714</v>
      </c>
      <c r="G147" s="105">
        <v>711</v>
      </c>
      <c r="H147" s="106">
        <v>3.5</v>
      </c>
      <c r="J147" s="21" t="s">
        <v>125</v>
      </c>
      <c r="K147" s="104" cm="1">
        <f t="array" ref="K147">SUMPRODUCT(--($E$141:$E$194=$J147), $G$141:$G$194, $H$141:$H$194)</f>
        <v>22400</v>
      </c>
      <c r="L147" s="104" cm="1">
        <f t="array" ref="L147">SUMPRODUCT(N($E$141:$E$194=$J147), $G$141:$G$194, $H$141:$H$194)</f>
        <v>22400</v>
      </c>
      <c r="M147" s="104" cm="1">
        <f t="array" ref="M147">SUMPRODUCT(($E$141:$E$194=$J147) * $G$141:$G$194 * $H$141:$H$194)</f>
        <v>22400</v>
      </c>
    </row>
    <row r="148" spans="3:13" x14ac:dyDescent="0.3">
      <c r="C148" s="11" t="s">
        <v>349</v>
      </c>
      <c r="D148" s="11" t="s">
        <v>169</v>
      </c>
      <c r="E148" s="11" t="s">
        <v>125</v>
      </c>
      <c r="F148" s="105">
        <v>291</v>
      </c>
      <c r="G148" s="105">
        <v>291</v>
      </c>
      <c r="H148" s="106">
        <v>4</v>
      </c>
      <c r="J148" s="21" t="s">
        <v>126</v>
      </c>
      <c r="K148" s="104" cm="1">
        <f t="array" ref="K148">SUMPRODUCT(--($E$141:$E$194=$J148), $G$141:$G$194, $H$141:$H$194)</f>
        <v>5940</v>
      </c>
      <c r="L148" s="104" cm="1">
        <f t="array" ref="L148">SUMPRODUCT(N($E$141:$E$194=$J148), $G$141:$G$194, $H$141:$H$194)</f>
        <v>5940</v>
      </c>
      <c r="M148" s="104" cm="1">
        <f t="array" ref="M148">SUMPRODUCT(($E$141:$E$194=$J148) * $G$141:$G$194 * $H$141:$H$194)</f>
        <v>5940</v>
      </c>
    </row>
    <row r="149" spans="3:13" x14ac:dyDescent="0.3">
      <c r="C149" s="11" t="s">
        <v>349</v>
      </c>
      <c r="D149" s="11" t="s">
        <v>169</v>
      </c>
      <c r="E149" s="11" t="s">
        <v>126</v>
      </c>
      <c r="F149" s="105">
        <v>111</v>
      </c>
      <c r="G149" s="105">
        <v>95</v>
      </c>
      <c r="H149" s="106">
        <v>3</v>
      </c>
    </row>
    <row r="150" spans="3:13" x14ac:dyDescent="0.3">
      <c r="C150" s="11" t="s">
        <v>350</v>
      </c>
      <c r="D150" s="11" t="s">
        <v>165</v>
      </c>
      <c r="E150" s="11" t="s">
        <v>123</v>
      </c>
      <c r="F150" s="105">
        <v>685</v>
      </c>
      <c r="G150" s="105">
        <v>685</v>
      </c>
      <c r="H150" s="106">
        <v>3.5</v>
      </c>
    </row>
    <row r="151" spans="3:13" x14ac:dyDescent="0.3">
      <c r="C151" s="11" t="s">
        <v>350</v>
      </c>
      <c r="D151" s="11" t="s">
        <v>165</v>
      </c>
      <c r="E151" s="11" t="s">
        <v>125</v>
      </c>
      <c r="F151" s="105">
        <v>271</v>
      </c>
      <c r="G151" s="105">
        <v>271</v>
      </c>
      <c r="H151" s="106">
        <v>4</v>
      </c>
      <c r="J151" s="21" t="s">
        <v>513</v>
      </c>
      <c r="K151" s="21" t="str">
        <f ca="1">_xlfn.FORMULATEXT(K146)</f>
        <v>=SUMPRODUCT(--($E$141:$E$194=$J146), $G$141:$G$194, $H$141:$H$194)</v>
      </c>
    </row>
    <row r="152" spans="3:13" x14ac:dyDescent="0.3">
      <c r="C152" s="11" t="s">
        <v>350</v>
      </c>
      <c r="D152" s="11" t="s">
        <v>165</v>
      </c>
      <c r="E152" s="11" t="s">
        <v>126</v>
      </c>
      <c r="F152" s="105">
        <v>100</v>
      </c>
      <c r="G152" s="105">
        <v>100</v>
      </c>
      <c r="H152" s="106">
        <v>3</v>
      </c>
      <c r="J152" s="21" t="s">
        <v>514</v>
      </c>
      <c r="K152" s="21" t="str">
        <f ca="1">_xlfn.FORMULATEXT(L146)</f>
        <v>=SUMPRODUCT(N($E$141:$E$194=$J146), $G$141:$G$194, $H$141:$H$194)</v>
      </c>
    </row>
    <row r="153" spans="3:13" x14ac:dyDescent="0.3">
      <c r="C153" s="11" t="s">
        <v>350</v>
      </c>
      <c r="D153" s="11" t="s">
        <v>167</v>
      </c>
      <c r="E153" s="11" t="s">
        <v>123</v>
      </c>
      <c r="F153" s="105">
        <v>714</v>
      </c>
      <c r="G153" s="105">
        <v>701</v>
      </c>
      <c r="H153" s="106">
        <v>3.5</v>
      </c>
      <c r="J153" s="21" t="s">
        <v>515</v>
      </c>
      <c r="K153" s="21" t="str">
        <f ca="1">_xlfn.FORMULATEXT(M146)</f>
        <v>=SUMPRODUCT(($E$141:$E$194=$J146) * $G$141:$G$194 * $H$141:$H$194)</v>
      </c>
    </row>
    <row r="154" spans="3:13" x14ac:dyDescent="0.3">
      <c r="C154" s="11" t="s">
        <v>350</v>
      </c>
      <c r="D154" s="11" t="s">
        <v>167</v>
      </c>
      <c r="E154" s="11" t="s">
        <v>125</v>
      </c>
      <c r="F154" s="105">
        <v>291</v>
      </c>
      <c r="G154" s="105">
        <v>280</v>
      </c>
      <c r="H154" s="106">
        <v>4</v>
      </c>
    </row>
    <row r="155" spans="3:13" x14ac:dyDescent="0.3">
      <c r="C155" s="11" t="s">
        <v>350</v>
      </c>
      <c r="D155" s="11" t="s">
        <v>167</v>
      </c>
      <c r="E155" s="11" t="s">
        <v>126</v>
      </c>
      <c r="F155" s="105">
        <v>100</v>
      </c>
      <c r="G155" s="105">
        <v>60</v>
      </c>
      <c r="H155" s="106">
        <v>3</v>
      </c>
      <c r="J155" s="21" t="s">
        <v>516</v>
      </c>
    </row>
    <row r="156" spans="3:13" x14ac:dyDescent="0.3">
      <c r="C156" s="11" t="s">
        <v>350</v>
      </c>
      <c r="D156" s="11" t="s">
        <v>169</v>
      </c>
      <c r="E156" s="11" t="s">
        <v>123</v>
      </c>
      <c r="F156" s="105">
        <v>720</v>
      </c>
      <c r="G156" s="105">
        <v>720</v>
      </c>
      <c r="H156" s="106">
        <v>3.5</v>
      </c>
      <c r="J156" s="21" t="s">
        <v>517</v>
      </c>
    </row>
    <row r="157" spans="3:13" x14ac:dyDescent="0.3">
      <c r="C157" s="11" t="s">
        <v>350</v>
      </c>
      <c r="D157" s="11" t="s">
        <v>169</v>
      </c>
      <c r="E157" s="11" t="s">
        <v>125</v>
      </c>
      <c r="F157" s="105">
        <v>300</v>
      </c>
      <c r="G157" s="105">
        <v>300</v>
      </c>
      <c r="H157" s="106">
        <v>4</v>
      </c>
    </row>
    <row r="158" spans="3:13" x14ac:dyDescent="0.3">
      <c r="C158" s="11" t="s">
        <v>350</v>
      </c>
      <c r="D158" s="11" t="s">
        <v>169</v>
      </c>
      <c r="E158" s="11" t="s">
        <v>126</v>
      </c>
      <c r="F158" s="105">
        <v>118</v>
      </c>
      <c r="G158" s="105">
        <v>118</v>
      </c>
      <c r="H158" s="106">
        <v>3</v>
      </c>
    </row>
    <row r="159" spans="3:13" x14ac:dyDescent="0.3">
      <c r="C159" s="11" t="s">
        <v>351</v>
      </c>
      <c r="D159" s="11" t="s">
        <v>165</v>
      </c>
      <c r="E159" s="11" t="s">
        <v>123</v>
      </c>
      <c r="F159" s="105">
        <v>708</v>
      </c>
      <c r="G159" s="105">
        <v>700</v>
      </c>
      <c r="H159" s="106">
        <v>3.5</v>
      </c>
      <c r="J159" s="21" t="s">
        <v>518</v>
      </c>
    </row>
    <row r="160" spans="3:13" x14ac:dyDescent="0.3">
      <c r="C160" s="11" t="s">
        <v>351</v>
      </c>
      <c r="D160" s="11" t="s">
        <v>165</v>
      </c>
      <c r="E160" s="11" t="s">
        <v>125</v>
      </c>
      <c r="F160" s="105">
        <v>290</v>
      </c>
      <c r="G160" s="105">
        <v>284</v>
      </c>
      <c r="H160" s="106">
        <v>4</v>
      </c>
      <c r="J160" s="21" t="s">
        <v>519</v>
      </c>
    </row>
    <row r="161" spans="3:10" x14ac:dyDescent="0.3">
      <c r="C161" s="11" t="s">
        <v>351</v>
      </c>
      <c r="D161" s="11" t="s">
        <v>165</v>
      </c>
      <c r="E161" s="11" t="s">
        <v>126</v>
      </c>
      <c r="F161" s="105">
        <v>86</v>
      </c>
      <c r="G161" s="105">
        <v>86</v>
      </c>
      <c r="H161" s="106">
        <v>3</v>
      </c>
    </row>
    <row r="162" spans="3:10" x14ac:dyDescent="0.3">
      <c r="C162" s="11" t="s">
        <v>351</v>
      </c>
      <c r="D162" s="11" t="s">
        <v>167</v>
      </c>
      <c r="E162" s="11" t="s">
        <v>123</v>
      </c>
      <c r="F162" s="105">
        <v>896</v>
      </c>
      <c r="G162" s="105">
        <v>860</v>
      </c>
      <c r="H162" s="106">
        <v>3.5</v>
      </c>
      <c r="J162" s="21" t="s">
        <v>520</v>
      </c>
    </row>
    <row r="163" spans="3:10" x14ac:dyDescent="0.3">
      <c r="C163" s="11" t="s">
        <v>351</v>
      </c>
      <c r="D163" s="11" t="s">
        <v>167</v>
      </c>
      <c r="E163" s="11" t="s">
        <v>125</v>
      </c>
      <c r="F163" s="105">
        <v>357</v>
      </c>
      <c r="G163" s="105">
        <v>357</v>
      </c>
      <c r="H163" s="106">
        <v>4</v>
      </c>
      <c r="J163" s="21" t="s">
        <v>521</v>
      </c>
    </row>
    <row r="164" spans="3:10" x14ac:dyDescent="0.3">
      <c r="C164" s="11" t="s">
        <v>351</v>
      </c>
      <c r="D164" s="11" t="s">
        <v>167</v>
      </c>
      <c r="E164" s="11" t="s">
        <v>126</v>
      </c>
      <c r="F164" s="105">
        <v>132</v>
      </c>
      <c r="G164" s="105">
        <v>125</v>
      </c>
      <c r="H164" s="106">
        <v>3</v>
      </c>
      <c r="J164" s="21" t="s">
        <v>522</v>
      </c>
    </row>
    <row r="165" spans="3:10" x14ac:dyDescent="0.3">
      <c r="C165" s="11" t="s">
        <v>351</v>
      </c>
      <c r="D165" s="11" t="s">
        <v>169</v>
      </c>
      <c r="E165" s="11" t="s">
        <v>123</v>
      </c>
      <c r="F165" s="105">
        <v>900</v>
      </c>
      <c r="G165" s="105">
        <v>801</v>
      </c>
      <c r="H165" s="106">
        <v>3.5</v>
      </c>
      <c r="J165" s="21" t="s">
        <v>523</v>
      </c>
    </row>
    <row r="166" spans="3:10" x14ac:dyDescent="0.3">
      <c r="C166" s="11" t="s">
        <v>351</v>
      </c>
      <c r="D166" s="11" t="s">
        <v>169</v>
      </c>
      <c r="E166" s="11" t="s">
        <v>125</v>
      </c>
      <c r="F166" s="105">
        <v>374</v>
      </c>
      <c r="G166" s="105">
        <v>370</v>
      </c>
      <c r="H166" s="106">
        <v>4</v>
      </c>
    </row>
    <row r="167" spans="3:10" x14ac:dyDescent="0.3">
      <c r="C167" s="11" t="s">
        <v>351</v>
      </c>
      <c r="D167" s="11" t="s">
        <v>169</v>
      </c>
      <c r="E167" s="11" t="s">
        <v>126</v>
      </c>
      <c r="F167" s="105">
        <v>140</v>
      </c>
      <c r="G167" s="105">
        <v>140</v>
      </c>
      <c r="H167" s="106">
        <v>3</v>
      </c>
    </row>
    <row r="168" spans="3:10" x14ac:dyDescent="0.3">
      <c r="C168" s="11" t="s">
        <v>352</v>
      </c>
      <c r="D168" s="11" t="s">
        <v>165</v>
      </c>
      <c r="E168" s="11" t="s">
        <v>123</v>
      </c>
      <c r="F168" s="105">
        <v>700</v>
      </c>
      <c r="G168" s="105">
        <v>697</v>
      </c>
      <c r="H168" s="106">
        <v>3.5</v>
      </c>
    </row>
    <row r="169" spans="3:10" x14ac:dyDescent="0.3">
      <c r="C169" s="11" t="s">
        <v>352</v>
      </c>
      <c r="D169" s="11" t="s">
        <v>165</v>
      </c>
      <c r="E169" s="11" t="s">
        <v>125</v>
      </c>
      <c r="F169" s="105">
        <v>283</v>
      </c>
      <c r="G169" s="105">
        <v>280</v>
      </c>
      <c r="H169" s="106">
        <v>4</v>
      </c>
    </row>
    <row r="170" spans="3:10" x14ac:dyDescent="0.3">
      <c r="C170" s="11" t="s">
        <v>352</v>
      </c>
      <c r="D170" s="11" t="s">
        <v>165</v>
      </c>
      <c r="E170" s="11" t="s">
        <v>126</v>
      </c>
      <c r="F170" s="105">
        <v>100</v>
      </c>
      <c r="G170" s="105">
        <v>97</v>
      </c>
      <c r="H170" s="106">
        <v>3</v>
      </c>
    </row>
    <row r="171" spans="3:10" x14ac:dyDescent="0.3">
      <c r="C171" s="11" t="s">
        <v>352</v>
      </c>
      <c r="D171" s="11" t="s">
        <v>167</v>
      </c>
      <c r="E171" s="11" t="s">
        <v>123</v>
      </c>
      <c r="F171" s="105">
        <v>718</v>
      </c>
      <c r="G171" s="105">
        <v>717</v>
      </c>
      <c r="H171" s="106">
        <v>3.5</v>
      </c>
    </row>
    <row r="172" spans="3:10" x14ac:dyDescent="0.3">
      <c r="C172" s="11" t="s">
        <v>352</v>
      </c>
      <c r="D172" s="11" t="s">
        <v>167</v>
      </c>
      <c r="E172" s="11" t="s">
        <v>125</v>
      </c>
      <c r="F172" s="105">
        <v>295</v>
      </c>
      <c r="G172" s="105">
        <v>292</v>
      </c>
      <c r="H172" s="106">
        <v>4</v>
      </c>
    </row>
    <row r="173" spans="3:10" x14ac:dyDescent="0.3">
      <c r="C173" s="11" t="s">
        <v>352</v>
      </c>
      <c r="D173" s="11" t="s">
        <v>167</v>
      </c>
      <c r="E173" s="11" t="s">
        <v>126</v>
      </c>
      <c r="F173" s="105">
        <v>106</v>
      </c>
      <c r="G173" s="105">
        <v>103</v>
      </c>
      <c r="H173" s="106">
        <v>3</v>
      </c>
    </row>
    <row r="174" spans="3:10" x14ac:dyDescent="0.3">
      <c r="C174" s="11" t="s">
        <v>352</v>
      </c>
      <c r="D174" s="11" t="s">
        <v>169</v>
      </c>
      <c r="E174" s="11" t="s">
        <v>123</v>
      </c>
      <c r="F174" s="105">
        <v>720</v>
      </c>
      <c r="G174" s="105">
        <v>720</v>
      </c>
      <c r="H174" s="106">
        <v>3.5</v>
      </c>
    </row>
    <row r="175" spans="3:10" x14ac:dyDescent="0.3">
      <c r="C175" s="11" t="s">
        <v>352</v>
      </c>
      <c r="D175" s="11" t="s">
        <v>169</v>
      </c>
      <c r="E175" s="11" t="s">
        <v>125</v>
      </c>
      <c r="F175" s="105">
        <v>300</v>
      </c>
      <c r="G175" s="105">
        <v>300</v>
      </c>
      <c r="H175" s="106">
        <v>4</v>
      </c>
    </row>
    <row r="176" spans="3:10" x14ac:dyDescent="0.3">
      <c r="C176" s="11" t="s">
        <v>352</v>
      </c>
      <c r="D176" s="11" t="s">
        <v>169</v>
      </c>
      <c r="E176" s="11" t="s">
        <v>126</v>
      </c>
      <c r="F176" s="105">
        <v>118</v>
      </c>
      <c r="G176" s="105">
        <v>118</v>
      </c>
      <c r="H176" s="106">
        <v>3</v>
      </c>
    </row>
    <row r="177" spans="3:8" x14ac:dyDescent="0.3">
      <c r="C177" s="11" t="s">
        <v>353</v>
      </c>
      <c r="D177" s="11" t="s">
        <v>165</v>
      </c>
      <c r="E177" s="11" t="s">
        <v>123</v>
      </c>
      <c r="F177" s="105">
        <v>892</v>
      </c>
      <c r="G177" s="105">
        <v>891</v>
      </c>
      <c r="H177" s="106">
        <v>3.5</v>
      </c>
    </row>
    <row r="178" spans="3:8" x14ac:dyDescent="0.3">
      <c r="C178" s="11" t="s">
        <v>353</v>
      </c>
      <c r="D178" s="11" t="s">
        <v>165</v>
      </c>
      <c r="E178" s="11" t="s">
        <v>125</v>
      </c>
      <c r="F178" s="105">
        <v>357</v>
      </c>
      <c r="G178" s="105">
        <v>350</v>
      </c>
      <c r="H178" s="106">
        <v>4</v>
      </c>
    </row>
    <row r="179" spans="3:8" x14ac:dyDescent="0.3">
      <c r="C179" s="11" t="s">
        <v>353</v>
      </c>
      <c r="D179" s="11" t="s">
        <v>165</v>
      </c>
      <c r="E179" s="11" t="s">
        <v>126</v>
      </c>
      <c r="F179" s="105">
        <v>128</v>
      </c>
      <c r="G179" s="105">
        <v>120</v>
      </c>
      <c r="H179" s="106">
        <v>3</v>
      </c>
    </row>
    <row r="180" spans="3:8" x14ac:dyDescent="0.3">
      <c r="C180" s="11" t="s">
        <v>353</v>
      </c>
      <c r="D180" s="11" t="s">
        <v>167</v>
      </c>
      <c r="E180" s="11" t="s">
        <v>123</v>
      </c>
      <c r="F180" s="105">
        <v>894</v>
      </c>
      <c r="G180" s="105">
        <v>890</v>
      </c>
      <c r="H180" s="106">
        <v>3.5</v>
      </c>
    </row>
    <row r="181" spans="3:8" x14ac:dyDescent="0.3">
      <c r="C181" s="11" t="s">
        <v>353</v>
      </c>
      <c r="D181" s="11" t="s">
        <v>167</v>
      </c>
      <c r="E181" s="11" t="s">
        <v>125</v>
      </c>
      <c r="F181" s="105">
        <v>359</v>
      </c>
      <c r="G181" s="105">
        <v>351</v>
      </c>
      <c r="H181" s="106">
        <v>4</v>
      </c>
    </row>
    <row r="182" spans="3:8" x14ac:dyDescent="0.3">
      <c r="C182" s="11" t="s">
        <v>353</v>
      </c>
      <c r="D182" s="11" t="s">
        <v>167</v>
      </c>
      <c r="E182" s="11" t="s">
        <v>126</v>
      </c>
      <c r="F182" s="105">
        <v>131</v>
      </c>
      <c r="G182" s="105">
        <v>128</v>
      </c>
      <c r="H182" s="106">
        <v>3</v>
      </c>
    </row>
    <row r="183" spans="3:8" x14ac:dyDescent="0.3">
      <c r="C183" s="11" t="s">
        <v>353</v>
      </c>
      <c r="D183" s="11" t="s">
        <v>169</v>
      </c>
      <c r="E183" s="11" t="s">
        <v>123</v>
      </c>
      <c r="F183" s="105">
        <v>720</v>
      </c>
      <c r="G183" s="105">
        <v>719</v>
      </c>
      <c r="H183" s="106">
        <v>3.5</v>
      </c>
    </row>
    <row r="184" spans="3:8" x14ac:dyDescent="0.3">
      <c r="C184" s="11" t="s">
        <v>353</v>
      </c>
      <c r="D184" s="11" t="s">
        <v>169</v>
      </c>
      <c r="E184" s="11" t="s">
        <v>125</v>
      </c>
      <c r="F184" s="105">
        <v>300</v>
      </c>
      <c r="G184" s="105">
        <v>289</v>
      </c>
      <c r="H184" s="106">
        <v>4</v>
      </c>
    </row>
    <row r="185" spans="3:8" x14ac:dyDescent="0.3">
      <c r="C185" s="11" t="s">
        <v>353</v>
      </c>
      <c r="D185" s="11" t="s">
        <v>169</v>
      </c>
      <c r="E185" s="11" t="s">
        <v>126</v>
      </c>
      <c r="F185" s="105">
        <v>112</v>
      </c>
      <c r="G185" s="105">
        <v>110</v>
      </c>
      <c r="H185" s="106">
        <v>3</v>
      </c>
    </row>
    <row r="186" spans="3:8" x14ac:dyDescent="0.3">
      <c r="C186" s="11" t="s">
        <v>354</v>
      </c>
      <c r="D186" s="11" t="s">
        <v>165</v>
      </c>
      <c r="E186" s="11" t="s">
        <v>123</v>
      </c>
      <c r="F186" s="105">
        <v>720</v>
      </c>
      <c r="G186" s="105">
        <v>710</v>
      </c>
      <c r="H186" s="106">
        <v>3.5</v>
      </c>
    </row>
    <row r="187" spans="3:8" x14ac:dyDescent="0.3">
      <c r="C187" s="11" t="s">
        <v>354</v>
      </c>
      <c r="D187" s="11" t="s">
        <v>165</v>
      </c>
      <c r="E187" s="11" t="s">
        <v>125</v>
      </c>
      <c r="F187" s="105">
        <v>283</v>
      </c>
      <c r="G187" s="105">
        <v>281</v>
      </c>
      <c r="H187" s="106">
        <v>4</v>
      </c>
    </row>
    <row r="188" spans="3:8" x14ac:dyDescent="0.3">
      <c r="C188" s="11" t="s">
        <v>354</v>
      </c>
      <c r="D188" s="11" t="s">
        <v>165</v>
      </c>
      <c r="E188" s="11" t="s">
        <v>126</v>
      </c>
      <c r="F188" s="105">
        <v>95</v>
      </c>
      <c r="G188" s="105">
        <v>91</v>
      </c>
      <c r="H188" s="106">
        <v>3</v>
      </c>
    </row>
    <row r="189" spans="3:8" x14ac:dyDescent="0.3">
      <c r="C189" s="11" t="s">
        <v>354</v>
      </c>
      <c r="D189" s="11" t="s">
        <v>167</v>
      </c>
      <c r="E189" s="11" t="s">
        <v>123</v>
      </c>
      <c r="F189" s="105">
        <v>720</v>
      </c>
      <c r="G189" s="105">
        <v>710</v>
      </c>
      <c r="H189" s="106">
        <v>3.5</v>
      </c>
    </row>
    <row r="190" spans="3:8" x14ac:dyDescent="0.3">
      <c r="C190" s="11" t="s">
        <v>354</v>
      </c>
      <c r="D190" s="11" t="s">
        <v>167</v>
      </c>
      <c r="E190" s="11" t="s">
        <v>125</v>
      </c>
      <c r="F190" s="105">
        <v>292</v>
      </c>
      <c r="G190" s="105">
        <v>291</v>
      </c>
      <c r="H190" s="106">
        <v>4</v>
      </c>
    </row>
    <row r="191" spans="3:8" x14ac:dyDescent="0.3">
      <c r="C191" s="11" t="s">
        <v>354</v>
      </c>
      <c r="D191" s="11" t="s">
        <v>167</v>
      </c>
      <c r="E191" s="11" t="s">
        <v>126</v>
      </c>
      <c r="F191" s="105">
        <v>109</v>
      </c>
      <c r="G191" s="105">
        <v>100</v>
      </c>
      <c r="H191" s="106">
        <v>3</v>
      </c>
    </row>
    <row r="192" spans="3:8" x14ac:dyDescent="0.3">
      <c r="C192" s="11" t="s">
        <v>354</v>
      </c>
      <c r="D192" s="11" t="s">
        <v>169</v>
      </c>
      <c r="E192" s="11" t="s">
        <v>123</v>
      </c>
      <c r="F192" s="105">
        <v>900</v>
      </c>
      <c r="G192" s="105">
        <v>900</v>
      </c>
      <c r="H192" s="106">
        <v>3.5</v>
      </c>
    </row>
    <row r="193" spans="1:15" x14ac:dyDescent="0.3">
      <c r="C193" s="11" t="s">
        <v>354</v>
      </c>
      <c r="D193" s="11" t="s">
        <v>169</v>
      </c>
      <c r="E193" s="11" t="s">
        <v>125</v>
      </c>
      <c r="F193" s="105">
        <v>370</v>
      </c>
      <c r="G193" s="105">
        <v>369</v>
      </c>
      <c r="H193" s="106">
        <v>4</v>
      </c>
    </row>
    <row r="194" spans="1:15" x14ac:dyDescent="0.3">
      <c r="C194" s="11" t="s">
        <v>354</v>
      </c>
      <c r="D194" s="11" t="s">
        <v>169</v>
      </c>
      <c r="E194" s="11" t="s">
        <v>126</v>
      </c>
      <c r="F194" s="105">
        <v>145</v>
      </c>
      <c r="G194" s="105">
        <v>143</v>
      </c>
      <c r="H194" s="106">
        <v>3</v>
      </c>
    </row>
    <row r="197" spans="1:15" s="52" customFormat="1" ht="21" x14ac:dyDescent="0.5">
      <c r="A197" s="55"/>
      <c r="B197" s="56" t="s">
        <v>1144</v>
      </c>
      <c r="C197" s="55"/>
      <c r="D197" s="55"/>
      <c r="E197" s="55"/>
      <c r="F197" s="57"/>
      <c r="G197" s="57"/>
      <c r="H197" s="57"/>
      <c r="I197" s="57"/>
      <c r="J197" s="57"/>
      <c r="K197" s="57"/>
      <c r="L197" s="57"/>
      <c r="M197" s="57"/>
      <c r="N197" s="57"/>
      <c r="O197" s="57"/>
    </row>
    <row r="199" spans="1:15" x14ac:dyDescent="0.3">
      <c r="C199" s="21" t="s">
        <v>1145</v>
      </c>
    </row>
    <row r="200" spans="1:15" x14ac:dyDescent="0.3">
      <c r="C200" s="21" t="s">
        <v>1146</v>
      </c>
    </row>
    <row r="201" spans="1:15" x14ac:dyDescent="0.3">
      <c r="C201" s="21" t="s">
        <v>1147</v>
      </c>
    </row>
    <row r="202" spans="1:15" x14ac:dyDescent="0.3">
      <c r="C202" s="21" t="s">
        <v>1148</v>
      </c>
    </row>
    <row r="205" spans="1:15" x14ac:dyDescent="0.3">
      <c r="C205" s="239" t="s">
        <v>575</v>
      </c>
      <c r="D205" s="239"/>
      <c r="E205" s="239"/>
      <c r="G205" s="100" cm="1">
        <f t="array" ref="G205">SUMPRODUCT(LEN(C205:E210))</f>
        <v>214</v>
      </c>
      <c r="I205" s="21" t="str">
        <f ca="1">_xlfn.FORMULATEXT(G205)</f>
        <v>=SUMPRODUCT(LEN(C205:E210))</v>
      </c>
    </row>
    <row r="206" spans="1:15" x14ac:dyDescent="0.3">
      <c r="C206" s="239" t="s">
        <v>576</v>
      </c>
      <c r="D206" s="239"/>
      <c r="E206" s="239"/>
      <c r="G206" s="21" t="s">
        <v>1154</v>
      </c>
    </row>
    <row r="207" spans="1:15" x14ac:dyDescent="0.3">
      <c r="C207" s="239" t="s">
        <v>577</v>
      </c>
      <c r="D207" s="239"/>
      <c r="E207" s="239"/>
      <c r="G207" s="21" t="s">
        <v>1155</v>
      </c>
    </row>
    <row r="208" spans="1:15" x14ac:dyDescent="0.3">
      <c r="C208" s="239" t="s">
        <v>578</v>
      </c>
      <c r="D208" s="239"/>
      <c r="E208" s="239"/>
      <c r="G208" s="21" t="s">
        <v>1156</v>
      </c>
    </row>
    <row r="209" spans="1:15" x14ac:dyDescent="0.3">
      <c r="C209" s="239" t="s">
        <v>579</v>
      </c>
      <c r="D209" s="239"/>
      <c r="E209" s="239"/>
    </row>
    <row r="210" spans="1:15" x14ac:dyDescent="0.3">
      <c r="C210" s="239" t="s">
        <v>617</v>
      </c>
      <c r="D210" s="239"/>
      <c r="E210" s="239"/>
      <c r="G210" s="100" cm="1">
        <f t="array" ref="G210">SUMPRODUCT(LEN(C205:C210) - LEN(SUBSTITUTE(C205:C210, "-", "")))</f>
        <v>24</v>
      </c>
      <c r="I210" s="21" t="str">
        <f ca="1">_xlfn.FORMULATEXT(G210)</f>
        <v>=SUMPRODUCT(LEN(C205:C210) - LEN(SUBSTITUTE(C205:C210, "-", "")))</v>
      </c>
    </row>
    <row r="211" spans="1:15" x14ac:dyDescent="0.3">
      <c r="G211" s="21" t="s">
        <v>1157</v>
      </c>
    </row>
    <row r="214" spans="1:15" x14ac:dyDescent="0.3">
      <c r="G214" s="21" t="s">
        <v>1334</v>
      </c>
    </row>
    <row r="216" spans="1:15" x14ac:dyDescent="0.3">
      <c r="G216" s="100" cm="1">
        <f t="array" ref="G216">SUM(LEN(C205:E210))</f>
        <v>214</v>
      </c>
      <c r="I216" s="21" t="str">
        <f ca="1">_xlfn.FORMULATEXT(G216)</f>
        <v>=SUM(LEN(C205:E210))</v>
      </c>
    </row>
    <row r="217" spans="1:15" x14ac:dyDescent="0.3">
      <c r="G217" s="100" cm="1">
        <f t="array" ref="G217">SUM(LEN(C205:C210) - LEN(SUBSTITUTE(C205:C210, "-", "")))</f>
        <v>24</v>
      </c>
      <c r="I217" s="21" t="str">
        <f ca="1">_xlfn.FORMULATEXT(G217)</f>
        <v>=SUM(LEN(C205:C210) - LEN(SUBSTITUTE(C205:C210, "-", "")))</v>
      </c>
    </row>
    <row r="220" spans="1:15" s="52" customFormat="1" ht="21" x14ac:dyDescent="0.5">
      <c r="A220" s="55"/>
      <c r="B220" s="56" t="s">
        <v>10</v>
      </c>
      <c r="C220" s="55"/>
      <c r="D220" s="55"/>
      <c r="E220" s="55"/>
      <c r="F220" s="57"/>
      <c r="G220" s="57"/>
      <c r="H220" s="57"/>
      <c r="I220" s="57"/>
      <c r="J220" s="57"/>
      <c r="K220" s="57"/>
      <c r="L220" s="57"/>
      <c r="M220" s="57"/>
      <c r="N220" s="57"/>
      <c r="O220" s="57"/>
    </row>
    <row r="223" spans="1:15" x14ac:dyDescent="0.3">
      <c r="C223" s="74" t="s">
        <v>432</v>
      </c>
      <c r="D223" s="74" t="s">
        <v>381</v>
      </c>
      <c r="E223" s="74" t="s">
        <v>433</v>
      </c>
      <c r="F223" s="74" t="s">
        <v>434</v>
      </c>
    </row>
    <row r="224" spans="1:15" x14ac:dyDescent="0.3">
      <c r="C224" s="98">
        <v>1</v>
      </c>
      <c r="D224" s="98" t="s">
        <v>165</v>
      </c>
      <c r="E224" s="98" t="s">
        <v>435</v>
      </c>
      <c r="F224" s="11">
        <v>1000</v>
      </c>
      <c r="I224" s="21" t="s">
        <v>524</v>
      </c>
    </row>
    <row r="225" spans="3:13" x14ac:dyDescent="0.3">
      <c r="C225" s="98">
        <v>1</v>
      </c>
      <c r="D225" s="98" t="s">
        <v>167</v>
      </c>
      <c r="E225" s="98" t="s">
        <v>436</v>
      </c>
      <c r="F225" s="11">
        <v>575</v>
      </c>
      <c r="I225" s="100"/>
    </row>
    <row r="226" spans="3:13" x14ac:dyDescent="0.3">
      <c r="C226" s="98">
        <v>1</v>
      </c>
      <c r="D226" s="98" t="s">
        <v>169</v>
      </c>
      <c r="E226" s="98" t="s">
        <v>437</v>
      </c>
      <c r="F226" s="11">
        <v>698</v>
      </c>
    </row>
    <row r="227" spans="3:13" x14ac:dyDescent="0.3">
      <c r="C227" s="98">
        <v>2</v>
      </c>
      <c r="D227" s="98" t="s">
        <v>165</v>
      </c>
      <c r="E227" s="98" t="s">
        <v>437</v>
      </c>
      <c r="F227" s="11">
        <v>758</v>
      </c>
      <c r="I227" s="21" t="s">
        <v>525</v>
      </c>
    </row>
    <row r="228" spans="3:13" x14ac:dyDescent="0.3">
      <c r="C228" s="98">
        <v>2</v>
      </c>
      <c r="D228" s="98" t="s">
        <v>167</v>
      </c>
      <c r="E228" s="98" t="s">
        <v>435</v>
      </c>
      <c r="F228" s="11">
        <v>1207</v>
      </c>
      <c r="I228" s="37" t="s">
        <v>435</v>
      </c>
      <c r="J228" s="100"/>
    </row>
    <row r="229" spans="3:13" x14ac:dyDescent="0.3">
      <c r="C229" s="98">
        <v>2</v>
      </c>
      <c r="D229" s="98" t="s">
        <v>169</v>
      </c>
      <c r="E229" s="98" t="s">
        <v>436</v>
      </c>
      <c r="F229" s="11">
        <v>694</v>
      </c>
      <c r="I229" s="37" t="s">
        <v>437</v>
      </c>
      <c r="J229" s="100"/>
    </row>
    <row r="230" spans="3:13" x14ac:dyDescent="0.3">
      <c r="C230" s="98">
        <v>3</v>
      </c>
      <c r="D230" s="98" t="s">
        <v>165</v>
      </c>
      <c r="E230" s="98" t="s">
        <v>437</v>
      </c>
      <c r="F230" s="11">
        <v>797</v>
      </c>
      <c r="I230" s="37" t="s">
        <v>436</v>
      </c>
      <c r="J230" s="100"/>
    </row>
    <row r="231" spans="3:13" x14ac:dyDescent="0.3">
      <c r="C231" s="98">
        <v>3</v>
      </c>
      <c r="D231" s="98" t="s">
        <v>167</v>
      </c>
      <c r="E231" s="98" t="s">
        <v>435</v>
      </c>
      <c r="F231" s="11">
        <v>1035</v>
      </c>
      <c r="I231" s="37" t="s">
        <v>526</v>
      </c>
      <c r="J231" s="107">
        <f>SUM(J228:J230)</f>
        <v>0</v>
      </c>
    </row>
    <row r="232" spans="3:13" x14ac:dyDescent="0.3">
      <c r="C232" s="98">
        <v>3</v>
      </c>
      <c r="D232" s="98" t="s">
        <v>169</v>
      </c>
      <c r="E232" s="98" t="s">
        <v>435</v>
      </c>
      <c r="F232" s="11">
        <v>1190</v>
      </c>
      <c r="I232" s="21" t="s">
        <v>504</v>
      </c>
      <c r="J232" s="108">
        <f>SUM(F224:F235) - J231</f>
        <v>10918</v>
      </c>
    </row>
    <row r="233" spans="3:13" x14ac:dyDescent="0.3">
      <c r="C233" s="98">
        <v>4</v>
      </c>
      <c r="D233" s="98" t="s">
        <v>165</v>
      </c>
      <c r="E233" s="98" t="s">
        <v>436</v>
      </c>
      <c r="F233" s="11">
        <v>597</v>
      </c>
    </row>
    <row r="234" spans="3:13" x14ac:dyDescent="0.3">
      <c r="C234" s="98">
        <v>4</v>
      </c>
      <c r="D234" s="98" t="s">
        <v>167</v>
      </c>
      <c r="E234" s="98" t="s">
        <v>435</v>
      </c>
      <c r="F234" s="11">
        <v>970</v>
      </c>
      <c r="I234" s="21" t="s">
        <v>527</v>
      </c>
    </row>
    <row r="235" spans="3:13" x14ac:dyDescent="0.3">
      <c r="C235" s="98">
        <v>4</v>
      </c>
      <c r="D235" s="98" t="s">
        <v>169</v>
      </c>
      <c r="E235" s="98" t="s">
        <v>435</v>
      </c>
      <c r="F235" s="11">
        <v>1397</v>
      </c>
      <c r="J235" s="109" t="s">
        <v>435</v>
      </c>
      <c r="K235" s="109" t="s">
        <v>437</v>
      </c>
      <c r="L235" s="109" t="s">
        <v>436</v>
      </c>
      <c r="M235" s="109" t="s">
        <v>416</v>
      </c>
    </row>
    <row r="236" spans="3:13" x14ac:dyDescent="0.3">
      <c r="I236" s="37" t="s">
        <v>165</v>
      </c>
      <c r="J236" s="100"/>
      <c r="K236" s="100"/>
      <c r="L236" s="100"/>
      <c r="M236" s="107">
        <f>SUM(J236:L236)</f>
        <v>0</v>
      </c>
    </row>
    <row r="237" spans="3:13" x14ac:dyDescent="0.3">
      <c r="I237" s="37" t="s">
        <v>167</v>
      </c>
      <c r="J237" s="100"/>
      <c r="K237" s="100"/>
      <c r="L237" s="100"/>
      <c r="M237" s="107">
        <f>SUM(J237:L237)</f>
        <v>0</v>
      </c>
    </row>
    <row r="238" spans="3:13" x14ac:dyDescent="0.3">
      <c r="I238" s="37" t="s">
        <v>169</v>
      </c>
      <c r="J238" s="100"/>
      <c r="K238" s="100"/>
      <c r="L238" s="100"/>
      <c r="M238" s="107">
        <f>SUM(J238:L238)</f>
        <v>0</v>
      </c>
    </row>
    <row r="239" spans="3:13" x14ac:dyDescent="0.3">
      <c r="I239" s="37" t="s">
        <v>416</v>
      </c>
      <c r="J239" s="107">
        <f>SUM(J236:J238)</f>
        <v>0</v>
      </c>
      <c r="K239" s="107">
        <f>SUM(K236:K238)</f>
        <v>0</v>
      </c>
      <c r="L239" s="107">
        <f>SUM(L236:L238)</f>
        <v>0</v>
      </c>
      <c r="M239" s="107">
        <f>SUM(J239:L239)</f>
        <v>0</v>
      </c>
    </row>
    <row r="244" spans="1:15" s="52" customFormat="1" ht="21" x14ac:dyDescent="0.5">
      <c r="A244" s="55"/>
      <c r="B244" s="56" t="s">
        <v>11</v>
      </c>
      <c r="C244" s="55"/>
      <c r="D244" s="55"/>
      <c r="E244" s="55"/>
      <c r="F244" s="57"/>
      <c r="G244" s="57"/>
      <c r="H244" s="57"/>
      <c r="I244" s="57"/>
      <c r="J244" s="57"/>
      <c r="K244" s="57"/>
      <c r="L244" s="57"/>
      <c r="M244" s="57"/>
      <c r="N244" s="57"/>
      <c r="O244" s="57"/>
    </row>
    <row r="247" spans="1:15" x14ac:dyDescent="0.3">
      <c r="C247" s="74" t="s">
        <v>432</v>
      </c>
      <c r="D247" s="74" t="s">
        <v>381</v>
      </c>
      <c r="E247" s="74" t="s">
        <v>433</v>
      </c>
      <c r="F247" s="74" t="s">
        <v>434</v>
      </c>
    </row>
    <row r="248" spans="1:15" x14ac:dyDescent="0.3">
      <c r="C248" s="98">
        <v>1</v>
      </c>
      <c r="D248" s="98" t="s">
        <v>165</v>
      </c>
      <c r="E248" s="98" t="s">
        <v>435</v>
      </c>
      <c r="F248" s="11">
        <v>1000</v>
      </c>
      <c r="I248" s="21" t="s">
        <v>524</v>
      </c>
    </row>
    <row r="249" spans="1:15" x14ac:dyDescent="0.3">
      <c r="C249" s="98">
        <v>1</v>
      </c>
      <c r="D249" s="98" t="s">
        <v>167</v>
      </c>
      <c r="E249" s="98" t="s">
        <v>436</v>
      </c>
      <c r="F249" s="11">
        <v>575</v>
      </c>
      <c r="I249" s="100" cm="1">
        <f t="array" ref="I249">SUMPRODUCT(--(E248:E259="Sunny"))</f>
        <v>6</v>
      </c>
    </row>
    <row r="250" spans="1:15" x14ac:dyDescent="0.3">
      <c r="C250" s="98">
        <v>1</v>
      </c>
      <c r="D250" s="98" t="s">
        <v>169</v>
      </c>
      <c r="E250" s="98" t="s">
        <v>437</v>
      </c>
      <c r="F250" s="11">
        <v>698</v>
      </c>
    </row>
    <row r="251" spans="1:15" x14ac:dyDescent="0.3">
      <c r="C251" s="98">
        <v>2</v>
      </c>
      <c r="D251" s="98" t="s">
        <v>165</v>
      </c>
      <c r="E251" s="98" t="s">
        <v>437</v>
      </c>
      <c r="F251" s="11">
        <v>758</v>
      </c>
      <c r="I251" s="21" t="s">
        <v>525</v>
      </c>
    </row>
    <row r="252" spans="1:15" x14ac:dyDescent="0.3">
      <c r="C252" s="98">
        <v>2</v>
      </c>
      <c r="D252" s="98" t="s">
        <v>167</v>
      </c>
      <c r="E252" s="98" t="s">
        <v>435</v>
      </c>
      <c r="F252" s="11">
        <v>1207</v>
      </c>
      <c r="I252" s="37" t="s">
        <v>435</v>
      </c>
      <c r="J252" s="100" cm="1">
        <f t="array" ref="J252">SUMPRODUCT(($E$248:$E$259=$I252) * ($F$248:$F$259))</f>
        <v>6799</v>
      </c>
    </row>
    <row r="253" spans="1:15" x14ac:dyDescent="0.3">
      <c r="C253" s="98">
        <v>2</v>
      </c>
      <c r="D253" s="98" t="s">
        <v>169</v>
      </c>
      <c r="E253" s="98" t="s">
        <v>436</v>
      </c>
      <c r="F253" s="11">
        <v>694</v>
      </c>
      <c r="I253" s="37" t="s">
        <v>437</v>
      </c>
      <c r="J253" s="100" cm="1">
        <f t="array" ref="J253">SUMPRODUCT(($E$248:$E$259=$I253) * ($F$248:$F$259))</f>
        <v>2253</v>
      </c>
    </row>
    <row r="254" spans="1:15" x14ac:dyDescent="0.3">
      <c r="C254" s="98">
        <v>3</v>
      </c>
      <c r="D254" s="98" t="s">
        <v>165</v>
      </c>
      <c r="E254" s="98" t="s">
        <v>437</v>
      </c>
      <c r="F254" s="11">
        <v>797</v>
      </c>
      <c r="I254" s="37" t="s">
        <v>436</v>
      </c>
      <c r="J254" s="100" cm="1">
        <f t="array" ref="J254">SUMPRODUCT(($E$248:$E$259=$I254) * ($F$248:$F$259))</f>
        <v>1866</v>
      </c>
    </row>
    <row r="255" spans="1:15" x14ac:dyDescent="0.3">
      <c r="C255" s="98">
        <v>3</v>
      </c>
      <c r="D255" s="98" t="s">
        <v>167</v>
      </c>
      <c r="E255" s="98" t="s">
        <v>435</v>
      </c>
      <c r="F255" s="11">
        <v>1035</v>
      </c>
      <c r="I255" s="37" t="s">
        <v>526</v>
      </c>
      <c r="J255" s="107">
        <f>SUM(J252:J254)</f>
        <v>10918</v>
      </c>
    </row>
    <row r="256" spans="1:15" x14ac:dyDescent="0.3">
      <c r="C256" s="98">
        <v>3</v>
      </c>
      <c r="D256" s="98" t="s">
        <v>169</v>
      </c>
      <c r="E256" s="98" t="s">
        <v>435</v>
      </c>
      <c r="F256" s="11">
        <v>1190</v>
      </c>
      <c r="I256" s="21" t="s">
        <v>504</v>
      </c>
      <c r="J256" s="108">
        <f>SUM(F248:F259) - J255</f>
        <v>0</v>
      </c>
    </row>
    <row r="257" spans="3:13" x14ac:dyDescent="0.3">
      <c r="C257" s="98">
        <v>4</v>
      </c>
      <c r="D257" s="98" t="s">
        <v>165</v>
      </c>
      <c r="E257" s="98" t="s">
        <v>436</v>
      </c>
      <c r="F257" s="11">
        <v>597</v>
      </c>
    </row>
    <row r="258" spans="3:13" x14ac:dyDescent="0.3">
      <c r="C258" s="98">
        <v>4</v>
      </c>
      <c r="D258" s="98" t="s">
        <v>167</v>
      </c>
      <c r="E258" s="98" t="s">
        <v>435</v>
      </c>
      <c r="F258" s="11">
        <v>970</v>
      </c>
      <c r="I258" s="21" t="s">
        <v>527</v>
      </c>
    </row>
    <row r="259" spans="3:13" x14ac:dyDescent="0.3">
      <c r="C259" s="98">
        <v>4</v>
      </c>
      <c r="D259" s="98" t="s">
        <v>169</v>
      </c>
      <c r="E259" s="98" t="s">
        <v>435</v>
      </c>
      <c r="F259" s="11">
        <v>1397</v>
      </c>
      <c r="J259" s="109" t="s">
        <v>435</v>
      </c>
      <c r="K259" s="109" t="s">
        <v>437</v>
      </c>
      <c r="L259" s="109" t="s">
        <v>436</v>
      </c>
      <c r="M259" s="109" t="s">
        <v>416</v>
      </c>
    </row>
    <row r="260" spans="3:13" x14ac:dyDescent="0.3">
      <c r="I260" s="37" t="s">
        <v>165</v>
      </c>
      <c r="J260" s="100" cm="1">
        <f t="array" ref="J260">SUMPRODUCT(($E$248:$E$259=J$259) * ($D$248:$D$259 = $I260) * ($F$248:$F$259))</f>
        <v>1000</v>
      </c>
      <c r="K260" s="100" cm="1">
        <f t="array" ref="K260">SUMPRODUCT(($E$248:$E$259=K$259) * ($D$248:$D$259 = $I260) * ($F$248:$F$259))</f>
        <v>1555</v>
      </c>
      <c r="L260" s="100" cm="1">
        <f t="array" ref="L260">SUMPRODUCT(($E$248:$E$259=L$259) * ($D$248:$D$259 = $I260) * ($F$248:$F$259))</f>
        <v>597</v>
      </c>
      <c r="M260" s="107">
        <f>SUM(J260:L260)</f>
        <v>3152</v>
      </c>
    </row>
    <row r="261" spans="3:13" x14ac:dyDescent="0.3">
      <c r="I261" s="37" t="s">
        <v>167</v>
      </c>
      <c r="J261" s="100" cm="1">
        <f t="array" ref="J261">SUMPRODUCT(($E$248:$E$259=J$259) * ($D$248:$D$259 = $I261) * ($F$248:$F$259))</f>
        <v>3212</v>
      </c>
      <c r="K261" s="100" cm="1">
        <f t="array" ref="K261">SUMPRODUCT(($E$248:$E$259=K$259) * ($D$248:$D$259 = $I261) * ($F$248:$F$259))</f>
        <v>0</v>
      </c>
      <c r="L261" s="100" cm="1">
        <f t="array" ref="L261">SUMPRODUCT(($E$248:$E$259=L$259) * ($D$248:$D$259 = $I261) * ($F$248:$F$259))</f>
        <v>575</v>
      </c>
      <c r="M261" s="107">
        <f>SUM(J261:L261)</f>
        <v>3787</v>
      </c>
    </row>
    <row r="262" spans="3:13" x14ac:dyDescent="0.3">
      <c r="I262" s="37" t="s">
        <v>169</v>
      </c>
      <c r="J262" s="100" cm="1">
        <f t="array" ref="J262">SUMPRODUCT(($E$248:$E$259=J$259) * ($D$248:$D$259 = $I262) * ($F$248:$F$259))</f>
        <v>2587</v>
      </c>
      <c r="K262" s="100" cm="1">
        <f t="array" ref="K262">SUMPRODUCT(($E$248:$E$259=K$259) * ($D$248:$D$259 = $I262) * ($F$248:$F$259))</f>
        <v>698</v>
      </c>
      <c r="L262" s="100" cm="1">
        <f t="array" ref="L262">SUMPRODUCT(($E$248:$E$259=L$259) * ($D$248:$D$259 = $I262) * ($F$248:$F$259))</f>
        <v>694</v>
      </c>
      <c r="M262" s="107">
        <f>SUM(J262:L262)</f>
        <v>3979</v>
      </c>
    </row>
    <row r="263" spans="3:13" x14ac:dyDescent="0.3">
      <c r="I263" s="37" t="s">
        <v>416</v>
      </c>
      <c r="J263" s="107">
        <f>SUM(J260:J262)</f>
        <v>6799</v>
      </c>
      <c r="K263" s="107">
        <f>SUM(K260:K262)</f>
        <v>2253</v>
      </c>
      <c r="L263" s="107">
        <f>SUM(L260:L262)</f>
        <v>1866</v>
      </c>
      <c r="M263" s="107">
        <f>SUM(J263:L263)</f>
        <v>10918</v>
      </c>
    </row>
  </sheetData>
  <autoFilter ref="C22:F76" xr:uid="{84750683-A082-4A94-9588-E60599F4469D}"/>
  <mergeCells count="6">
    <mergeCell ref="C210:E210"/>
    <mergeCell ref="C205:E205"/>
    <mergeCell ref="C206:E206"/>
    <mergeCell ref="C207:E207"/>
    <mergeCell ref="C208:E208"/>
    <mergeCell ref="C209:E209"/>
  </mergeCells>
  <printOptions horizontalCentered="1"/>
  <pageMargins left="0.15748031496063" right="0.15748031496063" top="0.78740157480314998" bottom="0.78740157480314998" header="0.511811023622047" footer="0.511811023622047"/>
  <pageSetup paperSize="9" scale="54" orientation="landscape" r:id="rId1"/>
  <headerFooter alignWithMargins="0">
    <oddFooter xml:space="preserve">&amp;CClarity Consultancy Services Ltd   info@clarityconsultancyservices.co.uk
Registered in the UK (6619745). Registered Office:  Suite 6 Bourne Gate, Bourne Valley Rd, Poole, BH12 1DY
</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D2B24-A935-4A96-BA5D-369B53499FC8}">
  <sheetPr>
    <tabColor theme="3"/>
    <pageSetUpPr fitToPage="1"/>
  </sheetPr>
  <dimension ref="A1:M72"/>
  <sheetViews>
    <sheetView showGridLines="0" zoomScaleNormal="100" workbookViewId="0">
      <pane ySplit="1" topLeftCell="A2" activePane="bottomLeft" state="frozen"/>
      <selection activeCell="A2" sqref="A2"/>
      <selection pane="bottomLeft"/>
    </sheetView>
  </sheetViews>
  <sheetFormatPr defaultColWidth="0" defaultRowHeight="16.8" x14ac:dyDescent="0.3"/>
  <cols>
    <col min="1" max="2" width="3.6640625" style="21" customWidth="1"/>
    <col min="3" max="3" width="19.77734375" style="21" customWidth="1"/>
    <col min="4" max="5" width="14.109375" style="21" customWidth="1"/>
    <col min="6" max="6" width="16.77734375" style="21" customWidth="1"/>
    <col min="7" max="9" width="14.109375" style="21" customWidth="1"/>
    <col min="10" max="10" width="136.44140625" style="21" customWidth="1"/>
    <col min="11" max="12" width="10" style="21" hidden="1" customWidth="1"/>
    <col min="13" max="13" width="10.44140625" style="21" hidden="1" customWidth="1"/>
    <col min="14" max="16384" width="8.77734375" style="21" hidden="1"/>
  </cols>
  <sheetData>
    <row r="1" spans="1:10" s="52" customFormat="1" ht="49.95" customHeight="1" x14ac:dyDescent="0.3">
      <c r="A1" s="49"/>
      <c r="B1" s="50" t="s">
        <v>945</v>
      </c>
      <c r="C1" s="49"/>
      <c r="D1" s="49"/>
      <c r="E1" s="49"/>
      <c r="F1" s="51"/>
      <c r="G1" s="51"/>
      <c r="H1" s="51"/>
      <c r="I1" s="51"/>
      <c r="J1" s="51"/>
    </row>
    <row r="3" spans="1:10" x14ac:dyDescent="0.3">
      <c r="C3" s="21" t="s">
        <v>528</v>
      </c>
    </row>
    <row r="5" spans="1:10" x14ac:dyDescent="0.3">
      <c r="C5" s="74" t="s">
        <v>84</v>
      </c>
      <c r="D5" s="74" t="s">
        <v>529</v>
      </c>
      <c r="E5" s="74" t="s">
        <v>530</v>
      </c>
      <c r="F5" s="74" t="s">
        <v>85</v>
      </c>
      <c r="J5" s="83"/>
    </row>
    <row r="6" spans="1:10" x14ac:dyDescent="0.3">
      <c r="C6" s="11" t="s">
        <v>86</v>
      </c>
      <c r="D6" s="11" t="s">
        <v>531</v>
      </c>
      <c r="E6" s="11" t="s">
        <v>437</v>
      </c>
      <c r="F6" s="11">
        <v>5</v>
      </c>
    </row>
    <row r="7" spans="1:10" x14ac:dyDescent="0.3">
      <c r="C7" s="11" t="s">
        <v>86</v>
      </c>
      <c r="D7" s="11" t="s">
        <v>531</v>
      </c>
      <c r="E7" s="11" t="s">
        <v>532</v>
      </c>
      <c r="F7" s="11">
        <v>56</v>
      </c>
    </row>
    <row r="8" spans="1:10" x14ac:dyDescent="0.3">
      <c r="C8" s="11" t="s">
        <v>87</v>
      </c>
      <c r="D8" s="11" t="s">
        <v>531</v>
      </c>
      <c r="E8" s="11" t="s">
        <v>437</v>
      </c>
      <c r="F8" s="11">
        <v>214</v>
      </c>
    </row>
    <row r="9" spans="1:10" x14ac:dyDescent="0.3">
      <c r="C9" s="11" t="s">
        <v>87</v>
      </c>
      <c r="D9" s="11" t="s">
        <v>531</v>
      </c>
      <c r="E9" s="11" t="s">
        <v>532</v>
      </c>
      <c r="F9" s="11">
        <v>1</v>
      </c>
    </row>
    <row r="10" spans="1:10" x14ac:dyDescent="0.3">
      <c r="C10" s="11" t="s">
        <v>533</v>
      </c>
      <c r="D10" s="11" t="s">
        <v>531</v>
      </c>
      <c r="E10" s="11" t="s">
        <v>437</v>
      </c>
      <c r="F10" s="11">
        <v>7</v>
      </c>
    </row>
    <row r="11" spans="1:10" x14ac:dyDescent="0.3">
      <c r="C11" s="11" t="s">
        <v>89</v>
      </c>
      <c r="D11" s="11" t="s">
        <v>531</v>
      </c>
      <c r="E11" s="11" t="s">
        <v>532</v>
      </c>
      <c r="F11" s="11">
        <v>54</v>
      </c>
    </row>
    <row r="12" spans="1:10" x14ac:dyDescent="0.3">
      <c r="C12" s="11" t="s">
        <v>89</v>
      </c>
      <c r="D12" s="11" t="s">
        <v>531</v>
      </c>
      <c r="E12" s="11" t="s">
        <v>437</v>
      </c>
      <c r="F12" s="11">
        <v>210</v>
      </c>
    </row>
    <row r="13" spans="1:10" x14ac:dyDescent="0.3">
      <c r="C13" s="11" t="s">
        <v>89</v>
      </c>
      <c r="D13" s="11" t="s">
        <v>531</v>
      </c>
      <c r="E13" s="11" t="s">
        <v>532</v>
      </c>
      <c r="F13" s="11">
        <v>0</v>
      </c>
    </row>
    <row r="14" spans="1:10" x14ac:dyDescent="0.3">
      <c r="C14" s="11" t="s">
        <v>90</v>
      </c>
      <c r="D14" s="11" t="s">
        <v>531</v>
      </c>
      <c r="E14" s="11" t="s">
        <v>437</v>
      </c>
      <c r="F14" s="11">
        <v>4</v>
      </c>
    </row>
    <row r="15" spans="1:10" x14ac:dyDescent="0.3">
      <c r="C15" s="11" t="s">
        <v>90</v>
      </c>
      <c r="D15" s="11" t="s">
        <v>531</v>
      </c>
      <c r="E15" s="11" t="s">
        <v>532</v>
      </c>
      <c r="F15" s="11">
        <v>60</v>
      </c>
    </row>
    <row r="16" spans="1:10" x14ac:dyDescent="0.3">
      <c r="C16" s="11" t="s">
        <v>91</v>
      </c>
      <c r="D16" s="11" t="s">
        <v>531</v>
      </c>
      <c r="E16" s="11" t="s">
        <v>437</v>
      </c>
      <c r="F16" s="11">
        <v>180</v>
      </c>
    </row>
    <row r="17" spans="3:6" x14ac:dyDescent="0.3">
      <c r="C17" s="11" t="s">
        <v>91</v>
      </c>
      <c r="D17" s="11" t="s">
        <v>531</v>
      </c>
      <c r="E17" s="11" t="s">
        <v>532</v>
      </c>
      <c r="F17" s="11">
        <v>0</v>
      </c>
    </row>
    <row r="18" spans="3:6" x14ac:dyDescent="0.3">
      <c r="C18" s="11" t="s">
        <v>86</v>
      </c>
      <c r="D18" s="11" t="s">
        <v>534</v>
      </c>
      <c r="E18" s="11" t="s">
        <v>437</v>
      </c>
      <c r="F18" s="11">
        <v>8</v>
      </c>
    </row>
    <row r="19" spans="3:6" x14ac:dyDescent="0.3">
      <c r="C19" s="11" t="s">
        <v>86</v>
      </c>
      <c r="D19" s="11" t="s">
        <v>534</v>
      </c>
      <c r="E19" s="11" t="s">
        <v>532</v>
      </c>
      <c r="F19" s="11">
        <v>62</v>
      </c>
    </row>
    <row r="20" spans="3:6" x14ac:dyDescent="0.3">
      <c r="C20" s="11" t="s">
        <v>87</v>
      </c>
      <c r="D20" s="11" t="s">
        <v>534</v>
      </c>
      <c r="E20" s="11" t="s">
        <v>437</v>
      </c>
      <c r="F20" s="11">
        <v>180</v>
      </c>
    </row>
    <row r="21" spans="3:6" x14ac:dyDescent="0.3">
      <c r="C21" s="11" t="s">
        <v>87</v>
      </c>
      <c r="D21" s="11" t="s">
        <v>534</v>
      </c>
      <c r="E21" s="11" t="s">
        <v>532</v>
      </c>
      <c r="F21" s="11">
        <v>2</v>
      </c>
    </row>
    <row r="22" spans="3:6" x14ac:dyDescent="0.3">
      <c r="C22" s="11" t="s">
        <v>533</v>
      </c>
      <c r="D22" s="11" t="s">
        <v>534</v>
      </c>
      <c r="E22" s="11" t="s">
        <v>437</v>
      </c>
      <c r="F22" s="11">
        <v>9</v>
      </c>
    </row>
    <row r="23" spans="3:6" x14ac:dyDescent="0.3">
      <c r="C23" s="11" t="s">
        <v>533</v>
      </c>
      <c r="D23" s="11" t="s">
        <v>534</v>
      </c>
      <c r="E23" s="11" t="s">
        <v>532</v>
      </c>
      <c r="F23" s="11">
        <v>40</v>
      </c>
    </row>
    <row r="24" spans="3:6" x14ac:dyDescent="0.3">
      <c r="C24" s="11" t="s">
        <v>89</v>
      </c>
      <c r="D24" s="11" t="s">
        <v>534</v>
      </c>
      <c r="E24" s="11" t="s">
        <v>437</v>
      </c>
      <c r="F24" s="11">
        <v>200</v>
      </c>
    </row>
    <row r="25" spans="3:6" x14ac:dyDescent="0.3">
      <c r="C25" s="11" t="s">
        <v>89</v>
      </c>
      <c r="D25" s="11" t="s">
        <v>534</v>
      </c>
      <c r="E25" s="11" t="s">
        <v>532</v>
      </c>
      <c r="F25" s="11">
        <v>0</v>
      </c>
    </row>
    <row r="26" spans="3:6" x14ac:dyDescent="0.3">
      <c r="C26" s="11" t="s">
        <v>90</v>
      </c>
      <c r="D26" s="11" t="s">
        <v>534</v>
      </c>
      <c r="E26" s="11" t="s">
        <v>437</v>
      </c>
      <c r="F26" s="11">
        <v>2</v>
      </c>
    </row>
    <row r="27" spans="3:6" x14ac:dyDescent="0.3">
      <c r="C27" s="11" t="s">
        <v>90</v>
      </c>
      <c r="D27" s="11" t="s">
        <v>534</v>
      </c>
      <c r="E27" s="11" t="s">
        <v>532</v>
      </c>
      <c r="F27" s="11">
        <v>45</v>
      </c>
    </row>
    <row r="28" spans="3:6" x14ac:dyDescent="0.3">
      <c r="C28" s="11" t="s">
        <v>90</v>
      </c>
      <c r="D28" s="11" t="s">
        <v>534</v>
      </c>
      <c r="E28" s="11" t="s">
        <v>437</v>
      </c>
      <c r="F28" s="11">
        <v>22</v>
      </c>
    </row>
    <row r="29" spans="3:6" x14ac:dyDescent="0.3">
      <c r="C29" s="11" t="s">
        <v>89</v>
      </c>
      <c r="D29" s="11" t="s">
        <v>531</v>
      </c>
      <c r="E29" s="11" t="s">
        <v>437</v>
      </c>
      <c r="F29" s="11">
        <v>100</v>
      </c>
    </row>
    <row r="30" spans="3:6" x14ac:dyDescent="0.3">
      <c r="C30" s="11" t="s">
        <v>89</v>
      </c>
      <c r="D30" s="11" t="s">
        <v>531</v>
      </c>
      <c r="E30" s="11" t="s">
        <v>437</v>
      </c>
      <c r="F30" s="11">
        <v>85</v>
      </c>
    </row>
    <row r="31" spans="3:6" x14ac:dyDescent="0.3">
      <c r="C31" s="11" t="s">
        <v>90</v>
      </c>
      <c r="D31" s="11" t="s">
        <v>531</v>
      </c>
      <c r="E31" s="11" t="s">
        <v>437</v>
      </c>
      <c r="F31" s="11">
        <v>120</v>
      </c>
    </row>
    <row r="32" spans="3:6" x14ac:dyDescent="0.3">
      <c r="C32" s="11" t="s">
        <v>91</v>
      </c>
      <c r="D32" s="11" t="s">
        <v>534</v>
      </c>
      <c r="E32" s="11" t="s">
        <v>437</v>
      </c>
      <c r="F32" s="11">
        <v>175</v>
      </c>
    </row>
    <row r="33" spans="2:7" x14ac:dyDescent="0.3">
      <c r="C33" s="11" t="s">
        <v>91</v>
      </c>
      <c r="D33" s="11" t="s">
        <v>534</v>
      </c>
      <c r="E33" s="11" t="s">
        <v>532</v>
      </c>
      <c r="F33" s="11">
        <v>0</v>
      </c>
    </row>
    <row r="34" spans="2:7" ht="26.25" customHeight="1" x14ac:dyDescent="0.3"/>
    <row r="35" spans="2:7" x14ac:dyDescent="0.3">
      <c r="B35" s="37" t="s">
        <v>535</v>
      </c>
    </row>
    <row r="36" spans="2:7" x14ac:dyDescent="0.3">
      <c r="C36" s="32"/>
    </row>
    <row r="37" spans="2:7" x14ac:dyDescent="0.3">
      <c r="C37" s="11" t="s">
        <v>89</v>
      </c>
      <c r="E37" s="100"/>
    </row>
    <row r="38" spans="2:7" x14ac:dyDescent="0.3">
      <c r="C38" s="11" t="s">
        <v>87</v>
      </c>
      <c r="E38" s="100"/>
    </row>
    <row r="39" spans="2:7" x14ac:dyDescent="0.3">
      <c r="C39" s="11" t="s">
        <v>533</v>
      </c>
      <c r="E39" s="100"/>
    </row>
    <row r="40" spans="2:7" x14ac:dyDescent="0.3">
      <c r="C40" s="11" t="s">
        <v>86</v>
      </c>
      <c r="E40" s="100"/>
    </row>
    <row r="41" spans="2:7" x14ac:dyDescent="0.3">
      <c r="C41" s="11" t="s">
        <v>90</v>
      </c>
      <c r="E41" s="100"/>
    </row>
    <row r="42" spans="2:7" x14ac:dyDescent="0.3">
      <c r="C42" s="11" t="s">
        <v>91</v>
      </c>
      <c r="E42" s="100"/>
    </row>
    <row r="43" spans="2:7" x14ac:dyDescent="0.3">
      <c r="G43" s="83"/>
    </row>
    <row r="44" spans="2:7" x14ac:dyDescent="0.3">
      <c r="C44" s="21" t="s">
        <v>536</v>
      </c>
      <c r="E44" s="11"/>
      <c r="G44" s="83"/>
    </row>
    <row r="46" spans="2:7" x14ac:dyDescent="0.3">
      <c r="B46" s="37" t="s">
        <v>537</v>
      </c>
    </row>
    <row r="48" spans="2:7" x14ac:dyDescent="0.3">
      <c r="C48" s="11" t="s">
        <v>534</v>
      </c>
      <c r="E48" s="100"/>
    </row>
    <row r="49" spans="2:7" x14ac:dyDescent="0.3">
      <c r="C49" s="11" t="s">
        <v>531</v>
      </c>
      <c r="E49" s="100"/>
    </row>
    <row r="50" spans="2:7" x14ac:dyDescent="0.3">
      <c r="G50" s="83"/>
    </row>
    <row r="51" spans="2:7" x14ac:dyDescent="0.3">
      <c r="C51" s="21" t="s">
        <v>536</v>
      </c>
      <c r="E51" s="11"/>
      <c r="G51" s="83"/>
    </row>
    <row r="52" spans="2:7" x14ac:dyDescent="0.3">
      <c r="C52" s="32"/>
    </row>
    <row r="53" spans="2:7" x14ac:dyDescent="0.3">
      <c r="B53" s="37" t="s">
        <v>538</v>
      </c>
      <c r="C53" s="32"/>
    </row>
    <row r="54" spans="2:7" x14ac:dyDescent="0.3">
      <c r="C54" s="32"/>
    </row>
    <row r="55" spans="2:7" x14ac:dyDescent="0.3">
      <c r="C55" s="11" t="s">
        <v>437</v>
      </c>
      <c r="E55" s="100"/>
    </row>
    <row r="56" spans="2:7" x14ac:dyDescent="0.3">
      <c r="G56" s="83"/>
    </row>
    <row r="57" spans="2:7" x14ac:dyDescent="0.3">
      <c r="B57" s="37" t="s">
        <v>539</v>
      </c>
    </row>
    <row r="59" spans="2:7" x14ac:dyDescent="0.3">
      <c r="C59" s="11" t="s">
        <v>532</v>
      </c>
    </row>
    <row r="60" spans="2:7" x14ac:dyDescent="0.3">
      <c r="C60" s="11" t="s">
        <v>533</v>
      </c>
      <c r="E60" s="100"/>
    </row>
    <row r="62" spans="2:7" x14ac:dyDescent="0.3">
      <c r="B62" s="37" t="s">
        <v>540</v>
      </c>
      <c r="C62" s="37"/>
    </row>
    <row r="64" spans="2:7" x14ac:dyDescent="0.3">
      <c r="C64" s="11" t="s">
        <v>532</v>
      </c>
    </row>
    <row r="65" spans="2:5" x14ac:dyDescent="0.3">
      <c r="C65" s="11" t="s">
        <v>533</v>
      </c>
    </row>
    <row r="66" spans="2:5" x14ac:dyDescent="0.3">
      <c r="C66" s="11" t="s">
        <v>534</v>
      </c>
      <c r="E66" s="100"/>
    </row>
    <row r="68" spans="2:5" x14ac:dyDescent="0.3">
      <c r="B68" s="37" t="s">
        <v>541</v>
      </c>
      <c r="C68" s="37"/>
    </row>
    <row r="70" spans="2:5" x14ac:dyDescent="0.3">
      <c r="C70" s="11" t="s">
        <v>437</v>
      </c>
    </row>
    <row r="71" spans="2:5" x14ac:dyDescent="0.3">
      <c r="C71" s="11" t="s">
        <v>91</v>
      </c>
    </row>
    <row r="72" spans="2:5" x14ac:dyDescent="0.3">
      <c r="C72" s="11" t="s">
        <v>531</v>
      </c>
      <c r="E72" s="100"/>
    </row>
  </sheetData>
  <printOptions horizontalCentered="1"/>
  <pageMargins left="0.15748031496063" right="0.15748031496063" top="0.78740157480314998" bottom="0.78740157480314998" header="0.511811023622047" footer="0.511811023622047"/>
  <pageSetup paperSize="9" scale="54" orientation="landscape" r:id="rId1"/>
  <headerFooter alignWithMargins="0">
    <oddFooter xml:space="preserve">&amp;CClarity Consultancy Services Ltd   info@clarityconsultancyservices.co.uk
Registered in the UK (6619745). Registered Office:  Suite 6 Bourne Gate, Bourne Valley Rd, Poole, BH12 1DY
</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AC9ED-ABC6-4CAB-990B-96BAEDA9B6F8}">
  <sheetPr>
    <tabColor rgb="FF00B0F0"/>
    <pageSetUpPr fitToPage="1"/>
  </sheetPr>
  <dimension ref="A1:M72"/>
  <sheetViews>
    <sheetView showGridLines="0" zoomScaleNormal="100" workbookViewId="0">
      <pane ySplit="1" topLeftCell="A2" activePane="bottomLeft" state="frozen"/>
      <selection activeCell="A2" sqref="A2"/>
      <selection pane="bottomLeft"/>
    </sheetView>
  </sheetViews>
  <sheetFormatPr defaultColWidth="0" defaultRowHeight="16.8" x14ac:dyDescent="0.3"/>
  <cols>
    <col min="1" max="2" width="3.6640625" style="21" customWidth="1"/>
    <col min="3" max="3" width="15.77734375" style="21" customWidth="1"/>
    <col min="4" max="4" width="14.109375" style="21" customWidth="1"/>
    <col min="5" max="5" width="15.109375" style="21" customWidth="1"/>
    <col min="6" max="6" width="16.33203125" style="21" customWidth="1"/>
    <col min="7" max="9" width="14.109375" style="21" customWidth="1"/>
    <col min="10" max="10" width="79.77734375" style="21" customWidth="1"/>
    <col min="11" max="12" width="10" style="21" hidden="1" customWidth="1"/>
    <col min="13" max="13" width="10.44140625" style="21" hidden="1" customWidth="1"/>
    <col min="14" max="16384" width="8.77734375" style="21" hidden="1"/>
  </cols>
  <sheetData>
    <row r="1" spans="1:10" s="52" customFormat="1" ht="49.95" customHeight="1" x14ac:dyDescent="0.3">
      <c r="A1" s="49"/>
      <c r="B1" s="50" t="s">
        <v>946</v>
      </c>
      <c r="C1" s="49"/>
      <c r="D1" s="49"/>
      <c r="E1" s="49"/>
      <c r="F1" s="51"/>
      <c r="G1" s="51"/>
      <c r="H1" s="51"/>
      <c r="I1" s="51"/>
      <c r="J1" s="51"/>
    </row>
    <row r="3" spans="1:10" x14ac:dyDescent="0.3">
      <c r="C3" s="21" t="s">
        <v>558</v>
      </c>
    </row>
    <row r="5" spans="1:10" x14ac:dyDescent="0.3">
      <c r="C5" s="74" t="s">
        <v>84</v>
      </c>
      <c r="D5" s="74" t="s">
        <v>529</v>
      </c>
      <c r="E5" s="74" t="s">
        <v>530</v>
      </c>
      <c r="F5" s="74" t="s">
        <v>85</v>
      </c>
      <c r="J5" s="83"/>
    </row>
    <row r="6" spans="1:10" x14ac:dyDescent="0.3">
      <c r="C6" s="11" t="s">
        <v>86</v>
      </c>
      <c r="D6" s="11" t="s">
        <v>531</v>
      </c>
      <c r="E6" s="11" t="s">
        <v>437</v>
      </c>
      <c r="F6" s="11">
        <v>5</v>
      </c>
    </row>
    <row r="7" spans="1:10" x14ac:dyDescent="0.3">
      <c r="C7" s="11" t="s">
        <v>86</v>
      </c>
      <c r="D7" s="11" t="s">
        <v>531</v>
      </c>
      <c r="E7" s="11" t="s">
        <v>532</v>
      </c>
      <c r="F7" s="11">
        <v>56</v>
      </c>
    </row>
    <row r="8" spans="1:10" x14ac:dyDescent="0.3">
      <c r="C8" s="11" t="s">
        <v>87</v>
      </c>
      <c r="D8" s="11" t="s">
        <v>531</v>
      </c>
      <c r="E8" s="11" t="s">
        <v>437</v>
      </c>
      <c r="F8" s="11">
        <v>214</v>
      </c>
    </row>
    <row r="9" spans="1:10" x14ac:dyDescent="0.3">
      <c r="C9" s="11" t="s">
        <v>87</v>
      </c>
      <c r="D9" s="11" t="s">
        <v>531</v>
      </c>
      <c r="E9" s="11" t="s">
        <v>532</v>
      </c>
      <c r="F9" s="11">
        <v>1</v>
      </c>
    </row>
    <row r="10" spans="1:10" x14ac:dyDescent="0.3">
      <c r="C10" s="11" t="s">
        <v>533</v>
      </c>
      <c r="D10" s="11" t="s">
        <v>531</v>
      </c>
      <c r="E10" s="11" t="s">
        <v>437</v>
      </c>
      <c r="F10" s="11">
        <v>7</v>
      </c>
    </row>
    <row r="11" spans="1:10" x14ac:dyDescent="0.3">
      <c r="C11" s="11" t="s">
        <v>89</v>
      </c>
      <c r="D11" s="11" t="s">
        <v>531</v>
      </c>
      <c r="E11" s="11" t="s">
        <v>532</v>
      </c>
      <c r="F11" s="11">
        <v>54</v>
      </c>
    </row>
    <row r="12" spans="1:10" x14ac:dyDescent="0.3">
      <c r="C12" s="11" t="s">
        <v>89</v>
      </c>
      <c r="D12" s="11" t="s">
        <v>531</v>
      </c>
      <c r="E12" s="11" t="s">
        <v>437</v>
      </c>
      <c r="F12" s="11">
        <v>210</v>
      </c>
    </row>
    <row r="13" spans="1:10" x14ac:dyDescent="0.3">
      <c r="C13" s="11" t="s">
        <v>89</v>
      </c>
      <c r="D13" s="11" t="s">
        <v>531</v>
      </c>
      <c r="E13" s="11" t="s">
        <v>532</v>
      </c>
      <c r="F13" s="11">
        <v>0</v>
      </c>
    </row>
    <row r="14" spans="1:10" x14ac:dyDescent="0.3">
      <c r="C14" s="11" t="s">
        <v>90</v>
      </c>
      <c r="D14" s="11" t="s">
        <v>531</v>
      </c>
      <c r="E14" s="11" t="s">
        <v>437</v>
      </c>
      <c r="F14" s="11">
        <v>4</v>
      </c>
    </row>
    <row r="15" spans="1:10" x14ac:dyDescent="0.3">
      <c r="C15" s="11" t="s">
        <v>90</v>
      </c>
      <c r="D15" s="11" t="s">
        <v>531</v>
      </c>
      <c r="E15" s="11" t="s">
        <v>532</v>
      </c>
      <c r="F15" s="11">
        <v>60</v>
      </c>
    </row>
    <row r="16" spans="1:10" x14ac:dyDescent="0.3">
      <c r="C16" s="11" t="s">
        <v>91</v>
      </c>
      <c r="D16" s="11" t="s">
        <v>531</v>
      </c>
      <c r="E16" s="11" t="s">
        <v>437</v>
      </c>
      <c r="F16" s="11">
        <v>180</v>
      </c>
    </row>
    <row r="17" spans="3:6" x14ac:dyDescent="0.3">
      <c r="C17" s="11" t="s">
        <v>91</v>
      </c>
      <c r="D17" s="11" t="s">
        <v>531</v>
      </c>
      <c r="E17" s="11" t="s">
        <v>532</v>
      </c>
      <c r="F17" s="11">
        <v>0</v>
      </c>
    </row>
    <row r="18" spans="3:6" x14ac:dyDescent="0.3">
      <c r="C18" s="11" t="s">
        <v>86</v>
      </c>
      <c r="D18" s="11" t="s">
        <v>534</v>
      </c>
      <c r="E18" s="11" t="s">
        <v>437</v>
      </c>
      <c r="F18" s="11">
        <v>8</v>
      </c>
    </row>
    <row r="19" spans="3:6" x14ac:dyDescent="0.3">
      <c r="C19" s="11" t="s">
        <v>86</v>
      </c>
      <c r="D19" s="11" t="s">
        <v>534</v>
      </c>
      <c r="E19" s="11" t="s">
        <v>532</v>
      </c>
      <c r="F19" s="11">
        <v>62</v>
      </c>
    </row>
    <row r="20" spans="3:6" x14ac:dyDescent="0.3">
      <c r="C20" s="11" t="s">
        <v>87</v>
      </c>
      <c r="D20" s="11" t="s">
        <v>534</v>
      </c>
      <c r="E20" s="11" t="s">
        <v>437</v>
      </c>
      <c r="F20" s="11">
        <v>180</v>
      </c>
    </row>
    <row r="21" spans="3:6" x14ac:dyDescent="0.3">
      <c r="C21" s="11" t="s">
        <v>87</v>
      </c>
      <c r="D21" s="11" t="s">
        <v>534</v>
      </c>
      <c r="E21" s="11" t="s">
        <v>532</v>
      </c>
      <c r="F21" s="11">
        <v>2</v>
      </c>
    </row>
    <row r="22" spans="3:6" x14ac:dyDescent="0.3">
      <c r="C22" s="11" t="s">
        <v>533</v>
      </c>
      <c r="D22" s="11" t="s">
        <v>534</v>
      </c>
      <c r="E22" s="11" t="s">
        <v>437</v>
      </c>
      <c r="F22" s="11">
        <v>9</v>
      </c>
    </row>
    <row r="23" spans="3:6" x14ac:dyDescent="0.3">
      <c r="C23" s="11" t="s">
        <v>533</v>
      </c>
      <c r="D23" s="11" t="s">
        <v>534</v>
      </c>
      <c r="E23" s="11" t="s">
        <v>532</v>
      </c>
      <c r="F23" s="11">
        <v>40</v>
      </c>
    </row>
    <row r="24" spans="3:6" x14ac:dyDescent="0.3">
      <c r="C24" s="11" t="s">
        <v>89</v>
      </c>
      <c r="D24" s="11" t="s">
        <v>534</v>
      </c>
      <c r="E24" s="11" t="s">
        <v>437</v>
      </c>
      <c r="F24" s="11">
        <v>200</v>
      </c>
    </row>
    <row r="25" spans="3:6" x14ac:dyDescent="0.3">
      <c r="C25" s="11" t="s">
        <v>89</v>
      </c>
      <c r="D25" s="11" t="s">
        <v>534</v>
      </c>
      <c r="E25" s="11" t="s">
        <v>532</v>
      </c>
      <c r="F25" s="11">
        <v>0</v>
      </c>
    </row>
    <row r="26" spans="3:6" x14ac:dyDescent="0.3">
      <c r="C26" s="11" t="s">
        <v>90</v>
      </c>
      <c r="D26" s="11" t="s">
        <v>534</v>
      </c>
      <c r="E26" s="11" t="s">
        <v>437</v>
      </c>
      <c r="F26" s="11">
        <v>2</v>
      </c>
    </row>
    <row r="27" spans="3:6" x14ac:dyDescent="0.3">
      <c r="C27" s="11" t="s">
        <v>90</v>
      </c>
      <c r="D27" s="11" t="s">
        <v>534</v>
      </c>
      <c r="E27" s="11" t="s">
        <v>532</v>
      </c>
      <c r="F27" s="11">
        <v>45</v>
      </c>
    </row>
    <row r="28" spans="3:6" x14ac:dyDescent="0.3">
      <c r="C28" s="11" t="s">
        <v>90</v>
      </c>
      <c r="D28" s="11" t="s">
        <v>534</v>
      </c>
      <c r="E28" s="11" t="s">
        <v>437</v>
      </c>
      <c r="F28" s="11">
        <v>22</v>
      </c>
    </row>
    <row r="29" spans="3:6" x14ac:dyDescent="0.3">
      <c r="C29" s="11" t="s">
        <v>89</v>
      </c>
      <c r="D29" s="11" t="s">
        <v>531</v>
      </c>
      <c r="E29" s="11" t="s">
        <v>437</v>
      </c>
      <c r="F29" s="11">
        <v>100</v>
      </c>
    </row>
    <row r="30" spans="3:6" x14ac:dyDescent="0.3">
      <c r="C30" s="11" t="s">
        <v>89</v>
      </c>
      <c r="D30" s="11" t="s">
        <v>531</v>
      </c>
      <c r="E30" s="11" t="s">
        <v>437</v>
      </c>
      <c r="F30" s="11">
        <v>85</v>
      </c>
    </row>
    <row r="31" spans="3:6" x14ac:dyDescent="0.3">
      <c r="C31" s="11" t="s">
        <v>90</v>
      </c>
      <c r="D31" s="11" t="s">
        <v>531</v>
      </c>
      <c r="E31" s="11" t="s">
        <v>437</v>
      </c>
      <c r="F31" s="11">
        <v>120</v>
      </c>
    </row>
    <row r="32" spans="3:6" x14ac:dyDescent="0.3">
      <c r="C32" s="11" t="s">
        <v>91</v>
      </c>
      <c r="D32" s="11" t="s">
        <v>534</v>
      </c>
      <c r="E32" s="11" t="s">
        <v>437</v>
      </c>
      <c r="F32" s="11">
        <v>175</v>
      </c>
    </row>
    <row r="33" spans="2:7" x14ac:dyDescent="0.3">
      <c r="C33" s="11" t="s">
        <v>91</v>
      </c>
      <c r="D33" s="11" t="s">
        <v>534</v>
      </c>
      <c r="E33" s="11" t="s">
        <v>532</v>
      </c>
      <c r="F33" s="11">
        <v>0</v>
      </c>
    </row>
    <row r="34" spans="2:7" ht="26.25" customHeight="1" x14ac:dyDescent="0.3"/>
    <row r="35" spans="2:7" x14ac:dyDescent="0.3">
      <c r="B35" s="37" t="s">
        <v>535</v>
      </c>
    </row>
    <row r="36" spans="2:7" x14ac:dyDescent="0.3">
      <c r="C36" s="32"/>
    </row>
    <row r="37" spans="2:7" x14ac:dyDescent="0.3">
      <c r="C37" s="11" t="s">
        <v>89</v>
      </c>
      <c r="E37" s="100">
        <f t="shared" ref="E37:E42" si="0">SUMIFS($F$6:$F$33, $C$6:$C$33, C37)</f>
        <v>649</v>
      </c>
    </row>
    <row r="38" spans="2:7" x14ac:dyDescent="0.3">
      <c r="C38" s="11" t="s">
        <v>87</v>
      </c>
      <c r="E38" s="100">
        <f t="shared" si="0"/>
        <v>397</v>
      </c>
    </row>
    <row r="39" spans="2:7" x14ac:dyDescent="0.3">
      <c r="C39" s="11" t="s">
        <v>533</v>
      </c>
      <c r="E39" s="100">
        <f t="shared" si="0"/>
        <v>56</v>
      </c>
    </row>
    <row r="40" spans="2:7" x14ac:dyDescent="0.3">
      <c r="C40" s="11" t="s">
        <v>86</v>
      </c>
      <c r="E40" s="100">
        <f t="shared" si="0"/>
        <v>131</v>
      </c>
    </row>
    <row r="41" spans="2:7" x14ac:dyDescent="0.3">
      <c r="C41" s="11" t="s">
        <v>90</v>
      </c>
      <c r="E41" s="100">
        <f t="shared" si="0"/>
        <v>253</v>
      </c>
    </row>
    <row r="42" spans="2:7" x14ac:dyDescent="0.3">
      <c r="C42" s="11" t="s">
        <v>91</v>
      </c>
      <c r="E42" s="100">
        <f t="shared" si="0"/>
        <v>355</v>
      </c>
    </row>
    <row r="43" spans="2:7" x14ac:dyDescent="0.3">
      <c r="G43" s="83"/>
    </row>
    <row r="44" spans="2:7" x14ac:dyDescent="0.3">
      <c r="C44" s="21" t="s">
        <v>536</v>
      </c>
      <c r="E44" s="11" t="s">
        <v>89</v>
      </c>
      <c r="G44" s="83"/>
    </row>
    <row r="46" spans="2:7" x14ac:dyDescent="0.3">
      <c r="B46" s="37" t="s">
        <v>537</v>
      </c>
    </row>
    <row r="48" spans="2:7" x14ac:dyDescent="0.3">
      <c r="C48" s="11" t="s">
        <v>534</v>
      </c>
      <c r="E48" s="100">
        <f>SUMIFS($F$6:$F$33, $D$6:$D$33, C48)</f>
        <v>745</v>
      </c>
    </row>
    <row r="49" spans="2:7" x14ac:dyDescent="0.3">
      <c r="C49" s="11" t="s">
        <v>531</v>
      </c>
      <c r="E49" s="100">
        <f>SUMIFS($F$6:$F$33, $D$6:$D$33, C49)</f>
        <v>1096</v>
      </c>
    </row>
    <row r="50" spans="2:7" x14ac:dyDescent="0.3">
      <c r="C50" s="32"/>
    </row>
    <row r="51" spans="2:7" x14ac:dyDescent="0.3">
      <c r="C51" s="21" t="s">
        <v>536</v>
      </c>
      <c r="E51" s="11" t="s">
        <v>531</v>
      </c>
      <c r="G51" s="83"/>
    </row>
    <row r="52" spans="2:7" x14ac:dyDescent="0.3">
      <c r="C52" s="32"/>
    </row>
    <row r="53" spans="2:7" x14ac:dyDescent="0.3">
      <c r="B53" s="37" t="s">
        <v>538</v>
      </c>
      <c r="C53" s="32"/>
    </row>
    <row r="54" spans="2:7" x14ac:dyDescent="0.3">
      <c r="C54" s="32"/>
    </row>
    <row r="55" spans="2:7" x14ac:dyDescent="0.3">
      <c r="C55" s="11" t="s">
        <v>437</v>
      </c>
      <c r="E55" s="100">
        <f>SUMIFS($F$6:$F$33, $E$6:$E$33, C55)</f>
        <v>1521</v>
      </c>
    </row>
    <row r="56" spans="2:7" x14ac:dyDescent="0.3">
      <c r="C56" s="32"/>
    </row>
    <row r="57" spans="2:7" x14ac:dyDescent="0.3">
      <c r="B57" s="37" t="s">
        <v>539</v>
      </c>
    </row>
    <row r="59" spans="2:7" x14ac:dyDescent="0.3">
      <c r="C59" s="11" t="s">
        <v>532</v>
      </c>
    </row>
    <row r="60" spans="2:7" x14ac:dyDescent="0.3">
      <c r="C60" s="11" t="s">
        <v>533</v>
      </c>
      <c r="E60" s="100">
        <f>SUMIFS($F$6:$F$33, $E$6:$E$33, C59,$C$6:$C$33, C60)</f>
        <v>40</v>
      </c>
    </row>
    <row r="62" spans="2:7" x14ac:dyDescent="0.3">
      <c r="B62" s="37" t="s">
        <v>540</v>
      </c>
      <c r="C62" s="37"/>
    </row>
    <row r="64" spans="2:7" x14ac:dyDescent="0.3">
      <c r="C64" s="11" t="s">
        <v>532</v>
      </c>
    </row>
    <row r="65" spans="2:5" x14ac:dyDescent="0.3">
      <c r="C65" s="11" t="s">
        <v>533</v>
      </c>
    </row>
    <row r="66" spans="2:5" x14ac:dyDescent="0.3">
      <c r="C66" s="11" t="s">
        <v>534</v>
      </c>
      <c r="E66" s="100">
        <f>SUMIFS($F$6:$F$33, $E$6:$E$33, C64,$C$6:$C$33, C65, $D$6:$D$33, C66)</f>
        <v>40</v>
      </c>
    </row>
    <row r="68" spans="2:5" x14ac:dyDescent="0.3">
      <c r="B68" s="37" t="s">
        <v>541</v>
      </c>
      <c r="C68" s="37"/>
    </row>
    <row r="70" spans="2:5" x14ac:dyDescent="0.3">
      <c r="C70" s="11" t="s">
        <v>437</v>
      </c>
    </row>
    <row r="71" spans="2:5" x14ac:dyDescent="0.3">
      <c r="C71" s="11" t="s">
        <v>91</v>
      </c>
    </row>
    <row r="72" spans="2:5" x14ac:dyDescent="0.3">
      <c r="C72" s="11" t="s">
        <v>531</v>
      </c>
      <c r="E72" s="100">
        <f>SUMIFS($F$6:$F$33, $E$6:$E$33, C70,$C$6:$C$33, C71, $D$6:$D$33, C72)</f>
        <v>180</v>
      </c>
    </row>
  </sheetData>
  <printOptions horizontalCentered="1"/>
  <pageMargins left="0.15748031496063" right="0.15748031496063" top="0.78740157480314998" bottom="0.78740157480314998" header="0.511811023622047" footer="0.511811023622047"/>
  <pageSetup paperSize="9" scale="54" orientation="landscape" r:id="rId1"/>
  <headerFooter alignWithMargins="0">
    <oddFooter xml:space="preserve">&amp;CClarity Consultancy Services Ltd   info@clarityconsultancyservices.co.uk
Registered in the UK (6619745). Registered Office:  Suite 6 Bourne Gate, Bourne Valley Rd, Poole, BH12 1DY
</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2902B-B7D5-45FD-9CEF-5E9CDD90082E}">
  <sheetPr>
    <tabColor theme="3"/>
    <pageSetUpPr fitToPage="1"/>
  </sheetPr>
  <dimension ref="A1:N35"/>
  <sheetViews>
    <sheetView showGridLines="0" zoomScaleNormal="100" workbookViewId="0">
      <pane ySplit="1" topLeftCell="A2" activePane="bottomLeft" state="frozen"/>
      <selection activeCell="A2" sqref="A2"/>
      <selection pane="bottomLeft"/>
    </sheetView>
  </sheetViews>
  <sheetFormatPr defaultColWidth="0" defaultRowHeight="16.8" x14ac:dyDescent="0.3"/>
  <cols>
    <col min="1" max="1" width="3.6640625" style="21" customWidth="1"/>
    <col min="2" max="2" width="4.33203125" style="21" customWidth="1"/>
    <col min="3" max="3" width="5.109375" style="21" customWidth="1"/>
    <col min="4" max="5" width="16.44140625" style="21" customWidth="1"/>
    <col min="6" max="14" width="14.6640625" style="21" customWidth="1"/>
    <col min="15" max="16384" width="8.77734375" style="21" hidden="1"/>
  </cols>
  <sheetData>
    <row r="1" spans="1:14" s="52" customFormat="1" ht="49.95" customHeight="1" x14ac:dyDescent="0.3">
      <c r="A1" s="49"/>
      <c r="B1" s="50" t="s">
        <v>947</v>
      </c>
      <c r="C1" s="49"/>
      <c r="D1" s="49"/>
      <c r="E1" s="49"/>
      <c r="F1" s="51"/>
      <c r="G1" s="51"/>
      <c r="H1" s="51"/>
      <c r="I1" s="51"/>
      <c r="J1" s="51"/>
      <c r="K1" s="51"/>
      <c r="L1" s="51"/>
      <c r="M1" s="51"/>
      <c r="N1" s="51"/>
    </row>
    <row r="3" spans="1:14" x14ac:dyDescent="0.3">
      <c r="E3" s="110" t="s">
        <v>543</v>
      </c>
      <c r="F3" s="110" t="s">
        <v>543</v>
      </c>
      <c r="G3" s="110" t="s">
        <v>543</v>
      </c>
      <c r="H3" s="110" t="s">
        <v>543</v>
      </c>
      <c r="I3" s="110" t="s">
        <v>543</v>
      </c>
      <c r="J3" s="110" t="s">
        <v>544</v>
      </c>
      <c r="K3" s="110" t="s">
        <v>544</v>
      </c>
    </row>
    <row r="4" spans="1:14" x14ac:dyDescent="0.3">
      <c r="D4" s="37" t="s">
        <v>545</v>
      </c>
      <c r="E4" s="37" t="s">
        <v>164</v>
      </c>
      <c r="F4" s="37" t="s">
        <v>165</v>
      </c>
      <c r="G4" s="37" t="s">
        <v>166</v>
      </c>
      <c r="H4" s="37" t="s">
        <v>167</v>
      </c>
      <c r="I4" s="37" t="s">
        <v>168</v>
      </c>
      <c r="J4" s="37" t="s">
        <v>169</v>
      </c>
      <c r="K4" s="37" t="s">
        <v>170</v>
      </c>
      <c r="M4" s="37" t="s">
        <v>546</v>
      </c>
    </row>
    <row r="5" spans="1:14" x14ac:dyDescent="0.3">
      <c r="D5" s="37" t="s">
        <v>547</v>
      </c>
      <c r="E5" s="71">
        <v>444</v>
      </c>
      <c r="F5" s="111">
        <v>1685</v>
      </c>
      <c r="G5" s="111">
        <v>1707</v>
      </c>
      <c r="H5" s="111">
        <v>404</v>
      </c>
      <c r="I5" s="111">
        <v>742</v>
      </c>
      <c r="J5" s="111">
        <v>1455</v>
      </c>
      <c r="K5" s="111">
        <v>1943</v>
      </c>
      <c r="M5" s="106">
        <v>9.5</v>
      </c>
      <c r="N5" s="112"/>
    </row>
    <row r="6" spans="1:14" x14ac:dyDescent="0.3">
      <c r="D6" s="37" t="s">
        <v>548</v>
      </c>
      <c r="E6" s="71">
        <v>674</v>
      </c>
      <c r="F6" s="111">
        <v>1931</v>
      </c>
      <c r="G6" s="111">
        <v>209</v>
      </c>
      <c r="H6" s="111">
        <v>1793</v>
      </c>
      <c r="I6" s="111">
        <v>1423</v>
      </c>
      <c r="J6" s="111">
        <v>912</v>
      </c>
      <c r="K6" s="111">
        <v>1100</v>
      </c>
      <c r="M6" s="106">
        <v>7.5</v>
      </c>
      <c r="N6" s="112"/>
    </row>
    <row r="7" spans="1:14" x14ac:dyDescent="0.3">
      <c r="D7" s="37" t="s">
        <v>549</v>
      </c>
      <c r="E7" s="71">
        <v>269</v>
      </c>
      <c r="F7" s="111">
        <v>1641</v>
      </c>
      <c r="G7" s="111">
        <v>364</v>
      </c>
      <c r="H7" s="111">
        <v>211</v>
      </c>
      <c r="I7" s="111">
        <v>557</v>
      </c>
      <c r="J7" s="111">
        <v>1672</v>
      </c>
      <c r="K7" s="111">
        <v>621</v>
      </c>
      <c r="M7" s="106">
        <v>8</v>
      </c>
      <c r="N7" s="112"/>
    </row>
    <row r="8" spans="1:14" x14ac:dyDescent="0.3">
      <c r="D8" s="37" t="s">
        <v>550</v>
      </c>
      <c r="E8" s="71">
        <v>1812</v>
      </c>
      <c r="F8" s="111">
        <v>340</v>
      </c>
      <c r="G8" s="111">
        <v>638</v>
      </c>
      <c r="H8" s="111">
        <v>1296</v>
      </c>
      <c r="I8" s="111">
        <v>115</v>
      </c>
      <c r="J8" s="111">
        <v>1445</v>
      </c>
      <c r="K8" s="111">
        <v>1993</v>
      </c>
      <c r="M8" s="106">
        <v>6</v>
      </c>
      <c r="N8" s="112"/>
    </row>
    <row r="9" spans="1:14" x14ac:dyDescent="0.3">
      <c r="D9" s="37" t="s">
        <v>551</v>
      </c>
      <c r="E9" s="71">
        <v>889</v>
      </c>
      <c r="F9" s="111">
        <v>1109</v>
      </c>
      <c r="G9" s="111">
        <v>380</v>
      </c>
      <c r="H9" s="111">
        <v>1563</v>
      </c>
      <c r="I9" s="111">
        <v>1467</v>
      </c>
      <c r="J9" s="111">
        <v>805</v>
      </c>
      <c r="K9" s="111">
        <v>795</v>
      </c>
      <c r="M9" s="106">
        <v>7</v>
      </c>
      <c r="N9" s="112"/>
    </row>
    <row r="10" spans="1:14" x14ac:dyDescent="0.3">
      <c r="D10" s="37" t="s">
        <v>552</v>
      </c>
      <c r="E10" s="71">
        <v>253</v>
      </c>
      <c r="F10" s="111">
        <v>1495</v>
      </c>
      <c r="G10" s="111">
        <v>1852</v>
      </c>
      <c r="H10" s="111">
        <v>1439</v>
      </c>
      <c r="I10" s="111">
        <v>117</v>
      </c>
      <c r="J10" s="111">
        <v>154</v>
      </c>
      <c r="K10" s="111">
        <v>867</v>
      </c>
      <c r="M10" s="106">
        <v>7.75</v>
      </c>
      <c r="N10" s="112"/>
    </row>
    <row r="11" spans="1:14" x14ac:dyDescent="0.3">
      <c r="D11" s="37" t="s">
        <v>553</v>
      </c>
      <c r="E11" s="71">
        <v>1070</v>
      </c>
      <c r="F11" s="111">
        <v>517</v>
      </c>
      <c r="G11" s="111">
        <v>407</v>
      </c>
      <c r="H11" s="111">
        <v>1034</v>
      </c>
      <c r="I11" s="111">
        <v>1469</v>
      </c>
      <c r="J11" s="111">
        <v>888</v>
      </c>
      <c r="K11" s="111">
        <v>308</v>
      </c>
      <c r="M11" s="106">
        <v>8.5</v>
      </c>
      <c r="N11" s="112"/>
    </row>
    <row r="12" spans="1:14" x14ac:dyDescent="0.3">
      <c r="D12" s="37" t="s">
        <v>554</v>
      </c>
      <c r="E12" s="71">
        <v>924</v>
      </c>
      <c r="F12" s="111">
        <v>1916</v>
      </c>
      <c r="G12" s="111">
        <v>739</v>
      </c>
      <c r="H12" s="111">
        <v>1772</v>
      </c>
      <c r="I12" s="111">
        <v>745</v>
      </c>
      <c r="J12" s="111">
        <v>1436</v>
      </c>
      <c r="K12" s="111">
        <v>221</v>
      </c>
      <c r="M12" s="106">
        <v>10</v>
      </c>
      <c r="N12" s="112"/>
    </row>
    <row r="13" spans="1:14" x14ac:dyDescent="0.3">
      <c r="D13" s="37" t="s">
        <v>555</v>
      </c>
      <c r="E13" s="71">
        <v>1778</v>
      </c>
      <c r="F13" s="111">
        <v>1121</v>
      </c>
      <c r="G13" s="111">
        <v>1733</v>
      </c>
      <c r="H13" s="111">
        <v>641</v>
      </c>
      <c r="I13" s="111">
        <v>1354</v>
      </c>
      <c r="J13" s="111">
        <v>1425</v>
      </c>
      <c r="K13" s="111">
        <v>466</v>
      </c>
      <c r="M13" s="106">
        <v>6</v>
      </c>
      <c r="N13" s="112"/>
    </row>
    <row r="14" spans="1:14" x14ac:dyDescent="0.3">
      <c r="D14" s="37" t="s">
        <v>556</v>
      </c>
      <c r="E14" s="71">
        <v>1736</v>
      </c>
      <c r="F14" s="71">
        <v>1239</v>
      </c>
      <c r="G14" s="71">
        <v>175</v>
      </c>
      <c r="H14" s="71">
        <v>1101</v>
      </c>
      <c r="I14" s="71">
        <v>421</v>
      </c>
      <c r="J14" s="71">
        <v>1926</v>
      </c>
      <c r="K14" s="71">
        <v>1590</v>
      </c>
      <c r="M14" s="106">
        <v>8</v>
      </c>
      <c r="N14" s="112"/>
    </row>
    <row r="18" spans="4:5" x14ac:dyDescent="0.3">
      <c r="D18" s="21" t="s">
        <v>1167</v>
      </c>
    </row>
    <row r="19" spans="4:5" x14ac:dyDescent="0.3">
      <c r="D19" s="21" t="s">
        <v>547</v>
      </c>
      <c r="E19" s="104"/>
    </row>
    <row r="20" spans="4:5" x14ac:dyDescent="0.3">
      <c r="D20" s="21" t="s">
        <v>548</v>
      </c>
      <c r="E20" s="104"/>
    </row>
    <row r="21" spans="4:5" x14ac:dyDescent="0.3">
      <c r="D21" s="21" t="s">
        <v>549</v>
      </c>
      <c r="E21" s="104"/>
    </row>
    <row r="22" spans="4:5" x14ac:dyDescent="0.3">
      <c r="D22" s="21" t="s">
        <v>550</v>
      </c>
      <c r="E22" s="104"/>
    </row>
    <row r="23" spans="4:5" x14ac:dyDescent="0.3">
      <c r="D23" s="21" t="s">
        <v>551</v>
      </c>
      <c r="E23" s="104"/>
    </row>
    <row r="24" spans="4:5" x14ac:dyDescent="0.3">
      <c r="D24" s="21" t="s">
        <v>552</v>
      </c>
      <c r="E24" s="104"/>
    </row>
    <row r="25" spans="4:5" x14ac:dyDescent="0.3">
      <c r="D25" s="21" t="s">
        <v>553</v>
      </c>
      <c r="E25" s="104"/>
    </row>
    <row r="26" spans="4:5" x14ac:dyDescent="0.3">
      <c r="D26" s="21" t="s">
        <v>554</v>
      </c>
      <c r="E26" s="104"/>
    </row>
    <row r="27" spans="4:5" x14ac:dyDescent="0.3">
      <c r="D27" s="21" t="s">
        <v>555</v>
      </c>
      <c r="E27" s="104"/>
    </row>
    <row r="28" spans="4:5" x14ac:dyDescent="0.3">
      <c r="D28" s="21" t="s">
        <v>556</v>
      </c>
      <c r="E28" s="104"/>
    </row>
    <row r="29" spans="4:5" x14ac:dyDescent="0.3">
      <c r="D29" s="21" t="s">
        <v>557</v>
      </c>
      <c r="E29" s="113"/>
    </row>
    <row r="32" spans="4:5" x14ac:dyDescent="0.3">
      <c r="D32" s="21" t="s">
        <v>1168</v>
      </c>
    </row>
    <row r="33" spans="4:5" x14ac:dyDescent="0.3">
      <c r="D33" s="21" t="s">
        <v>543</v>
      </c>
      <c r="E33" s="104"/>
    </row>
    <row r="34" spans="4:5" x14ac:dyDescent="0.3">
      <c r="D34" s="21" t="s">
        <v>544</v>
      </c>
      <c r="E34" s="104"/>
    </row>
    <row r="35" spans="4:5" x14ac:dyDescent="0.3">
      <c r="D35" s="21" t="s">
        <v>557</v>
      </c>
      <c r="E35" s="113">
        <f>SUM(E33:E34)</f>
        <v>0</v>
      </c>
    </row>
  </sheetData>
  <printOptions horizontalCentered="1"/>
  <pageMargins left="0.15748031496063" right="0.15748031496063" top="0.78740157480314998" bottom="0.78740157480314998" header="0.511811023622047" footer="0.511811023622047"/>
  <pageSetup paperSize="9" scale="68" orientation="landscape" r:id="rId1"/>
  <headerFooter alignWithMargins="0">
    <oddFooter xml:space="preserve">&amp;CClarity Consultancy Services Ltd   info@clarityconsultancyservices.co.uk
Registered in the UK (6619745). Registered Office:  Suite 6 Bourne Gate, Bourne Valley Rd, Poole, BH12 1DY
</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5C491-3B2D-41BF-8F01-7414CC51CF08}">
  <sheetPr>
    <tabColor rgb="FF00B0F0"/>
    <pageSetUpPr fitToPage="1"/>
  </sheetPr>
  <dimension ref="A1:N35"/>
  <sheetViews>
    <sheetView showGridLines="0" zoomScaleNormal="100" workbookViewId="0">
      <pane ySplit="1" topLeftCell="A2" activePane="bottomLeft" state="frozen"/>
      <selection activeCell="A2" sqref="A2"/>
      <selection pane="bottomLeft"/>
    </sheetView>
  </sheetViews>
  <sheetFormatPr defaultColWidth="0" defaultRowHeight="16.8" x14ac:dyDescent="0.3"/>
  <cols>
    <col min="1" max="1" width="3.6640625" style="21" customWidth="1"/>
    <col min="2" max="3" width="4.44140625" style="21" customWidth="1"/>
    <col min="4" max="5" width="16.44140625" style="21" customWidth="1"/>
    <col min="6" max="14" width="14.6640625" style="21" customWidth="1"/>
    <col min="15" max="16384" width="8.77734375" style="21" hidden="1"/>
  </cols>
  <sheetData>
    <row r="1" spans="1:14" s="52" customFormat="1" ht="49.95" customHeight="1" x14ac:dyDescent="0.3">
      <c r="A1" s="49"/>
      <c r="B1" s="50" t="s">
        <v>947</v>
      </c>
      <c r="C1" s="49"/>
      <c r="D1" s="49"/>
      <c r="E1" s="49"/>
      <c r="F1" s="51"/>
      <c r="G1" s="51"/>
      <c r="H1" s="51"/>
      <c r="I1" s="51"/>
      <c r="J1" s="51"/>
      <c r="K1" s="51"/>
      <c r="L1" s="51"/>
      <c r="M1" s="51"/>
      <c r="N1" s="51"/>
    </row>
    <row r="3" spans="1:14" x14ac:dyDescent="0.3">
      <c r="E3" s="110" t="s">
        <v>543</v>
      </c>
      <c r="F3" s="110" t="s">
        <v>543</v>
      </c>
      <c r="G3" s="110" t="s">
        <v>543</v>
      </c>
      <c r="H3" s="110" t="s">
        <v>543</v>
      </c>
      <c r="I3" s="110" t="s">
        <v>543</v>
      </c>
      <c r="J3" s="110" t="s">
        <v>544</v>
      </c>
      <c r="K3" s="110" t="s">
        <v>544</v>
      </c>
    </row>
    <row r="4" spans="1:14" x14ac:dyDescent="0.3">
      <c r="D4" s="37" t="s">
        <v>545</v>
      </c>
      <c r="E4" s="37" t="s">
        <v>164</v>
      </c>
      <c r="F4" s="37" t="s">
        <v>165</v>
      </c>
      <c r="G4" s="37" t="s">
        <v>166</v>
      </c>
      <c r="H4" s="37" t="s">
        <v>167</v>
      </c>
      <c r="I4" s="37" t="s">
        <v>168</v>
      </c>
      <c r="J4" s="37" t="s">
        <v>169</v>
      </c>
      <c r="K4" s="37" t="s">
        <v>170</v>
      </c>
      <c r="M4" s="37" t="s">
        <v>546</v>
      </c>
    </row>
    <row r="5" spans="1:14" x14ac:dyDescent="0.3">
      <c r="D5" s="37" t="s">
        <v>547</v>
      </c>
      <c r="E5" s="71">
        <v>444</v>
      </c>
      <c r="F5" s="111">
        <v>1685</v>
      </c>
      <c r="G5" s="111">
        <v>1707</v>
      </c>
      <c r="H5" s="111">
        <v>404</v>
      </c>
      <c r="I5" s="111">
        <v>742</v>
      </c>
      <c r="J5" s="111">
        <v>1455</v>
      </c>
      <c r="K5" s="111">
        <v>1943</v>
      </c>
      <c r="M5" s="106">
        <v>9.5</v>
      </c>
      <c r="N5" s="112"/>
    </row>
    <row r="6" spans="1:14" x14ac:dyDescent="0.3">
      <c r="D6" s="37" t="s">
        <v>548</v>
      </c>
      <c r="E6" s="71">
        <v>674</v>
      </c>
      <c r="F6" s="111">
        <v>1931</v>
      </c>
      <c r="G6" s="111">
        <v>209</v>
      </c>
      <c r="H6" s="111">
        <v>1793</v>
      </c>
      <c r="I6" s="111">
        <v>1423</v>
      </c>
      <c r="J6" s="111">
        <v>912</v>
      </c>
      <c r="K6" s="111">
        <v>1100</v>
      </c>
      <c r="M6" s="106">
        <v>7.5</v>
      </c>
      <c r="N6" s="112"/>
    </row>
    <row r="7" spans="1:14" x14ac:dyDescent="0.3">
      <c r="D7" s="37" t="s">
        <v>549</v>
      </c>
      <c r="E7" s="71">
        <v>269</v>
      </c>
      <c r="F7" s="111">
        <v>1641</v>
      </c>
      <c r="G7" s="111">
        <v>364</v>
      </c>
      <c r="H7" s="111">
        <v>211</v>
      </c>
      <c r="I7" s="111">
        <v>557</v>
      </c>
      <c r="J7" s="111">
        <v>1672</v>
      </c>
      <c r="K7" s="111">
        <v>621</v>
      </c>
      <c r="M7" s="106">
        <v>8</v>
      </c>
      <c r="N7" s="112"/>
    </row>
    <row r="8" spans="1:14" x14ac:dyDescent="0.3">
      <c r="D8" s="37" t="s">
        <v>550</v>
      </c>
      <c r="E8" s="71">
        <v>1812</v>
      </c>
      <c r="F8" s="111">
        <v>340</v>
      </c>
      <c r="G8" s="111">
        <v>638</v>
      </c>
      <c r="H8" s="111">
        <v>1296</v>
      </c>
      <c r="I8" s="111">
        <v>115</v>
      </c>
      <c r="J8" s="111">
        <v>1445</v>
      </c>
      <c r="K8" s="111">
        <v>1993</v>
      </c>
      <c r="M8" s="106">
        <v>6</v>
      </c>
      <c r="N8" s="112"/>
    </row>
    <row r="9" spans="1:14" x14ac:dyDescent="0.3">
      <c r="D9" s="37" t="s">
        <v>551</v>
      </c>
      <c r="E9" s="71">
        <v>889</v>
      </c>
      <c r="F9" s="111">
        <v>1109</v>
      </c>
      <c r="G9" s="111">
        <v>380</v>
      </c>
      <c r="H9" s="111">
        <v>1563</v>
      </c>
      <c r="I9" s="111">
        <v>1467</v>
      </c>
      <c r="J9" s="111">
        <v>805</v>
      </c>
      <c r="K9" s="111">
        <v>795</v>
      </c>
      <c r="M9" s="106">
        <v>7</v>
      </c>
      <c r="N9" s="112"/>
    </row>
    <row r="10" spans="1:14" x14ac:dyDescent="0.3">
      <c r="D10" s="37" t="s">
        <v>552</v>
      </c>
      <c r="E10" s="71">
        <v>253</v>
      </c>
      <c r="F10" s="111">
        <v>1495</v>
      </c>
      <c r="G10" s="111">
        <v>1852</v>
      </c>
      <c r="H10" s="111">
        <v>1439</v>
      </c>
      <c r="I10" s="111">
        <v>117</v>
      </c>
      <c r="J10" s="111">
        <v>154</v>
      </c>
      <c r="K10" s="111">
        <v>867</v>
      </c>
      <c r="M10" s="106">
        <v>7.75</v>
      </c>
      <c r="N10" s="112"/>
    </row>
    <row r="11" spans="1:14" x14ac:dyDescent="0.3">
      <c r="D11" s="37" t="s">
        <v>553</v>
      </c>
      <c r="E11" s="71">
        <v>1070</v>
      </c>
      <c r="F11" s="111">
        <v>517</v>
      </c>
      <c r="G11" s="111">
        <v>407</v>
      </c>
      <c r="H11" s="111">
        <v>1034</v>
      </c>
      <c r="I11" s="111">
        <v>1469</v>
      </c>
      <c r="J11" s="111">
        <v>888</v>
      </c>
      <c r="K11" s="111">
        <v>308</v>
      </c>
      <c r="M11" s="106">
        <v>8.5</v>
      </c>
      <c r="N11" s="112"/>
    </row>
    <row r="12" spans="1:14" x14ac:dyDescent="0.3">
      <c r="D12" s="37" t="s">
        <v>554</v>
      </c>
      <c r="E12" s="71">
        <v>924</v>
      </c>
      <c r="F12" s="111">
        <v>1916</v>
      </c>
      <c r="G12" s="111">
        <v>739</v>
      </c>
      <c r="H12" s="111">
        <v>1772</v>
      </c>
      <c r="I12" s="111">
        <v>745</v>
      </c>
      <c r="J12" s="111">
        <v>1436</v>
      </c>
      <c r="K12" s="111">
        <v>221</v>
      </c>
      <c r="M12" s="106">
        <v>10</v>
      </c>
      <c r="N12" s="112"/>
    </row>
    <row r="13" spans="1:14" x14ac:dyDescent="0.3">
      <c r="D13" s="37" t="s">
        <v>555</v>
      </c>
      <c r="E13" s="71">
        <v>1778</v>
      </c>
      <c r="F13" s="111">
        <v>1121</v>
      </c>
      <c r="G13" s="111">
        <v>1733</v>
      </c>
      <c r="H13" s="111">
        <v>641</v>
      </c>
      <c r="I13" s="111">
        <v>1354</v>
      </c>
      <c r="J13" s="111">
        <v>1425</v>
      </c>
      <c r="K13" s="111">
        <v>466</v>
      </c>
      <c r="M13" s="106">
        <v>6</v>
      </c>
      <c r="N13" s="112"/>
    </row>
    <row r="14" spans="1:14" x14ac:dyDescent="0.3">
      <c r="D14" s="37" t="s">
        <v>556</v>
      </c>
      <c r="E14" s="71">
        <v>1736</v>
      </c>
      <c r="F14" s="71">
        <v>1239</v>
      </c>
      <c r="G14" s="71">
        <v>175</v>
      </c>
      <c r="H14" s="71">
        <v>1101</v>
      </c>
      <c r="I14" s="71">
        <v>421</v>
      </c>
      <c r="J14" s="71">
        <v>1926</v>
      </c>
      <c r="K14" s="71">
        <v>1590</v>
      </c>
      <c r="M14" s="106">
        <v>8</v>
      </c>
      <c r="N14" s="112"/>
    </row>
    <row r="18" spans="4:8" x14ac:dyDescent="0.3">
      <c r="D18" s="21" t="s">
        <v>1167</v>
      </c>
    </row>
    <row r="19" spans="4:8" x14ac:dyDescent="0.3">
      <c r="D19" s="21" t="s">
        <v>547</v>
      </c>
      <c r="E19" s="104" cm="1">
        <f t="array" ref="E19">SUMPRODUCT(($D$5:$D$14 = $D19) * ($E$5:$K$14) * ($M$5:$M$14))</f>
        <v>79610</v>
      </c>
      <c r="H19" s="104" cm="1">
        <f t="array" ref="H19">SUM(($D$5:$D$14 = $D19) * ($E$5:$K$14) * ($M$5:$M$14))</f>
        <v>79610</v>
      </c>
    </row>
    <row r="20" spans="4:8" x14ac:dyDescent="0.3">
      <c r="D20" s="21" t="s">
        <v>548</v>
      </c>
      <c r="E20" s="104" cm="1">
        <f t="array" ref="E20">SUMPRODUCT(($D$5:$D$14 = $D20) * ($E$5:$K$14) * ($M$5:$M$14))</f>
        <v>60315</v>
      </c>
      <c r="H20" s="104" cm="1">
        <f t="array" ref="H20">SUM(($D$5:$D$14 = $D20) * ($E$5:$K$14) * ($M$5:$M$14))</f>
        <v>60315</v>
      </c>
    </row>
    <row r="21" spans="4:8" x14ac:dyDescent="0.3">
      <c r="D21" s="21" t="s">
        <v>549</v>
      </c>
      <c r="E21" s="104" cm="1">
        <f t="array" ref="E21">SUMPRODUCT(($D$5:$D$14 = $D21) * ($E$5:$K$14) * ($M$5:$M$14))</f>
        <v>42680</v>
      </c>
      <c r="H21" s="104" cm="1">
        <f t="array" ref="H21">SUM(($D$5:$D$14 = $D21) * ($E$5:$K$14) * ($M$5:$M$14))</f>
        <v>42680</v>
      </c>
    </row>
    <row r="22" spans="4:8" x14ac:dyDescent="0.3">
      <c r="D22" s="21" t="s">
        <v>550</v>
      </c>
      <c r="E22" s="104" cm="1">
        <f t="array" ref="E22">SUMPRODUCT(($D$5:$D$14 = $D22) * ($E$5:$K$14) * ($M$5:$M$14))</f>
        <v>45834</v>
      </c>
      <c r="H22" s="104" cm="1">
        <f t="array" ref="H22">SUM(($D$5:$D$14 = $D22) * ($E$5:$K$14) * ($M$5:$M$14))</f>
        <v>45834</v>
      </c>
    </row>
    <row r="23" spans="4:8" x14ac:dyDescent="0.3">
      <c r="D23" s="21" t="s">
        <v>551</v>
      </c>
      <c r="E23" s="104" cm="1">
        <f t="array" ref="E23">SUMPRODUCT(($D$5:$D$14 = $D23) * ($E$5:$K$14) * ($M$5:$M$14))</f>
        <v>49056</v>
      </c>
      <c r="G23" s="21" t="s">
        <v>1169</v>
      </c>
      <c r="H23" s="104" cm="1">
        <f t="array" ref="H23">SUM(($D$5:$D$14 = $D23) * ($E$5:$K$14) * ($M$5:$M$14))</f>
        <v>49056</v>
      </c>
    </row>
    <row r="24" spans="4:8" x14ac:dyDescent="0.3">
      <c r="D24" s="21" t="s">
        <v>552</v>
      </c>
      <c r="E24" s="104" cm="1">
        <f t="array" ref="E24">SUMPRODUCT(($D$5:$D$14 = $D24) * ($E$5:$K$14) * ($M$5:$M$14))</f>
        <v>47871.75</v>
      </c>
      <c r="H24" s="104" cm="1">
        <f t="array" ref="H24">SUM(($D$5:$D$14 = $D24) * ($E$5:$K$14) * ($M$5:$M$14))</f>
        <v>47871.75</v>
      </c>
    </row>
    <row r="25" spans="4:8" x14ac:dyDescent="0.3">
      <c r="D25" s="21" t="s">
        <v>553</v>
      </c>
      <c r="E25" s="104" cm="1">
        <f t="array" ref="E25">SUMPRODUCT(($D$5:$D$14 = $D25) * ($E$5:$K$14) * ($M$5:$M$14))</f>
        <v>48390.5</v>
      </c>
      <c r="H25" s="104" cm="1">
        <f t="array" ref="H25">SUM(($D$5:$D$14 = $D25) * ($E$5:$K$14) * ($M$5:$M$14))</f>
        <v>48390.5</v>
      </c>
    </row>
    <row r="26" spans="4:8" x14ac:dyDescent="0.3">
      <c r="D26" s="21" t="s">
        <v>554</v>
      </c>
      <c r="E26" s="104" cm="1">
        <f t="array" ref="E26">SUMPRODUCT(($D$5:$D$14 = $D26) * ($E$5:$K$14) * ($M$5:$M$14))</f>
        <v>77530</v>
      </c>
      <c r="H26" s="104" cm="1">
        <f t="array" ref="H26">SUM(($D$5:$D$14 = $D26) * ($E$5:$K$14) * ($M$5:$M$14))</f>
        <v>77530</v>
      </c>
    </row>
    <row r="27" spans="4:8" x14ac:dyDescent="0.3">
      <c r="D27" s="21" t="s">
        <v>555</v>
      </c>
      <c r="E27" s="104" cm="1">
        <f t="array" ref="E27">SUMPRODUCT(($D$5:$D$14 = $D27) * ($E$5:$K$14) * ($M$5:$M$14))</f>
        <v>51108</v>
      </c>
      <c r="H27" s="104" cm="1">
        <f t="array" ref="H27">SUM(($D$5:$D$14 = $D27) * ($E$5:$K$14) * ($M$5:$M$14))</f>
        <v>51108</v>
      </c>
    </row>
    <row r="28" spans="4:8" x14ac:dyDescent="0.3">
      <c r="D28" s="21" t="s">
        <v>556</v>
      </c>
      <c r="E28" s="104" cm="1">
        <f t="array" ref="E28">SUMPRODUCT(($D$5:$D$14 = $D28) * ($E$5:$K$14) * ($M$5:$M$14))</f>
        <v>65504</v>
      </c>
      <c r="H28" s="104" cm="1">
        <f t="array" ref="H28">SUM(($D$5:$D$14 = $D28) * ($E$5:$K$14) * ($M$5:$M$14))</f>
        <v>65504</v>
      </c>
    </row>
    <row r="29" spans="4:8" x14ac:dyDescent="0.3">
      <c r="D29" s="21" t="s">
        <v>557</v>
      </c>
      <c r="E29" s="113">
        <f>SUM(E19:E28)</f>
        <v>567899.25</v>
      </c>
      <c r="H29" s="113">
        <f>SUM(H19:H28)</f>
        <v>567899.25</v>
      </c>
    </row>
    <row r="32" spans="4:8" x14ac:dyDescent="0.3">
      <c r="D32" s="21" t="s">
        <v>1168</v>
      </c>
    </row>
    <row r="33" spans="4:8" x14ac:dyDescent="0.3">
      <c r="D33" s="21" t="s">
        <v>543</v>
      </c>
      <c r="E33" s="104" cm="1">
        <f t="array" ref="E33">SUMPRODUCT(($E$3:$K$3 = $D33) * ($E$5:$K$14) * ($M$5:$M$14))</f>
        <v>396233.5</v>
      </c>
      <c r="H33" s="104" cm="1">
        <f t="array" ref="H33">SUM(($E$3:$K$3 = $D33) * ($E$5:$K$14) * ($M$5:$M$14))</f>
        <v>396233.5</v>
      </c>
    </row>
    <row r="34" spans="4:8" x14ac:dyDescent="0.3">
      <c r="D34" s="21" t="s">
        <v>544</v>
      </c>
      <c r="E34" s="104" cm="1">
        <f t="array" ref="E34">SUMPRODUCT(($E$3:$K$3 = $D34) * ($E$5:$K$14) * ($M$5:$M$14))</f>
        <v>171665.75</v>
      </c>
      <c r="G34" s="21" t="s">
        <v>1169</v>
      </c>
      <c r="H34" s="104" cm="1">
        <f t="array" ref="H34">SUM(($E$3:$K$3 = $D34) * ($E$5:$K$14) * ($M$5:$M$14))</f>
        <v>171665.75</v>
      </c>
    </row>
    <row r="35" spans="4:8" x14ac:dyDescent="0.3">
      <c r="D35" s="21" t="s">
        <v>557</v>
      </c>
      <c r="E35" s="113">
        <f>SUM(E33:E34)</f>
        <v>567899.25</v>
      </c>
      <c r="H35" s="113">
        <f>SUM(H33:H34)</f>
        <v>567899.25</v>
      </c>
    </row>
  </sheetData>
  <printOptions horizontalCentered="1"/>
  <pageMargins left="0.15748031496063" right="0.15748031496063" top="0.78740157480314998" bottom="0.78740157480314998" header="0.511811023622047" footer="0.511811023622047"/>
  <pageSetup paperSize="9" scale="68" orientation="landscape" r:id="rId1"/>
  <headerFooter alignWithMargins="0">
    <oddFooter xml:space="preserve">&amp;CClarity Consultancy Services Ltd   info@clarityconsultancyservices.co.uk
Registered in the UK (6619745). Registered Office:  Suite 6 Bourne Gate, Bourne Valley Rd, Poole, BH12 1DY
</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2C0CA-40E9-47C3-BFBE-9984F6679895}">
  <sheetPr>
    <pageSetUpPr fitToPage="1"/>
  </sheetPr>
  <dimension ref="A1:AJ55"/>
  <sheetViews>
    <sheetView showGridLines="0" zoomScaleNormal="100" workbookViewId="0">
      <pane ySplit="1" topLeftCell="A2" activePane="bottomLeft" state="frozen"/>
      <selection pane="bottomLeft"/>
    </sheetView>
  </sheetViews>
  <sheetFormatPr defaultColWidth="0" defaultRowHeight="16.8" x14ac:dyDescent="0.3"/>
  <cols>
    <col min="1" max="2" width="3.6640625" style="21" customWidth="1"/>
    <col min="3" max="4" width="17.77734375" style="21" customWidth="1"/>
    <col min="5" max="5" width="15.6640625" style="21" customWidth="1"/>
    <col min="6" max="15" width="9.33203125" style="21" customWidth="1"/>
    <col min="16" max="33" width="8.77734375" style="21" customWidth="1"/>
    <col min="34" max="36" width="0" style="21" hidden="1" customWidth="1"/>
    <col min="37" max="16384" width="10.77734375" style="21" hidden="1"/>
  </cols>
  <sheetData>
    <row r="1" spans="1:33" s="52" customFormat="1" ht="49.95" customHeight="1" x14ac:dyDescent="0.3">
      <c r="A1" s="49"/>
      <c r="B1" s="50" t="s">
        <v>661</v>
      </c>
      <c r="C1" s="49"/>
      <c r="D1" s="49"/>
      <c r="E1" s="49"/>
      <c r="F1" s="51"/>
      <c r="G1" s="51"/>
      <c r="H1" s="51"/>
      <c r="I1" s="51"/>
      <c r="J1" s="51"/>
      <c r="K1" s="51"/>
      <c r="L1" s="51"/>
      <c r="M1" s="51"/>
      <c r="N1" s="51"/>
      <c r="O1" s="51"/>
      <c r="P1" s="51"/>
      <c r="Q1" s="51"/>
      <c r="R1" s="51"/>
      <c r="S1" s="51"/>
      <c r="T1" s="51"/>
      <c r="U1" s="51"/>
      <c r="V1" s="51"/>
      <c r="W1" s="51"/>
      <c r="X1" s="51"/>
      <c r="Y1" s="51"/>
      <c r="Z1" s="51"/>
      <c r="AA1" s="51"/>
      <c r="AB1" s="51"/>
      <c r="AC1" s="51"/>
      <c r="AD1" s="51"/>
      <c r="AE1" s="51"/>
      <c r="AF1" s="51"/>
      <c r="AG1" s="51"/>
    </row>
    <row r="2" spans="1:33" ht="12" customHeight="1" x14ac:dyDescent="0.3">
      <c r="A2" s="121"/>
    </row>
    <row r="3" spans="1:33" ht="21" x14ac:dyDescent="0.5">
      <c r="B3" s="53" t="s">
        <v>662</v>
      </c>
      <c r="C3" s="53"/>
    </row>
    <row r="4" spans="1:33" ht="12" customHeight="1" x14ac:dyDescent="0.5">
      <c r="B4" s="53"/>
      <c r="C4" s="53"/>
    </row>
    <row r="5" spans="1:33" ht="21" x14ac:dyDescent="0.5">
      <c r="B5" s="53"/>
      <c r="C5" s="53" t="s">
        <v>663</v>
      </c>
    </row>
    <row r="6" spans="1:33" ht="21" x14ac:dyDescent="0.5">
      <c r="B6" s="53"/>
      <c r="C6" s="53" t="s">
        <v>664</v>
      </c>
    </row>
    <row r="7" spans="1:33" x14ac:dyDescent="0.3">
      <c r="B7" s="54"/>
    </row>
    <row r="8" spans="1:33" s="52" customFormat="1" ht="21" x14ac:dyDescent="0.5">
      <c r="A8" s="56"/>
      <c r="B8" s="56" t="s">
        <v>7</v>
      </c>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row>
    <row r="9" spans="1:33" s="20" customFormat="1" ht="19.95" customHeight="1" x14ac:dyDescent="0.25">
      <c r="C9" s="20" t="s">
        <v>665</v>
      </c>
    </row>
    <row r="10" spans="1:33" s="20" customFormat="1" ht="19.95" customHeight="1" x14ac:dyDescent="0.25">
      <c r="C10" s="20" t="s">
        <v>666</v>
      </c>
    </row>
    <row r="11" spans="1:33" s="20" customFormat="1" ht="19.95" customHeight="1" x14ac:dyDescent="0.25">
      <c r="C11" s="20" t="s">
        <v>667</v>
      </c>
    </row>
    <row r="12" spans="1:33" ht="19.95" customHeight="1" x14ac:dyDescent="0.3"/>
    <row r="13" spans="1:33" s="52" customFormat="1" ht="21" x14ac:dyDescent="0.5">
      <c r="A13" s="56"/>
      <c r="B13" s="56" t="s">
        <v>8</v>
      </c>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56"/>
      <c r="AG13" s="56"/>
    </row>
    <row r="14" spans="1:33" ht="19.95" customHeight="1" x14ac:dyDescent="0.3">
      <c r="B14" s="32"/>
    </row>
    <row r="15" spans="1:33" ht="12" customHeight="1" x14ac:dyDescent="0.3">
      <c r="B15" s="32"/>
    </row>
    <row r="16" spans="1:33" ht="21" customHeight="1" x14ac:dyDescent="0.3">
      <c r="B16" s="32"/>
      <c r="C16" s="74" t="s">
        <v>668</v>
      </c>
      <c r="D16" s="74" t="s">
        <v>669</v>
      </c>
      <c r="E16" s="74" t="s">
        <v>670</v>
      </c>
    </row>
    <row r="17" spans="1:33" ht="21" customHeight="1" x14ac:dyDescent="0.3">
      <c r="B17" s="32"/>
      <c r="C17" s="98">
        <v>8</v>
      </c>
      <c r="D17" s="119">
        <v>3</v>
      </c>
      <c r="E17" s="122">
        <f>MOD(C17, D17)</f>
        <v>2</v>
      </c>
      <c r="G17" s="21" t="str">
        <f ca="1">_xlfn.FORMULATEXT(E17)</f>
        <v>=MOD(C17, D17)</v>
      </c>
      <c r="I17" s="21" t="s">
        <v>671</v>
      </c>
    </row>
    <row r="18" spans="1:33" ht="21" customHeight="1" x14ac:dyDescent="0.3">
      <c r="B18" s="32"/>
      <c r="C18" s="98">
        <v>13</v>
      </c>
      <c r="D18" s="119">
        <v>10</v>
      </c>
      <c r="E18" s="122">
        <f t="shared" ref="E18:E23" si="0">MOD(C18, D18)</f>
        <v>3</v>
      </c>
      <c r="I18" s="21" t="s">
        <v>672</v>
      </c>
    </row>
    <row r="19" spans="1:33" ht="21" customHeight="1" x14ac:dyDescent="0.3">
      <c r="C19" s="98">
        <v>535</v>
      </c>
      <c r="D19" s="119">
        <v>100</v>
      </c>
      <c r="E19" s="122">
        <f t="shared" si="0"/>
        <v>35</v>
      </c>
      <c r="I19" s="21" t="s">
        <v>673</v>
      </c>
    </row>
    <row r="20" spans="1:33" ht="21" customHeight="1" x14ac:dyDescent="0.3">
      <c r="C20" s="98">
        <v>24</v>
      </c>
      <c r="D20" s="119">
        <v>12</v>
      </c>
      <c r="E20" s="122">
        <f t="shared" si="0"/>
        <v>0</v>
      </c>
      <c r="I20" s="21" t="s">
        <v>674</v>
      </c>
    </row>
    <row r="21" spans="1:33" ht="21" customHeight="1" x14ac:dyDescent="0.3">
      <c r="C21" s="98">
        <v>53</v>
      </c>
      <c r="D21" s="119">
        <v>50</v>
      </c>
      <c r="E21" s="122">
        <f t="shared" si="0"/>
        <v>3</v>
      </c>
      <c r="I21" s="21" t="s">
        <v>675</v>
      </c>
    </row>
    <row r="22" spans="1:33" ht="21" customHeight="1" x14ac:dyDescent="0.3">
      <c r="C22" s="98">
        <v>77</v>
      </c>
      <c r="D22" s="119">
        <v>5</v>
      </c>
      <c r="E22" s="122">
        <f t="shared" si="0"/>
        <v>2</v>
      </c>
    </row>
    <row r="23" spans="1:33" ht="21" customHeight="1" x14ac:dyDescent="0.3">
      <c r="C23" s="98">
        <v>4</v>
      </c>
      <c r="D23" s="119">
        <v>3</v>
      </c>
      <c r="E23" s="122">
        <f t="shared" si="0"/>
        <v>1</v>
      </c>
    </row>
    <row r="25" spans="1:33" x14ac:dyDescent="0.3">
      <c r="C25" s="32" t="s">
        <v>34</v>
      </c>
    </row>
    <row r="26" spans="1:33" x14ac:dyDescent="0.3">
      <c r="C26" s="123" t="s">
        <v>676</v>
      </c>
    </row>
    <row r="27" spans="1:33" x14ac:dyDescent="0.3">
      <c r="C27" s="21" t="s">
        <v>677</v>
      </c>
    </row>
    <row r="30" spans="1:33" s="52" customFormat="1" ht="21" x14ac:dyDescent="0.5">
      <c r="A30" s="56"/>
      <c r="B30" s="56" t="s">
        <v>678</v>
      </c>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c r="AF30" s="56"/>
      <c r="AG30" s="56"/>
    </row>
    <row r="31" spans="1:33" s="20" customFormat="1" ht="19.95" customHeight="1" x14ac:dyDescent="0.3">
      <c r="A31" s="21"/>
      <c r="B31" s="21"/>
      <c r="C31" s="21"/>
      <c r="D31" s="21"/>
      <c r="E31" s="21"/>
      <c r="F31" s="21"/>
      <c r="G31" s="21"/>
      <c r="H31" s="21"/>
      <c r="I31" s="21"/>
      <c r="J31" s="21"/>
      <c r="K31" s="21"/>
      <c r="L31" s="21"/>
      <c r="M31" s="21"/>
      <c r="N31" s="21"/>
    </row>
    <row r="32" spans="1:33" s="20" customFormat="1" ht="19.95" customHeight="1" x14ac:dyDescent="0.3">
      <c r="A32" s="21"/>
      <c r="B32" s="21"/>
      <c r="C32" s="21"/>
      <c r="D32" s="21" t="s">
        <v>679</v>
      </c>
      <c r="E32" s="21"/>
      <c r="F32" s="78">
        <f>E32 + 1</f>
        <v>1</v>
      </c>
      <c r="G32" s="78">
        <f>F32 + 1</f>
        <v>2</v>
      </c>
      <c r="H32" s="78">
        <f t="shared" ref="H32:AF32" si="1">G32 + 1</f>
        <v>3</v>
      </c>
      <c r="I32" s="78">
        <f t="shared" si="1"/>
        <v>4</v>
      </c>
      <c r="J32" s="78">
        <f t="shared" si="1"/>
        <v>5</v>
      </c>
      <c r="K32" s="78">
        <f t="shared" si="1"/>
        <v>6</v>
      </c>
      <c r="L32" s="78">
        <f t="shared" si="1"/>
        <v>7</v>
      </c>
      <c r="M32" s="78">
        <f t="shared" si="1"/>
        <v>8</v>
      </c>
      <c r="N32" s="78">
        <f t="shared" si="1"/>
        <v>9</v>
      </c>
      <c r="O32" s="78">
        <f t="shared" si="1"/>
        <v>10</v>
      </c>
      <c r="P32" s="78">
        <f t="shared" si="1"/>
        <v>11</v>
      </c>
      <c r="Q32" s="78">
        <f t="shared" si="1"/>
        <v>12</v>
      </c>
      <c r="R32" s="78">
        <f t="shared" si="1"/>
        <v>13</v>
      </c>
      <c r="S32" s="78">
        <f t="shared" si="1"/>
        <v>14</v>
      </c>
      <c r="T32" s="78">
        <f t="shared" si="1"/>
        <v>15</v>
      </c>
      <c r="U32" s="78">
        <f t="shared" si="1"/>
        <v>16</v>
      </c>
      <c r="V32" s="78">
        <f t="shared" si="1"/>
        <v>17</v>
      </c>
      <c r="W32" s="78">
        <f t="shared" si="1"/>
        <v>18</v>
      </c>
      <c r="X32" s="78">
        <f t="shared" si="1"/>
        <v>19</v>
      </c>
      <c r="Y32" s="78">
        <f t="shared" si="1"/>
        <v>20</v>
      </c>
      <c r="Z32" s="78">
        <f t="shared" si="1"/>
        <v>21</v>
      </c>
      <c r="AA32" s="78">
        <f t="shared" si="1"/>
        <v>22</v>
      </c>
      <c r="AB32" s="78">
        <f t="shared" si="1"/>
        <v>23</v>
      </c>
      <c r="AC32" s="78">
        <f t="shared" si="1"/>
        <v>24</v>
      </c>
      <c r="AD32" s="78">
        <f t="shared" si="1"/>
        <v>25</v>
      </c>
      <c r="AE32" s="78">
        <f t="shared" si="1"/>
        <v>26</v>
      </c>
      <c r="AF32" s="78">
        <f t="shared" si="1"/>
        <v>27</v>
      </c>
    </row>
    <row r="33" spans="1:32" s="20" customFormat="1" ht="19.95" customHeight="1" x14ac:dyDescent="0.3">
      <c r="A33" s="21"/>
      <c r="B33" s="21"/>
      <c r="C33" s="21"/>
      <c r="D33" s="21" t="s">
        <v>680</v>
      </c>
      <c r="E33" s="21"/>
      <c r="F33" s="78">
        <f>IF(MOD(F32, 12) = 0, 12, MOD(F32, 12) )</f>
        <v>1</v>
      </c>
      <c r="G33" s="78">
        <f t="shared" ref="G33:AF33" si="2">IF(MOD(G32, 12) = 0, 12, MOD(G32, 12) )</f>
        <v>2</v>
      </c>
      <c r="H33" s="78">
        <f t="shared" si="2"/>
        <v>3</v>
      </c>
      <c r="I33" s="78">
        <f t="shared" si="2"/>
        <v>4</v>
      </c>
      <c r="J33" s="78">
        <f t="shared" si="2"/>
        <v>5</v>
      </c>
      <c r="K33" s="78">
        <f t="shared" si="2"/>
        <v>6</v>
      </c>
      <c r="L33" s="78">
        <f t="shared" si="2"/>
        <v>7</v>
      </c>
      <c r="M33" s="78">
        <f t="shared" si="2"/>
        <v>8</v>
      </c>
      <c r="N33" s="78">
        <f t="shared" si="2"/>
        <v>9</v>
      </c>
      <c r="O33" s="78">
        <f t="shared" si="2"/>
        <v>10</v>
      </c>
      <c r="P33" s="78">
        <f t="shared" si="2"/>
        <v>11</v>
      </c>
      <c r="Q33" s="78">
        <f t="shared" si="2"/>
        <v>12</v>
      </c>
      <c r="R33" s="78">
        <f t="shared" si="2"/>
        <v>1</v>
      </c>
      <c r="S33" s="78">
        <f t="shared" si="2"/>
        <v>2</v>
      </c>
      <c r="T33" s="78">
        <f t="shared" si="2"/>
        <v>3</v>
      </c>
      <c r="U33" s="78">
        <f t="shared" si="2"/>
        <v>4</v>
      </c>
      <c r="V33" s="78">
        <f t="shared" si="2"/>
        <v>5</v>
      </c>
      <c r="W33" s="78">
        <f t="shared" si="2"/>
        <v>6</v>
      </c>
      <c r="X33" s="78">
        <f t="shared" si="2"/>
        <v>7</v>
      </c>
      <c r="Y33" s="78">
        <f t="shared" si="2"/>
        <v>8</v>
      </c>
      <c r="Z33" s="78">
        <f t="shared" si="2"/>
        <v>9</v>
      </c>
      <c r="AA33" s="78">
        <f t="shared" si="2"/>
        <v>10</v>
      </c>
      <c r="AB33" s="78">
        <f t="shared" si="2"/>
        <v>11</v>
      </c>
      <c r="AC33" s="78">
        <f t="shared" si="2"/>
        <v>12</v>
      </c>
      <c r="AD33" s="78">
        <f t="shared" si="2"/>
        <v>1</v>
      </c>
      <c r="AE33" s="78">
        <f t="shared" si="2"/>
        <v>2</v>
      </c>
      <c r="AF33" s="78">
        <f t="shared" si="2"/>
        <v>3</v>
      </c>
    </row>
    <row r="34" spans="1:32" x14ac:dyDescent="0.3">
      <c r="D34" s="21" t="s">
        <v>681</v>
      </c>
      <c r="F34" s="78">
        <f>IF(MOD(F32, 3) = 0, 3, MOD(F32, 3))</f>
        <v>1</v>
      </c>
      <c r="G34" s="78">
        <f t="shared" ref="G34:AF34" si="3">IF(MOD(G32, 3) = 0, 3, MOD(G32, 3))</f>
        <v>2</v>
      </c>
      <c r="H34" s="78">
        <f t="shared" si="3"/>
        <v>3</v>
      </c>
      <c r="I34" s="78">
        <f t="shared" si="3"/>
        <v>1</v>
      </c>
      <c r="J34" s="78">
        <f t="shared" si="3"/>
        <v>2</v>
      </c>
      <c r="K34" s="78">
        <f t="shared" si="3"/>
        <v>3</v>
      </c>
      <c r="L34" s="78">
        <f t="shared" si="3"/>
        <v>1</v>
      </c>
      <c r="M34" s="78">
        <f t="shared" si="3"/>
        <v>2</v>
      </c>
      <c r="N34" s="78">
        <f t="shared" si="3"/>
        <v>3</v>
      </c>
      <c r="O34" s="78">
        <f t="shared" si="3"/>
        <v>1</v>
      </c>
      <c r="P34" s="78">
        <f t="shared" si="3"/>
        <v>2</v>
      </c>
      <c r="Q34" s="78">
        <f t="shared" si="3"/>
        <v>3</v>
      </c>
      <c r="R34" s="78">
        <f t="shared" si="3"/>
        <v>1</v>
      </c>
      <c r="S34" s="78">
        <f t="shared" si="3"/>
        <v>2</v>
      </c>
      <c r="T34" s="78">
        <f t="shared" si="3"/>
        <v>3</v>
      </c>
      <c r="U34" s="78">
        <f t="shared" si="3"/>
        <v>1</v>
      </c>
      <c r="V34" s="78">
        <f t="shared" si="3"/>
        <v>2</v>
      </c>
      <c r="W34" s="78">
        <f t="shared" si="3"/>
        <v>3</v>
      </c>
      <c r="X34" s="78">
        <f t="shared" si="3"/>
        <v>1</v>
      </c>
      <c r="Y34" s="78">
        <f t="shared" si="3"/>
        <v>2</v>
      </c>
      <c r="Z34" s="78">
        <f t="shared" si="3"/>
        <v>3</v>
      </c>
      <c r="AA34" s="78">
        <f t="shared" si="3"/>
        <v>1</v>
      </c>
      <c r="AB34" s="78">
        <f t="shared" si="3"/>
        <v>2</v>
      </c>
      <c r="AC34" s="78">
        <f t="shared" si="3"/>
        <v>3</v>
      </c>
      <c r="AD34" s="78">
        <f t="shared" si="3"/>
        <v>1</v>
      </c>
      <c r="AE34" s="78">
        <f t="shared" si="3"/>
        <v>2</v>
      </c>
      <c r="AF34" s="78">
        <f t="shared" si="3"/>
        <v>3</v>
      </c>
    </row>
    <row r="36" spans="1:32" x14ac:dyDescent="0.3">
      <c r="D36" s="21" t="s">
        <v>1169</v>
      </c>
    </row>
    <row r="38" spans="1:32" x14ac:dyDescent="0.3">
      <c r="D38" s="21" t="s">
        <v>680</v>
      </c>
      <c r="F38" s="78">
        <f>MOD(F32-1, 12) + 1</f>
        <v>1</v>
      </c>
      <c r="G38" s="78">
        <f t="shared" ref="G38:AF38" si="4">MOD(G32-1, 12) + 1</f>
        <v>2</v>
      </c>
      <c r="H38" s="78">
        <f t="shared" si="4"/>
        <v>3</v>
      </c>
      <c r="I38" s="78">
        <f t="shared" si="4"/>
        <v>4</v>
      </c>
      <c r="J38" s="78">
        <f t="shared" si="4"/>
        <v>5</v>
      </c>
      <c r="K38" s="78">
        <f t="shared" si="4"/>
        <v>6</v>
      </c>
      <c r="L38" s="78">
        <f t="shared" si="4"/>
        <v>7</v>
      </c>
      <c r="M38" s="78">
        <f t="shared" si="4"/>
        <v>8</v>
      </c>
      <c r="N38" s="78">
        <f t="shared" si="4"/>
        <v>9</v>
      </c>
      <c r="O38" s="78">
        <f t="shared" si="4"/>
        <v>10</v>
      </c>
      <c r="P38" s="78">
        <f t="shared" si="4"/>
        <v>11</v>
      </c>
      <c r="Q38" s="78">
        <f t="shared" si="4"/>
        <v>12</v>
      </c>
      <c r="R38" s="78">
        <f t="shared" si="4"/>
        <v>1</v>
      </c>
      <c r="S38" s="78">
        <f t="shared" si="4"/>
        <v>2</v>
      </c>
      <c r="T38" s="78">
        <f t="shared" si="4"/>
        <v>3</v>
      </c>
      <c r="U38" s="78">
        <f t="shared" si="4"/>
        <v>4</v>
      </c>
      <c r="V38" s="78">
        <f t="shared" si="4"/>
        <v>5</v>
      </c>
      <c r="W38" s="78">
        <f t="shared" si="4"/>
        <v>6</v>
      </c>
      <c r="X38" s="78">
        <f t="shared" si="4"/>
        <v>7</v>
      </c>
      <c r="Y38" s="78">
        <f t="shared" si="4"/>
        <v>8</v>
      </c>
      <c r="Z38" s="78">
        <f t="shared" si="4"/>
        <v>9</v>
      </c>
      <c r="AA38" s="78">
        <f t="shared" si="4"/>
        <v>10</v>
      </c>
      <c r="AB38" s="78">
        <f t="shared" si="4"/>
        <v>11</v>
      </c>
      <c r="AC38" s="78">
        <f t="shared" si="4"/>
        <v>12</v>
      </c>
      <c r="AD38" s="78">
        <f t="shared" si="4"/>
        <v>1</v>
      </c>
      <c r="AE38" s="78">
        <f t="shared" si="4"/>
        <v>2</v>
      </c>
      <c r="AF38" s="78">
        <f t="shared" si="4"/>
        <v>3</v>
      </c>
    </row>
    <row r="39" spans="1:32" x14ac:dyDescent="0.3">
      <c r="D39" s="21" t="s">
        <v>681</v>
      </c>
      <c r="F39" s="78">
        <f>MOD(F32-1, 3) + 1</f>
        <v>1</v>
      </c>
      <c r="G39" s="78">
        <f t="shared" ref="G39:AF39" si="5">MOD(G32-1, 3) + 1</f>
        <v>2</v>
      </c>
      <c r="H39" s="78">
        <f t="shared" si="5"/>
        <v>3</v>
      </c>
      <c r="I39" s="78">
        <f t="shared" si="5"/>
        <v>1</v>
      </c>
      <c r="J39" s="78">
        <f t="shared" si="5"/>
        <v>2</v>
      </c>
      <c r="K39" s="78">
        <f t="shared" si="5"/>
        <v>3</v>
      </c>
      <c r="L39" s="78">
        <f t="shared" si="5"/>
        <v>1</v>
      </c>
      <c r="M39" s="78">
        <f t="shared" si="5"/>
        <v>2</v>
      </c>
      <c r="N39" s="78">
        <f t="shared" si="5"/>
        <v>3</v>
      </c>
      <c r="O39" s="78">
        <f t="shared" si="5"/>
        <v>1</v>
      </c>
      <c r="P39" s="78">
        <f t="shared" si="5"/>
        <v>2</v>
      </c>
      <c r="Q39" s="78">
        <f t="shared" si="5"/>
        <v>3</v>
      </c>
      <c r="R39" s="78">
        <f t="shared" si="5"/>
        <v>1</v>
      </c>
      <c r="S39" s="78">
        <f t="shared" si="5"/>
        <v>2</v>
      </c>
      <c r="T39" s="78">
        <f t="shared" si="5"/>
        <v>3</v>
      </c>
      <c r="U39" s="78">
        <f t="shared" si="5"/>
        <v>1</v>
      </c>
      <c r="V39" s="78">
        <f t="shared" si="5"/>
        <v>2</v>
      </c>
      <c r="W39" s="78">
        <f t="shared" si="5"/>
        <v>3</v>
      </c>
      <c r="X39" s="78">
        <f t="shared" si="5"/>
        <v>1</v>
      </c>
      <c r="Y39" s="78">
        <f t="shared" si="5"/>
        <v>2</v>
      </c>
      <c r="Z39" s="78">
        <f t="shared" si="5"/>
        <v>3</v>
      </c>
      <c r="AA39" s="78">
        <f t="shared" si="5"/>
        <v>1</v>
      </c>
      <c r="AB39" s="78">
        <f t="shared" si="5"/>
        <v>2</v>
      </c>
      <c r="AC39" s="78">
        <f t="shared" si="5"/>
        <v>3</v>
      </c>
      <c r="AD39" s="78">
        <f t="shared" si="5"/>
        <v>1</v>
      </c>
      <c r="AE39" s="78">
        <f t="shared" si="5"/>
        <v>2</v>
      </c>
      <c r="AF39" s="78">
        <f t="shared" si="5"/>
        <v>3</v>
      </c>
    </row>
    <row r="41" spans="1:32" x14ac:dyDescent="0.3">
      <c r="C41" s="21" t="s">
        <v>682</v>
      </c>
    </row>
    <row r="43" spans="1:32" x14ac:dyDescent="0.3">
      <c r="D43" s="21" t="s">
        <v>683</v>
      </c>
      <c r="F43" s="21" t="b">
        <f>MOD(F32, 3) = 0</f>
        <v>0</v>
      </c>
      <c r="G43" s="21" t="b">
        <f t="shared" ref="G43:AF43" si="6">MOD(G32, 3) = 0</f>
        <v>0</v>
      </c>
      <c r="H43" s="21" t="b">
        <f t="shared" si="6"/>
        <v>1</v>
      </c>
      <c r="I43" s="21" t="b">
        <f t="shared" si="6"/>
        <v>0</v>
      </c>
      <c r="J43" s="21" t="b">
        <f t="shared" si="6"/>
        <v>0</v>
      </c>
      <c r="K43" s="21" t="b">
        <f t="shared" si="6"/>
        <v>1</v>
      </c>
      <c r="L43" s="21" t="b">
        <f t="shared" si="6"/>
        <v>0</v>
      </c>
      <c r="M43" s="21" t="b">
        <f t="shared" si="6"/>
        <v>0</v>
      </c>
      <c r="N43" s="21" t="b">
        <f t="shared" si="6"/>
        <v>1</v>
      </c>
      <c r="O43" s="21" t="b">
        <f t="shared" si="6"/>
        <v>0</v>
      </c>
      <c r="P43" s="21" t="b">
        <f t="shared" si="6"/>
        <v>0</v>
      </c>
      <c r="Q43" s="21" t="b">
        <f t="shared" si="6"/>
        <v>1</v>
      </c>
      <c r="R43" s="21" t="b">
        <f t="shared" si="6"/>
        <v>0</v>
      </c>
      <c r="S43" s="21" t="b">
        <f t="shared" si="6"/>
        <v>0</v>
      </c>
      <c r="T43" s="21" t="b">
        <f t="shared" si="6"/>
        <v>1</v>
      </c>
      <c r="U43" s="21" t="b">
        <f t="shared" si="6"/>
        <v>0</v>
      </c>
      <c r="V43" s="21" t="b">
        <f t="shared" si="6"/>
        <v>0</v>
      </c>
      <c r="W43" s="21" t="b">
        <f t="shared" si="6"/>
        <v>1</v>
      </c>
      <c r="X43" s="21" t="b">
        <f t="shared" si="6"/>
        <v>0</v>
      </c>
      <c r="Y43" s="21" t="b">
        <f t="shared" si="6"/>
        <v>0</v>
      </c>
      <c r="Z43" s="21" t="b">
        <f t="shared" si="6"/>
        <v>1</v>
      </c>
      <c r="AA43" s="21" t="b">
        <f t="shared" si="6"/>
        <v>0</v>
      </c>
      <c r="AB43" s="21" t="b">
        <f t="shared" si="6"/>
        <v>0</v>
      </c>
      <c r="AC43" s="21" t="b">
        <f t="shared" si="6"/>
        <v>1</v>
      </c>
      <c r="AD43" s="21" t="b">
        <f t="shared" si="6"/>
        <v>0</v>
      </c>
      <c r="AE43" s="21" t="b">
        <f t="shared" si="6"/>
        <v>0</v>
      </c>
      <c r="AF43" s="21" t="b">
        <f t="shared" si="6"/>
        <v>1</v>
      </c>
    </row>
    <row r="44" spans="1:32" x14ac:dyDescent="0.3">
      <c r="D44" s="21" t="s">
        <v>684</v>
      </c>
      <c r="F44" s="78">
        <f>--(MOD(F32, 3) = 0)</f>
        <v>0</v>
      </c>
      <c r="G44" s="78">
        <f t="shared" ref="G44:AF44" si="7">--(MOD(G32, 3) = 0)</f>
        <v>0</v>
      </c>
      <c r="H44" s="78">
        <f t="shared" si="7"/>
        <v>1</v>
      </c>
      <c r="I44" s="78">
        <f t="shared" si="7"/>
        <v>0</v>
      </c>
      <c r="J44" s="78">
        <f t="shared" si="7"/>
        <v>0</v>
      </c>
      <c r="K44" s="78">
        <f t="shared" si="7"/>
        <v>1</v>
      </c>
      <c r="L44" s="78">
        <f t="shared" si="7"/>
        <v>0</v>
      </c>
      <c r="M44" s="78">
        <f t="shared" si="7"/>
        <v>0</v>
      </c>
      <c r="N44" s="78">
        <f t="shared" si="7"/>
        <v>1</v>
      </c>
      <c r="O44" s="78">
        <f t="shared" si="7"/>
        <v>0</v>
      </c>
      <c r="P44" s="78">
        <f t="shared" si="7"/>
        <v>0</v>
      </c>
      <c r="Q44" s="78">
        <f t="shared" si="7"/>
        <v>1</v>
      </c>
      <c r="R44" s="78">
        <f t="shared" si="7"/>
        <v>0</v>
      </c>
      <c r="S44" s="78">
        <f t="shared" si="7"/>
        <v>0</v>
      </c>
      <c r="T44" s="78">
        <f t="shared" si="7"/>
        <v>1</v>
      </c>
      <c r="U44" s="78">
        <f t="shared" si="7"/>
        <v>0</v>
      </c>
      <c r="V44" s="78">
        <f t="shared" si="7"/>
        <v>0</v>
      </c>
      <c r="W44" s="78">
        <f t="shared" si="7"/>
        <v>1</v>
      </c>
      <c r="X44" s="78">
        <f t="shared" si="7"/>
        <v>0</v>
      </c>
      <c r="Y44" s="78">
        <f t="shared" si="7"/>
        <v>0</v>
      </c>
      <c r="Z44" s="78">
        <f t="shared" si="7"/>
        <v>1</v>
      </c>
      <c r="AA44" s="78">
        <f t="shared" si="7"/>
        <v>0</v>
      </c>
      <c r="AB44" s="78">
        <f t="shared" si="7"/>
        <v>0</v>
      </c>
      <c r="AC44" s="78">
        <f t="shared" si="7"/>
        <v>1</v>
      </c>
      <c r="AD44" s="78">
        <f t="shared" si="7"/>
        <v>0</v>
      </c>
      <c r="AE44" s="78">
        <f t="shared" si="7"/>
        <v>0</v>
      </c>
      <c r="AF44" s="78">
        <f t="shared" si="7"/>
        <v>1</v>
      </c>
    </row>
    <row r="48" spans="1:32" x14ac:dyDescent="0.3">
      <c r="C48" s="21" t="s">
        <v>1242</v>
      </c>
    </row>
    <row r="51" spans="4:32" x14ac:dyDescent="0.3">
      <c r="D51" s="21" t="s">
        <v>1243</v>
      </c>
      <c r="E51" s="119">
        <v>27</v>
      </c>
    </row>
    <row r="53" spans="4:32" ht="19.95" customHeight="1" x14ac:dyDescent="0.3">
      <c r="D53" s="21" t="s">
        <v>679</v>
      </c>
      <c r="F53" s="186" cm="1">
        <f t="array" ref="F53:AF53">_xlfn.SEQUENCE(,E51,1, 1)</f>
        <v>1</v>
      </c>
      <c r="G53" s="21">
        <v>2</v>
      </c>
      <c r="H53" s="21">
        <v>3</v>
      </c>
      <c r="I53" s="21">
        <v>4</v>
      </c>
      <c r="J53" s="21">
        <v>5</v>
      </c>
      <c r="K53" s="21">
        <v>6</v>
      </c>
      <c r="L53" s="21">
        <v>7</v>
      </c>
      <c r="M53" s="21">
        <v>8</v>
      </c>
      <c r="N53" s="21">
        <v>9</v>
      </c>
      <c r="O53" s="21">
        <v>10</v>
      </c>
      <c r="P53" s="21">
        <v>11</v>
      </c>
      <c r="Q53" s="21">
        <v>12</v>
      </c>
      <c r="R53" s="21">
        <v>13</v>
      </c>
      <c r="S53" s="21">
        <v>14</v>
      </c>
      <c r="T53" s="21">
        <v>15</v>
      </c>
      <c r="U53" s="21">
        <v>16</v>
      </c>
      <c r="V53" s="21">
        <v>17</v>
      </c>
      <c r="W53" s="21">
        <v>18</v>
      </c>
      <c r="X53" s="21">
        <v>19</v>
      </c>
      <c r="Y53" s="21">
        <v>20</v>
      </c>
      <c r="Z53" s="21">
        <v>21</v>
      </c>
      <c r="AA53" s="21">
        <v>22</v>
      </c>
      <c r="AB53" s="21">
        <v>23</v>
      </c>
      <c r="AC53" s="21">
        <v>24</v>
      </c>
      <c r="AD53" s="21">
        <v>25</v>
      </c>
      <c r="AE53" s="21">
        <v>26</v>
      </c>
      <c r="AF53" s="21">
        <v>27</v>
      </c>
    </row>
    <row r="54" spans="4:32" ht="19.95" customHeight="1" x14ac:dyDescent="0.3">
      <c r="D54" s="21" t="s">
        <v>680</v>
      </c>
      <c r="F54" s="186" cm="1">
        <f t="array" ref="F54:AF54">MOD(_xlfn.ANCHORARRAY(F53)-1, 12) + 1</f>
        <v>1</v>
      </c>
      <c r="G54" s="21">
        <v>2</v>
      </c>
      <c r="H54" s="21">
        <v>3</v>
      </c>
      <c r="I54" s="21">
        <v>4</v>
      </c>
      <c r="J54" s="21">
        <v>5</v>
      </c>
      <c r="K54" s="21">
        <v>6</v>
      </c>
      <c r="L54" s="21">
        <v>7</v>
      </c>
      <c r="M54" s="21">
        <v>8</v>
      </c>
      <c r="N54" s="21">
        <v>9</v>
      </c>
      <c r="O54" s="21">
        <v>10</v>
      </c>
      <c r="P54" s="21">
        <v>11</v>
      </c>
      <c r="Q54" s="21">
        <v>12</v>
      </c>
      <c r="R54" s="21">
        <v>1</v>
      </c>
      <c r="S54" s="21">
        <v>2</v>
      </c>
      <c r="T54" s="21">
        <v>3</v>
      </c>
      <c r="U54" s="21">
        <v>4</v>
      </c>
      <c r="V54" s="21">
        <v>5</v>
      </c>
      <c r="W54" s="21">
        <v>6</v>
      </c>
      <c r="X54" s="21">
        <v>7</v>
      </c>
      <c r="Y54" s="21">
        <v>8</v>
      </c>
      <c r="Z54" s="21">
        <v>9</v>
      </c>
      <c r="AA54" s="21">
        <v>10</v>
      </c>
      <c r="AB54" s="21">
        <v>11</v>
      </c>
      <c r="AC54" s="21">
        <v>12</v>
      </c>
      <c r="AD54" s="21">
        <v>1</v>
      </c>
      <c r="AE54" s="21">
        <v>2</v>
      </c>
      <c r="AF54" s="21">
        <v>3</v>
      </c>
    </row>
    <row r="55" spans="4:32" ht="19.95" customHeight="1" x14ac:dyDescent="0.3">
      <c r="D55" s="21" t="s">
        <v>681</v>
      </c>
      <c r="F55" s="186" cm="1">
        <f t="array" ref="F55:AF55">MOD(_xlfn.ANCHORARRAY(F53)-1, 3) + 1</f>
        <v>1</v>
      </c>
      <c r="G55" s="21">
        <v>2</v>
      </c>
      <c r="H55" s="21">
        <v>3</v>
      </c>
      <c r="I55" s="21">
        <v>1</v>
      </c>
      <c r="J55" s="21">
        <v>2</v>
      </c>
      <c r="K55" s="21">
        <v>3</v>
      </c>
      <c r="L55" s="21">
        <v>1</v>
      </c>
      <c r="M55" s="21">
        <v>2</v>
      </c>
      <c r="N55" s="21">
        <v>3</v>
      </c>
      <c r="O55" s="21">
        <v>1</v>
      </c>
      <c r="P55" s="21">
        <v>2</v>
      </c>
      <c r="Q55" s="21">
        <v>3</v>
      </c>
      <c r="R55" s="21">
        <v>1</v>
      </c>
      <c r="S55" s="21">
        <v>2</v>
      </c>
      <c r="T55" s="21">
        <v>3</v>
      </c>
      <c r="U55" s="21">
        <v>1</v>
      </c>
      <c r="V55" s="21">
        <v>2</v>
      </c>
      <c r="W55" s="21">
        <v>3</v>
      </c>
      <c r="X55" s="21">
        <v>1</v>
      </c>
      <c r="Y55" s="21">
        <v>2</v>
      </c>
      <c r="Z55" s="21">
        <v>3</v>
      </c>
      <c r="AA55" s="21">
        <v>1</v>
      </c>
      <c r="AB55" s="21">
        <v>2</v>
      </c>
      <c r="AC55" s="21">
        <v>3</v>
      </c>
      <c r="AD55" s="21">
        <v>1</v>
      </c>
      <c r="AE55" s="21">
        <v>2</v>
      </c>
      <c r="AF55" s="21">
        <v>3</v>
      </c>
    </row>
  </sheetData>
  <printOptions horizontalCentered="1"/>
  <pageMargins left="0.15748031496062992" right="0.15748031496062992" top="0.78740157480314965" bottom="0.78740157480314965" header="0.51181102362204722" footer="0.51181102362204722"/>
  <pageSetup paperSize="9" scale="47" orientation="portrait" r:id="rId1"/>
  <headerFooter alignWithMargins="0">
    <oddFooter xml:space="preserve">&amp;CClarity Consultancy Services Ltd   info@clarityconsultancyservices.co.uk
Registered in the UK (6619745). Registered Office:  Suite 6 Bourne Gate, Bourne Valley Rd, Poole, BH12 1DY
</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365E3-7F92-41C5-A5D1-B12B432CC67A}">
  <sheetPr>
    <pageSetUpPr fitToPage="1"/>
  </sheetPr>
  <dimension ref="A1:AJ46"/>
  <sheetViews>
    <sheetView showGridLines="0" zoomScaleNormal="80" workbookViewId="0">
      <pane ySplit="1" topLeftCell="A2" activePane="bottomLeft" state="frozen"/>
      <selection pane="bottomLeft"/>
    </sheetView>
  </sheetViews>
  <sheetFormatPr defaultColWidth="0" defaultRowHeight="16.8" x14ac:dyDescent="0.3"/>
  <cols>
    <col min="1" max="2" width="3.6640625" style="21" customWidth="1"/>
    <col min="3" max="3" width="24.44140625" style="21" customWidth="1"/>
    <col min="4" max="4" width="15.6640625" style="21" customWidth="1"/>
    <col min="5" max="5" width="13.6640625" style="21" customWidth="1"/>
    <col min="6" max="32" width="9.6640625" style="21" customWidth="1"/>
    <col min="33" max="36" width="0" style="21" hidden="1" customWidth="1"/>
    <col min="37" max="16384" width="10.77734375" style="21" hidden="1"/>
  </cols>
  <sheetData>
    <row r="1" spans="1:32" s="52" customFormat="1" ht="49.95" customHeight="1" x14ac:dyDescent="0.3">
      <c r="A1" s="49"/>
      <c r="B1" s="50" t="s">
        <v>685</v>
      </c>
      <c r="C1" s="49"/>
      <c r="D1" s="49"/>
      <c r="E1" s="49"/>
      <c r="F1" s="51"/>
      <c r="G1" s="51"/>
      <c r="H1" s="51"/>
      <c r="I1" s="51"/>
      <c r="J1" s="51"/>
      <c r="K1" s="51"/>
      <c r="L1" s="51"/>
      <c r="M1" s="51"/>
      <c r="N1" s="51"/>
      <c r="O1" s="51"/>
      <c r="P1" s="51"/>
      <c r="Q1" s="51"/>
      <c r="R1" s="51"/>
      <c r="S1" s="51"/>
      <c r="T1" s="51"/>
      <c r="U1" s="51"/>
      <c r="V1" s="51"/>
      <c r="W1" s="51"/>
      <c r="X1" s="51"/>
      <c r="Y1" s="51"/>
      <c r="Z1" s="51"/>
      <c r="AA1" s="51"/>
      <c r="AB1" s="51"/>
      <c r="AC1" s="51"/>
      <c r="AD1" s="51"/>
      <c r="AE1" s="51"/>
      <c r="AF1" s="51"/>
    </row>
    <row r="2" spans="1:32" ht="12" customHeight="1" x14ac:dyDescent="0.3">
      <c r="A2" s="121"/>
    </row>
    <row r="3" spans="1:32" ht="21" x14ac:dyDescent="0.5">
      <c r="B3" s="53" t="s">
        <v>686</v>
      </c>
      <c r="C3" s="53"/>
    </row>
    <row r="4" spans="1:32" ht="12" customHeight="1" x14ac:dyDescent="0.5">
      <c r="B4" s="53"/>
      <c r="C4" s="53"/>
    </row>
    <row r="5" spans="1:32" ht="21" x14ac:dyDescent="0.5">
      <c r="B5" s="53"/>
      <c r="C5" s="53" t="s">
        <v>687</v>
      </c>
    </row>
    <row r="6" spans="1:32" ht="21" x14ac:dyDescent="0.5">
      <c r="B6" s="53"/>
      <c r="C6" s="53" t="s">
        <v>688</v>
      </c>
    </row>
    <row r="7" spans="1:32" x14ac:dyDescent="0.3">
      <c r="B7" s="54"/>
    </row>
    <row r="8" spans="1:32" s="52" customFormat="1" ht="21" x14ac:dyDescent="0.5">
      <c r="A8" s="56"/>
      <c r="B8" s="56" t="s">
        <v>7</v>
      </c>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row>
    <row r="9" spans="1:32" s="20" customFormat="1" ht="19.95" customHeight="1" x14ac:dyDescent="0.25">
      <c r="C9" s="20" t="s">
        <v>689</v>
      </c>
    </row>
    <row r="10" spans="1:32" s="20" customFormat="1" ht="19.95" customHeight="1" x14ac:dyDescent="0.25">
      <c r="C10" s="20" t="s">
        <v>690</v>
      </c>
    </row>
    <row r="11" spans="1:32" s="20" customFormat="1" ht="19.95" customHeight="1" x14ac:dyDescent="0.25">
      <c r="C11" s="20" t="s">
        <v>691</v>
      </c>
    </row>
    <row r="12" spans="1:32" s="20" customFormat="1" ht="19.95" customHeight="1" x14ac:dyDescent="0.25">
      <c r="C12" s="20" t="s">
        <v>692</v>
      </c>
    </row>
    <row r="13" spans="1:32" ht="19.95" customHeight="1" x14ac:dyDescent="0.3"/>
    <row r="14" spans="1:32" s="52" customFormat="1" ht="21" x14ac:dyDescent="0.5">
      <c r="A14" s="56"/>
      <c r="B14" s="56" t="s">
        <v>8</v>
      </c>
      <c r="C14" s="56"/>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56"/>
    </row>
    <row r="15" spans="1:32" ht="19.95" customHeight="1" x14ac:dyDescent="0.3">
      <c r="B15" s="32"/>
      <c r="C15" s="32"/>
      <c r="D15" s="32"/>
      <c r="E15" s="32"/>
      <c r="F15" s="32"/>
      <c r="G15" s="32"/>
      <c r="H15" s="32"/>
      <c r="I15" s="32"/>
      <c r="J15" s="32"/>
      <c r="K15" s="32"/>
      <c r="L15" s="32"/>
      <c r="M15" s="32"/>
      <c r="N15" s="32"/>
      <c r="O15" s="32"/>
    </row>
    <row r="16" spans="1:32" ht="18" customHeight="1" x14ac:dyDescent="0.3">
      <c r="B16" s="32"/>
      <c r="C16" s="74" t="s">
        <v>668</v>
      </c>
      <c r="D16" s="74" t="s">
        <v>669</v>
      </c>
      <c r="E16" s="74" t="s">
        <v>1244</v>
      </c>
      <c r="J16" s="32"/>
      <c r="K16" s="32"/>
      <c r="L16" s="32"/>
      <c r="M16" s="32"/>
      <c r="N16" s="32"/>
      <c r="O16" s="32"/>
    </row>
    <row r="17" spans="1:32" ht="18" customHeight="1" x14ac:dyDescent="0.3">
      <c r="B17" s="32"/>
      <c r="C17" s="98">
        <v>8</v>
      </c>
      <c r="D17" s="119">
        <v>3</v>
      </c>
      <c r="E17" s="122">
        <f>QUOTIENT(C17, D17)</f>
        <v>2</v>
      </c>
      <c r="G17" s="21" t="str">
        <f ca="1">_xlfn.FORMULATEXT(E17)</f>
        <v>=QUOTIENT(C17, D17)</v>
      </c>
      <c r="I17" s="21" t="s">
        <v>693</v>
      </c>
      <c r="J17" s="32"/>
      <c r="K17" s="32"/>
      <c r="L17" s="32"/>
      <c r="M17" s="32"/>
      <c r="N17" s="32"/>
      <c r="O17" s="32"/>
    </row>
    <row r="18" spans="1:32" ht="18" customHeight="1" x14ac:dyDescent="0.3">
      <c r="B18" s="32"/>
      <c r="C18" s="98">
        <v>13</v>
      </c>
      <c r="D18" s="119">
        <v>10</v>
      </c>
      <c r="E18" s="122">
        <f t="shared" ref="E18:E23" si="0">QUOTIENT(C18, D18)</f>
        <v>1</v>
      </c>
      <c r="I18" s="21" t="s">
        <v>694</v>
      </c>
      <c r="J18" s="32"/>
      <c r="K18" s="32"/>
      <c r="L18" s="32"/>
      <c r="M18" s="32"/>
      <c r="N18" s="32"/>
      <c r="O18" s="32"/>
    </row>
    <row r="19" spans="1:32" ht="18" customHeight="1" x14ac:dyDescent="0.3">
      <c r="B19" s="32"/>
      <c r="C19" s="98">
        <v>535</v>
      </c>
      <c r="D19" s="119">
        <v>100</v>
      </c>
      <c r="E19" s="122">
        <f t="shared" si="0"/>
        <v>5</v>
      </c>
      <c r="I19" s="21" t="s">
        <v>695</v>
      </c>
      <c r="J19" s="32"/>
      <c r="K19" s="32"/>
      <c r="L19" s="32"/>
      <c r="M19" s="32"/>
      <c r="N19" s="32"/>
      <c r="O19" s="32"/>
    </row>
    <row r="20" spans="1:32" ht="18" customHeight="1" x14ac:dyDescent="0.3">
      <c r="B20" s="32"/>
      <c r="C20" s="98">
        <v>24</v>
      </c>
      <c r="D20" s="119">
        <v>12</v>
      </c>
      <c r="E20" s="122">
        <f t="shared" si="0"/>
        <v>2</v>
      </c>
      <c r="I20" s="21" t="s">
        <v>696</v>
      </c>
      <c r="J20" s="32"/>
      <c r="K20" s="32"/>
      <c r="L20" s="32"/>
      <c r="M20" s="32"/>
      <c r="N20" s="32"/>
      <c r="O20" s="32"/>
    </row>
    <row r="21" spans="1:32" ht="18" customHeight="1" x14ac:dyDescent="0.3">
      <c r="B21" s="32"/>
      <c r="C21" s="98">
        <v>53</v>
      </c>
      <c r="D21" s="119">
        <v>50</v>
      </c>
      <c r="E21" s="122">
        <f t="shared" si="0"/>
        <v>1</v>
      </c>
      <c r="I21" s="21" t="s">
        <v>675</v>
      </c>
      <c r="J21" s="32"/>
      <c r="K21" s="32"/>
      <c r="L21" s="32"/>
      <c r="M21" s="32"/>
      <c r="N21" s="32"/>
      <c r="O21" s="32"/>
    </row>
    <row r="22" spans="1:32" ht="18" customHeight="1" x14ac:dyDescent="0.3">
      <c r="B22" s="32"/>
      <c r="C22" s="98">
        <v>77</v>
      </c>
      <c r="D22" s="119">
        <v>5</v>
      </c>
      <c r="E22" s="122">
        <f t="shared" si="0"/>
        <v>15</v>
      </c>
      <c r="J22" s="32"/>
      <c r="K22" s="32"/>
      <c r="L22" s="32"/>
      <c r="M22" s="32"/>
      <c r="N22" s="32"/>
      <c r="O22" s="32"/>
    </row>
    <row r="23" spans="1:32" ht="18" customHeight="1" x14ac:dyDescent="0.3">
      <c r="B23" s="32"/>
      <c r="C23" s="98">
        <v>4</v>
      </c>
      <c r="D23" s="119">
        <v>3</v>
      </c>
      <c r="E23" s="122">
        <f t="shared" si="0"/>
        <v>1</v>
      </c>
      <c r="J23" s="32"/>
      <c r="K23" s="32"/>
      <c r="L23" s="32"/>
      <c r="M23" s="32"/>
      <c r="N23" s="32"/>
      <c r="O23" s="32"/>
    </row>
    <row r="24" spans="1:32" x14ac:dyDescent="0.3">
      <c r="B24" s="32"/>
      <c r="J24" s="32"/>
      <c r="K24" s="32"/>
      <c r="L24" s="32"/>
      <c r="M24" s="32"/>
      <c r="N24" s="32"/>
      <c r="O24" s="32"/>
    </row>
    <row r="25" spans="1:32" x14ac:dyDescent="0.3">
      <c r="B25" s="32"/>
      <c r="C25" s="32" t="s">
        <v>34</v>
      </c>
      <c r="J25" s="32"/>
      <c r="K25" s="32"/>
      <c r="L25" s="32"/>
      <c r="M25" s="32"/>
      <c r="N25" s="32"/>
      <c r="O25" s="32"/>
    </row>
    <row r="26" spans="1:32" x14ac:dyDescent="0.3">
      <c r="B26" s="32"/>
      <c r="C26" s="123" t="s">
        <v>697</v>
      </c>
      <c r="J26" s="32"/>
      <c r="K26" s="32"/>
      <c r="L26" s="32"/>
      <c r="M26" s="32"/>
      <c r="N26" s="32"/>
      <c r="O26" s="32"/>
    </row>
    <row r="27" spans="1:32" x14ac:dyDescent="0.3">
      <c r="B27" s="32"/>
      <c r="C27" s="21" t="s">
        <v>698</v>
      </c>
      <c r="J27" s="32"/>
      <c r="K27" s="32"/>
      <c r="L27" s="32"/>
      <c r="M27" s="32"/>
      <c r="N27" s="32"/>
      <c r="O27" s="32"/>
    </row>
    <row r="28" spans="1:32" x14ac:dyDescent="0.3">
      <c r="B28" s="32"/>
      <c r="C28" s="32"/>
      <c r="D28" s="32"/>
      <c r="E28" s="32"/>
      <c r="F28" s="32"/>
      <c r="G28" s="32"/>
      <c r="H28" s="32"/>
      <c r="I28" s="32"/>
      <c r="J28" s="32"/>
      <c r="K28" s="32"/>
      <c r="L28" s="32"/>
      <c r="M28" s="32"/>
      <c r="N28" s="32"/>
      <c r="O28" s="32"/>
    </row>
    <row r="29" spans="1:32" x14ac:dyDescent="0.3">
      <c r="B29" s="32"/>
      <c r="C29" s="32"/>
      <c r="D29" s="32"/>
      <c r="E29" s="32"/>
      <c r="F29" s="32"/>
      <c r="G29" s="32"/>
      <c r="H29" s="32"/>
      <c r="I29" s="32"/>
      <c r="J29" s="32"/>
      <c r="K29" s="32"/>
      <c r="L29" s="32"/>
      <c r="M29" s="32"/>
      <c r="N29" s="32"/>
      <c r="O29" s="32"/>
    </row>
    <row r="30" spans="1:32" s="52" customFormat="1" ht="21" x14ac:dyDescent="0.5">
      <c r="A30" s="56"/>
      <c r="B30" s="56" t="s">
        <v>699</v>
      </c>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c r="AF30" s="56"/>
    </row>
    <row r="31" spans="1:32" ht="19.95" customHeight="1" x14ac:dyDescent="0.3"/>
    <row r="33" spans="1:32" s="20" customFormat="1" ht="19.95" customHeight="1" x14ac:dyDescent="0.3">
      <c r="A33" s="21"/>
      <c r="B33" s="21"/>
      <c r="C33" s="21"/>
      <c r="D33" s="21" t="s">
        <v>679</v>
      </c>
      <c r="E33" s="21"/>
      <c r="F33" s="78">
        <v>1</v>
      </c>
      <c r="G33" s="78">
        <f>F33 + 1</f>
        <v>2</v>
      </c>
      <c r="H33" s="78">
        <f t="shared" ref="H33:AF33" si="1">G33 + 1</f>
        <v>3</v>
      </c>
      <c r="I33" s="78">
        <f t="shared" si="1"/>
        <v>4</v>
      </c>
      <c r="J33" s="78">
        <f t="shared" si="1"/>
        <v>5</v>
      </c>
      <c r="K33" s="78">
        <f t="shared" si="1"/>
        <v>6</v>
      </c>
      <c r="L33" s="78">
        <f t="shared" si="1"/>
        <v>7</v>
      </c>
      <c r="M33" s="78">
        <f t="shared" si="1"/>
        <v>8</v>
      </c>
      <c r="N33" s="78">
        <f t="shared" si="1"/>
        <v>9</v>
      </c>
      <c r="O33" s="78">
        <f t="shared" si="1"/>
        <v>10</v>
      </c>
      <c r="P33" s="78">
        <f t="shared" si="1"/>
        <v>11</v>
      </c>
      <c r="Q33" s="78">
        <f t="shared" si="1"/>
        <v>12</v>
      </c>
      <c r="R33" s="78">
        <f t="shared" si="1"/>
        <v>13</v>
      </c>
      <c r="S33" s="78">
        <f t="shared" si="1"/>
        <v>14</v>
      </c>
      <c r="T33" s="78">
        <f t="shared" si="1"/>
        <v>15</v>
      </c>
      <c r="U33" s="78">
        <f t="shared" si="1"/>
        <v>16</v>
      </c>
      <c r="V33" s="78">
        <f t="shared" si="1"/>
        <v>17</v>
      </c>
      <c r="W33" s="78">
        <f t="shared" si="1"/>
        <v>18</v>
      </c>
      <c r="X33" s="78">
        <f t="shared" si="1"/>
        <v>19</v>
      </c>
      <c r="Y33" s="78">
        <f t="shared" si="1"/>
        <v>20</v>
      </c>
      <c r="Z33" s="78">
        <f t="shared" si="1"/>
        <v>21</v>
      </c>
      <c r="AA33" s="78">
        <f t="shared" si="1"/>
        <v>22</v>
      </c>
      <c r="AB33" s="78">
        <f t="shared" si="1"/>
        <v>23</v>
      </c>
      <c r="AC33" s="78">
        <f t="shared" si="1"/>
        <v>24</v>
      </c>
      <c r="AD33" s="78">
        <f t="shared" si="1"/>
        <v>25</v>
      </c>
      <c r="AE33" s="78">
        <f t="shared" si="1"/>
        <v>26</v>
      </c>
      <c r="AF33" s="78">
        <f t="shared" si="1"/>
        <v>27</v>
      </c>
    </row>
    <row r="34" spans="1:32" s="20" customFormat="1" ht="19.95" customHeight="1" x14ac:dyDescent="0.3">
      <c r="A34" s="21"/>
      <c r="B34" s="21"/>
      <c r="C34" s="21"/>
      <c r="D34" s="21" t="s">
        <v>700</v>
      </c>
      <c r="E34" s="21"/>
      <c r="F34" s="78">
        <f>QUOTIENT(F33-1,12) + 1</f>
        <v>1</v>
      </c>
      <c r="G34" s="78">
        <f t="shared" ref="G34:AF34" si="2">QUOTIENT(G33-1,12) + 1</f>
        <v>1</v>
      </c>
      <c r="H34" s="78">
        <f t="shared" si="2"/>
        <v>1</v>
      </c>
      <c r="I34" s="78">
        <f t="shared" si="2"/>
        <v>1</v>
      </c>
      <c r="J34" s="78">
        <f t="shared" si="2"/>
        <v>1</v>
      </c>
      <c r="K34" s="78">
        <f t="shared" si="2"/>
        <v>1</v>
      </c>
      <c r="L34" s="78">
        <f t="shared" si="2"/>
        <v>1</v>
      </c>
      <c r="M34" s="78">
        <f t="shared" si="2"/>
        <v>1</v>
      </c>
      <c r="N34" s="78">
        <f t="shared" si="2"/>
        <v>1</v>
      </c>
      <c r="O34" s="78">
        <f t="shared" si="2"/>
        <v>1</v>
      </c>
      <c r="P34" s="78">
        <f t="shared" si="2"/>
        <v>1</v>
      </c>
      <c r="Q34" s="78">
        <f t="shared" si="2"/>
        <v>1</v>
      </c>
      <c r="R34" s="78">
        <f t="shared" si="2"/>
        <v>2</v>
      </c>
      <c r="S34" s="78">
        <f t="shared" si="2"/>
        <v>2</v>
      </c>
      <c r="T34" s="78">
        <f t="shared" si="2"/>
        <v>2</v>
      </c>
      <c r="U34" s="78">
        <f t="shared" si="2"/>
        <v>2</v>
      </c>
      <c r="V34" s="78">
        <f t="shared" si="2"/>
        <v>2</v>
      </c>
      <c r="W34" s="78">
        <f t="shared" si="2"/>
        <v>2</v>
      </c>
      <c r="X34" s="78">
        <f t="shared" si="2"/>
        <v>2</v>
      </c>
      <c r="Y34" s="78">
        <f t="shared" si="2"/>
        <v>2</v>
      </c>
      <c r="Z34" s="78">
        <f t="shared" si="2"/>
        <v>2</v>
      </c>
      <c r="AA34" s="78">
        <f t="shared" si="2"/>
        <v>2</v>
      </c>
      <c r="AB34" s="78">
        <f t="shared" si="2"/>
        <v>2</v>
      </c>
      <c r="AC34" s="78">
        <f t="shared" si="2"/>
        <v>2</v>
      </c>
      <c r="AD34" s="78">
        <f t="shared" si="2"/>
        <v>3</v>
      </c>
      <c r="AE34" s="78">
        <f t="shared" si="2"/>
        <v>3</v>
      </c>
      <c r="AF34" s="78">
        <f t="shared" si="2"/>
        <v>3</v>
      </c>
    </row>
    <row r="35" spans="1:32" x14ac:dyDescent="0.3">
      <c r="D35" s="21" t="s">
        <v>681</v>
      </c>
      <c r="F35" s="78">
        <f>MOD(QUOTIENT(F33-1, 3), 4) + 1</f>
        <v>1</v>
      </c>
      <c r="G35" s="78">
        <f t="shared" ref="G35:AF35" si="3">MOD(QUOTIENT(G33-1, 3), 4) + 1</f>
        <v>1</v>
      </c>
      <c r="H35" s="78">
        <f t="shared" si="3"/>
        <v>1</v>
      </c>
      <c r="I35" s="78">
        <f t="shared" si="3"/>
        <v>2</v>
      </c>
      <c r="J35" s="78">
        <f t="shared" si="3"/>
        <v>2</v>
      </c>
      <c r="K35" s="78">
        <f t="shared" si="3"/>
        <v>2</v>
      </c>
      <c r="L35" s="78">
        <f t="shared" si="3"/>
        <v>3</v>
      </c>
      <c r="M35" s="78">
        <f t="shared" si="3"/>
        <v>3</v>
      </c>
      <c r="N35" s="78">
        <f t="shared" si="3"/>
        <v>3</v>
      </c>
      <c r="O35" s="78">
        <f t="shared" si="3"/>
        <v>4</v>
      </c>
      <c r="P35" s="78">
        <f t="shared" si="3"/>
        <v>4</v>
      </c>
      <c r="Q35" s="78">
        <f t="shared" si="3"/>
        <v>4</v>
      </c>
      <c r="R35" s="78">
        <f t="shared" si="3"/>
        <v>1</v>
      </c>
      <c r="S35" s="78">
        <f t="shared" si="3"/>
        <v>1</v>
      </c>
      <c r="T35" s="78">
        <f t="shared" si="3"/>
        <v>1</v>
      </c>
      <c r="U35" s="78">
        <f t="shared" si="3"/>
        <v>2</v>
      </c>
      <c r="V35" s="78">
        <f t="shared" si="3"/>
        <v>2</v>
      </c>
      <c r="W35" s="78">
        <f t="shared" si="3"/>
        <v>2</v>
      </c>
      <c r="X35" s="78">
        <f t="shared" si="3"/>
        <v>3</v>
      </c>
      <c r="Y35" s="78">
        <f t="shared" si="3"/>
        <v>3</v>
      </c>
      <c r="Z35" s="78">
        <f t="shared" si="3"/>
        <v>3</v>
      </c>
      <c r="AA35" s="78">
        <f t="shared" si="3"/>
        <v>4</v>
      </c>
      <c r="AB35" s="78">
        <f t="shared" si="3"/>
        <v>4</v>
      </c>
      <c r="AC35" s="78">
        <f t="shared" si="3"/>
        <v>4</v>
      </c>
      <c r="AD35" s="78">
        <f t="shared" si="3"/>
        <v>1</v>
      </c>
      <c r="AE35" s="78">
        <f t="shared" si="3"/>
        <v>1</v>
      </c>
      <c r="AF35" s="78">
        <f t="shared" si="3"/>
        <v>1</v>
      </c>
    </row>
    <row r="46" spans="1:32" ht="28.2" customHeight="1" x14ac:dyDescent="0.3"/>
  </sheetData>
  <printOptions horizontalCentered="1"/>
  <pageMargins left="0.15748031496062992" right="0.15748031496062992" top="0.78740157480314965" bottom="0.78740157480314965" header="0.51181102362204722" footer="0.51181102362204722"/>
  <pageSetup paperSize="9" scale="47" orientation="portrait" r:id="rId1"/>
  <headerFooter alignWithMargins="0">
    <oddFooter xml:space="preserve">&amp;CClarity Consultancy Services Ltd   info@clarityconsultancyservices.co.uk
Registered in the UK (6619745). Registered Office:  Suite 6 Bourne Gate, Bourne Valley Rd, Poole, BH12 1DY
</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AD79D-DB50-47DA-9C4B-9B88A0358B8F}">
  <sheetPr>
    <pageSetUpPr fitToPage="1"/>
  </sheetPr>
  <dimension ref="A1:R56"/>
  <sheetViews>
    <sheetView showGridLines="0" zoomScaleNormal="100" workbookViewId="0">
      <pane ySplit="1" topLeftCell="A2" activePane="bottomLeft" state="frozen"/>
      <selection pane="bottomLeft"/>
    </sheetView>
  </sheetViews>
  <sheetFormatPr defaultColWidth="0" defaultRowHeight="16.8" x14ac:dyDescent="0.3"/>
  <cols>
    <col min="1" max="2" width="3.6640625" style="21" customWidth="1"/>
    <col min="3" max="3" width="24.44140625" style="21" customWidth="1"/>
    <col min="4" max="4" width="15.6640625" style="21" customWidth="1"/>
    <col min="5" max="5" width="13.6640625" style="21" customWidth="1"/>
    <col min="6" max="6" width="17.33203125" style="21" customWidth="1"/>
    <col min="7" max="7" width="13.109375" style="21" customWidth="1"/>
    <col min="8" max="13" width="11.109375" style="21" customWidth="1"/>
    <col min="14" max="14" width="78.33203125" style="21" customWidth="1"/>
    <col min="15" max="15" width="61" style="21" customWidth="1"/>
    <col min="16" max="18" width="8.77734375" style="21" customWidth="1"/>
    <col min="19" max="16384" width="0" style="21" hidden="1"/>
  </cols>
  <sheetData>
    <row r="1" spans="1:18" s="52" customFormat="1" ht="49.95" customHeight="1" x14ac:dyDescent="0.3">
      <c r="A1" s="49"/>
      <c r="B1" s="50" t="s">
        <v>701</v>
      </c>
      <c r="C1" s="49"/>
      <c r="D1" s="49"/>
      <c r="E1" s="49"/>
      <c r="F1" s="51"/>
      <c r="G1" s="51"/>
      <c r="H1" s="51"/>
      <c r="I1" s="51"/>
      <c r="J1" s="51"/>
      <c r="K1" s="51"/>
      <c r="L1" s="51"/>
      <c r="M1" s="51"/>
      <c r="N1" s="51"/>
      <c r="O1" s="51"/>
      <c r="P1" s="51"/>
      <c r="Q1" s="51"/>
      <c r="R1" s="51"/>
    </row>
    <row r="2" spans="1:18" ht="12" customHeight="1" x14ac:dyDescent="0.3">
      <c r="A2" s="121"/>
    </row>
    <row r="3" spans="1:18" ht="21" x14ac:dyDescent="0.5">
      <c r="B3" s="53" t="s">
        <v>702</v>
      </c>
      <c r="C3" s="53"/>
    </row>
    <row r="4" spans="1:18" ht="12" customHeight="1" x14ac:dyDescent="0.5">
      <c r="B4" s="53"/>
      <c r="C4" s="53"/>
    </row>
    <row r="5" spans="1:18" ht="21" x14ac:dyDescent="0.5">
      <c r="B5" s="53"/>
      <c r="C5" s="53" t="s">
        <v>703</v>
      </c>
    </row>
    <row r="6" spans="1:18" x14ac:dyDescent="0.3">
      <c r="B6" s="54"/>
    </row>
    <row r="7" spans="1:18" s="52" customFormat="1" ht="21" x14ac:dyDescent="0.5">
      <c r="A7" s="56"/>
      <c r="B7" s="56" t="s">
        <v>7</v>
      </c>
      <c r="C7" s="56"/>
      <c r="D7" s="56"/>
      <c r="E7" s="56"/>
      <c r="F7" s="56"/>
      <c r="G7" s="56"/>
      <c r="H7" s="56"/>
      <c r="I7" s="56"/>
      <c r="J7" s="56"/>
      <c r="K7" s="56"/>
      <c r="L7" s="56"/>
      <c r="M7" s="56"/>
      <c r="N7" s="56"/>
      <c r="O7" s="56"/>
      <c r="P7" s="56"/>
      <c r="Q7" s="56"/>
      <c r="R7" s="56"/>
    </row>
    <row r="8" spans="1:18" s="20" customFormat="1" ht="19.95" customHeight="1" x14ac:dyDescent="0.25">
      <c r="C8" s="20" t="s">
        <v>704</v>
      </c>
    </row>
    <row r="9" spans="1:18" s="20" customFormat="1" ht="19.95" customHeight="1" x14ac:dyDescent="0.25">
      <c r="C9" s="20" t="s">
        <v>705</v>
      </c>
    </row>
    <row r="10" spans="1:18" s="20" customFormat="1" ht="19.95" customHeight="1" x14ac:dyDescent="0.25">
      <c r="C10" s="20" t="s">
        <v>706</v>
      </c>
    </row>
    <row r="11" spans="1:18" s="20" customFormat="1" ht="19.95" customHeight="1" x14ac:dyDescent="0.25">
      <c r="C11" s="20" t="s">
        <v>707</v>
      </c>
    </row>
    <row r="12" spans="1:18" s="20" customFormat="1" ht="19.95" customHeight="1" x14ac:dyDescent="0.25">
      <c r="C12" s="20" t="s">
        <v>1335</v>
      </c>
    </row>
    <row r="13" spans="1:18" ht="19.95" customHeight="1" x14ac:dyDescent="0.3"/>
    <row r="14" spans="1:18" s="52" customFormat="1" ht="21" x14ac:dyDescent="0.5">
      <c r="A14" s="56"/>
      <c r="B14" s="56" t="s">
        <v>8</v>
      </c>
      <c r="C14" s="56"/>
      <c r="D14" s="56"/>
      <c r="E14" s="56"/>
      <c r="F14" s="56"/>
      <c r="G14" s="56"/>
      <c r="H14" s="56"/>
      <c r="I14" s="56"/>
      <c r="J14" s="56"/>
      <c r="K14" s="56"/>
      <c r="L14" s="56"/>
      <c r="M14" s="56"/>
      <c r="N14" s="56"/>
      <c r="O14" s="56"/>
      <c r="P14" s="56"/>
      <c r="Q14" s="56"/>
      <c r="R14" s="56"/>
    </row>
    <row r="15" spans="1:18" ht="16.95" customHeight="1" x14ac:dyDescent="0.3"/>
    <row r="16" spans="1:18" ht="16.95" customHeight="1" x14ac:dyDescent="0.3"/>
    <row r="17" spans="3:7" ht="16.95" customHeight="1" x14ac:dyDescent="0.3">
      <c r="C17" s="21" t="s">
        <v>668</v>
      </c>
      <c r="D17" s="124">
        <v>3.7559999999999998</v>
      </c>
      <c r="E17" s="125">
        <f>INT(D17)</f>
        <v>3</v>
      </c>
      <c r="F17" s="21" t="str">
        <f ca="1">_xlfn.FORMULATEXT(E17)</f>
        <v>=INT(D17)</v>
      </c>
      <c r="G17" s="21" t="s">
        <v>708</v>
      </c>
    </row>
    <row r="18" spans="3:7" ht="16.95" customHeight="1" x14ac:dyDescent="0.3">
      <c r="D18" s="124">
        <v>-3.7559999999999998</v>
      </c>
      <c r="E18" s="125">
        <f>INT(D18)</f>
        <v>-4</v>
      </c>
      <c r="F18" s="21" t="str">
        <f ca="1">_xlfn.FORMULATEXT(E18)</f>
        <v>=INT(D18)</v>
      </c>
      <c r="G18" s="21" t="s">
        <v>709</v>
      </c>
    </row>
    <row r="19" spans="3:7" ht="16.95" customHeight="1" x14ac:dyDescent="0.3">
      <c r="D19" s="124">
        <v>-3.7559999999999998</v>
      </c>
      <c r="E19" s="125">
        <f>TRUNC(D19)</f>
        <v>-3</v>
      </c>
      <c r="F19" s="21" t="str">
        <f ca="1">_xlfn.FORMULATEXT(E19)</f>
        <v>=TRUNC(D19)</v>
      </c>
      <c r="G19" s="21" t="s">
        <v>710</v>
      </c>
    </row>
    <row r="20" spans="3:7" ht="16.95" customHeight="1" x14ac:dyDescent="0.3"/>
    <row r="21" spans="3:7" ht="16.95" customHeight="1" x14ac:dyDescent="0.3">
      <c r="G21" s="126"/>
    </row>
    <row r="22" spans="3:7" ht="16.95" customHeight="1" x14ac:dyDescent="0.3"/>
    <row r="23" spans="3:7" ht="16.95" customHeight="1" x14ac:dyDescent="0.3">
      <c r="C23" s="74" t="s">
        <v>668</v>
      </c>
      <c r="D23" s="74" t="s">
        <v>669</v>
      </c>
      <c r="E23" s="74" t="s">
        <v>711</v>
      </c>
      <c r="F23" s="74" t="s">
        <v>712</v>
      </c>
    </row>
    <row r="24" spans="3:7" ht="16.95" customHeight="1" x14ac:dyDescent="0.3">
      <c r="C24" s="98">
        <v>8</v>
      </c>
      <c r="D24" s="119">
        <v>3</v>
      </c>
      <c r="E24" s="127">
        <f>C24 / D24</f>
        <v>2.6666666666666665</v>
      </c>
      <c r="F24" s="127">
        <f>INT(E24)</f>
        <v>2</v>
      </c>
      <c r="G24" s="21" t="str">
        <f ca="1">_xlfn.FORMULATEXT(F24)</f>
        <v>=INT(E24)</v>
      </c>
    </row>
    <row r="25" spans="3:7" ht="16.95" customHeight="1" x14ac:dyDescent="0.3">
      <c r="C25" s="98">
        <v>13</v>
      </c>
      <c r="D25" s="119">
        <v>10</v>
      </c>
      <c r="E25" s="127">
        <f t="shared" ref="E25:E30" si="0">C25 / D25</f>
        <v>1.3</v>
      </c>
      <c r="F25" s="127">
        <f t="shared" ref="F25:F30" si="1">INT(E25)</f>
        <v>1</v>
      </c>
    </row>
    <row r="26" spans="3:7" ht="16.95" customHeight="1" x14ac:dyDescent="0.3">
      <c r="C26" s="98">
        <v>535</v>
      </c>
      <c r="D26" s="119">
        <v>100</v>
      </c>
      <c r="E26" s="127">
        <f t="shared" si="0"/>
        <v>5.35</v>
      </c>
      <c r="F26" s="127">
        <f t="shared" si="1"/>
        <v>5</v>
      </c>
    </row>
    <row r="27" spans="3:7" ht="16.95" customHeight="1" x14ac:dyDescent="0.3">
      <c r="C27" s="98">
        <v>24</v>
      </c>
      <c r="D27" s="119">
        <v>12</v>
      </c>
      <c r="E27" s="127">
        <f t="shared" si="0"/>
        <v>2</v>
      </c>
      <c r="F27" s="127">
        <f t="shared" si="1"/>
        <v>2</v>
      </c>
    </row>
    <row r="28" spans="3:7" ht="16.95" customHeight="1" x14ac:dyDescent="0.3">
      <c r="C28" s="98">
        <v>53</v>
      </c>
      <c r="D28" s="119">
        <v>50</v>
      </c>
      <c r="E28" s="127">
        <f t="shared" si="0"/>
        <v>1.06</v>
      </c>
      <c r="F28" s="127">
        <f t="shared" si="1"/>
        <v>1</v>
      </c>
    </row>
    <row r="29" spans="3:7" ht="16.95" customHeight="1" x14ac:dyDescent="0.3">
      <c r="C29" s="98">
        <v>77</v>
      </c>
      <c r="D29" s="119">
        <v>5</v>
      </c>
      <c r="E29" s="127">
        <f t="shared" si="0"/>
        <v>15.4</v>
      </c>
      <c r="F29" s="127">
        <f t="shared" si="1"/>
        <v>15</v>
      </c>
    </row>
    <row r="30" spans="3:7" ht="16.95" customHeight="1" x14ac:dyDescent="0.3">
      <c r="C30" s="98">
        <v>-4</v>
      </c>
      <c r="D30" s="119">
        <v>3</v>
      </c>
      <c r="E30" s="127">
        <f t="shared" si="0"/>
        <v>-1.3333333333333333</v>
      </c>
      <c r="F30" s="127">
        <f t="shared" si="1"/>
        <v>-2</v>
      </c>
    </row>
    <row r="31" spans="3:7" ht="16.95" customHeight="1" x14ac:dyDescent="0.3"/>
    <row r="32" spans="3:7" ht="16.95" customHeight="1" x14ac:dyDescent="0.3"/>
    <row r="33" spans="1:18" x14ac:dyDescent="0.3">
      <c r="C33" s="32" t="s">
        <v>34</v>
      </c>
    </row>
    <row r="34" spans="1:18" x14ac:dyDescent="0.3">
      <c r="C34" s="123" t="s">
        <v>713</v>
      </c>
    </row>
    <row r="35" spans="1:18" x14ac:dyDescent="0.3">
      <c r="C35" s="21" t="s">
        <v>714</v>
      </c>
    </row>
    <row r="38" spans="1:18" s="52" customFormat="1" ht="21" x14ac:dyDescent="0.5">
      <c r="A38" s="56"/>
      <c r="B38" s="56" t="s">
        <v>715</v>
      </c>
      <c r="C38" s="56"/>
      <c r="D38" s="56"/>
      <c r="E38" s="56"/>
      <c r="F38" s="56"/>
      <c r="G38" s="56"/>
      <c r="H38" s="56"/>
      <c r="I38" s="56"/>
      <c r="J38" s="56"/>
      <c r="K38" s="56"/>
      <c r="L38" s="56"/>
      <c r="M38" s="56"/>
      <c r="N38" s="56"/>
      <c r="O38" s="56"/>
      <c r="P38" s="56"/>
      <c r="Q38" s="56"/>
      <c r="R38" s="56"/>
    </row>
    <row r="39" spans="1:18" ht="12" customHeight="1" x14ac:dyDescent="0.3"/>
    <row r="40" spans="1:18" ht="19.95" customHeight="1" x14ac:dyDescent="0.3"/>
    <row r="41" spans="1:18" ht="19.95" customHeight="1" x14ac:dyDescent="0.3">
      <c r="C41" s="74" t="s">
        <v>716</v>
      </c>
      <c r="D41" s="74" t="s">
        <v>717</v>
      </c>
      <c r="E41" s="74" t="s">
        <v>68</v>
      </c>
    </row>
    <row r="42" spans="1:18" ht="19.95" customHeight="1" x14ac:dyDescent="0.3">
      <c r="C42" s="98" t="s">
        <v>531</v>
      </c>
      <c r="D42" s="128">
        <v>37316</v>
      </c>
      <c r="E42" s="122">
        <f ca="1">INT(YEARFRAC(D42,TODAY()))</f>
        <v>21</v>
      </c>
      <c r="F42" s="21" t="str">
        <f ca="1">_xlfn.FORMULATEXT(E42)</f>
        <v>=INT(YEARFRAC(D42,TODAY()))</v>
      </c>
    </row>
    <row r="43" spans="1:18" ht="19.95" customHeight="1" x14ac:dyDescent="0.3">
      <c r="C43" s="98" t="s">
        <v>718</v>
      </c>
      <c r="D43" s="128">
        <v>34417</v>
      </c>
      <c r="E43" s="122">
        <f t="shared" ref="E43:E48" ca="1" si="2">INT(YEARFRAC(D43,TODAY()))</f>
        <v>29</v>
      </c>
    </row>
    <row r="44" spans="1:18" ht="19.95" customHeight="1" x14ac:dyDescent="0.3">
      <c r="C44" s="98" t="s">
        <v>719</v>
      </c>
      <c r="D44" s="128">
        <v>21808</v>
      </c>
      <c r="E44" s="122">
        <f t="shared" ca="1" si="2"/>
        <v>64</v>
      </c>
    </row>
    <row r="45" spans="1:18" ht="19.95" customHeight="1" x14ac:dyDescent="0.3">
      <c r="C45" s="98" t="s">
        <v>720</v>
      </c>
      <c r="D45" s="128">
        <v>38321</v>
      </c>
      <c r="E45" s="122">
        <f t="shared" ca="1" si="2"/>
        <v>19</v>
      </c>
    </row>
    <row r="46" spans="1:18" ht="19.95" customHeight="1" x14ac:dyDescent="0.3">
      <c r="C46" s="98" t="s">
        <v>721</v>
      </c>
      <c r="D46" s="128">
        <v>34426</v>
      </c>
      <c r="E46" s="122">
        <f t="shared" ca="1" si="2"/>
        <v>29</v>
      </c>
    </row>
    <row r="47" spans="1:18" ht="19.95" customHeight="1" x14ac:dyDescent="0.3">
      <c r="C47" s="98" t="s">
        <v>534</v>
      </c>
      <c r="D47" s="128">
        <v>36526</v>
      </c>
      <c r="E47" s="122">
        <f t="shared" ca="1" si="2"/>
        <v>24</v>
      </c>
    </row>
    <row r="48" spans="1:18" ht="19.95" customHeight="1" x14ac:dyDescent="0.3">
      <c r="C48" s="98" t="s">
        <v>722</v>
      </c>
      <c r="D48" s="128">
        <v>24729</v>
      </c>
      <c r="E48" s="122">
        <f t="shared" ca="1" si="2"/>
        <v>56</v>
      </c>
    </row>
    <row r="50" spans="3:3" x14ac:dyDescent="0.3">
      <c r="C50" s="21" t="s">
        <v>1336</v>
      </c>
    </row>
    <row r="51" spans="3:3" x14ac:dyDescent="0.3">
      <c r="C51" s="21" t="s">
        <v>723</v>
      </c>
    </row>
    <row r="52" spans="3:3" x14ac:dyDescent="0.3">
      <c r="C52" s="21" t="s">
        <v>724</v>
      </c>
    </row>
    <row r="55" spans="3:3" ht="12" customHeight="1" x14ac:dyDescent="0.3"/>
    <row r="56" spans="3:3" ht="12" customHeight="1" x14ac:dyDescent="0.3"/>
  </sheetData>
  <printOptions horizontalCentered="1"/>
  <pageMargins left="0.15748031496062992" right="0.15748031496062992" top="0.78740157480314965" bottom="0.78740157480314965" header="0.51181102362204722" footer="0.51181102362204722"/>
  <pageSetup paperSize="9" scale="47" orientation="portrait" r:id="rId1"/>
  <headerFooter alignWithMargins="0">
    <oddFooter xml:space="preserve">&amp;CClarity Consultancy Services Ltd   info@clarityconsultancyservices.co.uk
Registered in the UK (6619745). Registered Office:  Suite 6 Bourne Gate, Bourne Valley Rd, Poole, BH12 1DY
</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40355-D67B-5845-A9F5-412641061BD9}">
  <sheetPr>
    <pageSetUpPr fitToPage="1"/>
  </sheetPr>
  <dimension ref="A1:R40"/>
  <sheetViews>
    <sheetView showGridLines="0" zoomScaleNormal="100" workbookViewId="0">
      <pane ySplit="1" topLeftCell="A2" activePane="bottomLeft" state="frozen"/>
      <selection pane="bottomLeft"/>
    </sheetView>
  </sheetViews>
  <sheetFormatPr defaultColWidth="0" defaultRowHeight="16.8" x14ac:dyDescent="0.3"/>
  <cols>
    <col min="1" max="2" width="3.6640625" style="21" customWidth="1"/>
    <col min="3" max="3" width="24.44140625" style="21" customWidth="1"/>
    <col min="4" max="4" width="15.6640625" style="21" customWidth="1"/>
    <col min="5" max="5" width="13.6640625" style="21" customWidth="1"/>
    <col min="6" max="6" width="17.33203125" style="21" customWidth="1"/>
    <col min="7" max="7" width="13.109375" style="21" customWidth="1"/>
    <col min="8" max="13" width="11.109375" style="21" customWidth="1"/>
    <col min="14" max="14" width="78.33203125" style="21" customWidth="1"/>
    <col min="15" max="15" width="61" style="21" customWidth="1"/>
    <col min="16" max="18" width="8.77734375" style="21" customWidth="1"/>
    <col min="19" max="16384" width="0" style="21" hidden="1"/>
  </cols>
  <sheetData>
    <row r="1" spans="1:18" s="52" customFormat="1" ht="49.95" customHeight="1" x14ac:dyDescent="0.3">
      <c r="A1" s="49"/>
      <c r="B1" s="50" t="s">
        <v>1260</v>
      </c>
      <c r="C1" s="49"/>
      <c r="D1" s="49"/>
      <c r="E1" s="49"/>
      <c r="F1" s="51"/>
      <c r="G1" s="51"/>
      <c r="H1" s="51"/>
      <c r="I1" s="51"/>
      <c r="J1" s="51"/>
      <c r="K1" s="51"/>
      <c r="L1" s="51"/>
      <c r="M1" s="51"/>
      <c r="N1" s="51"/>
      <c r="O1" s="51"/>
      <c r="P1" s="51"/>
      <c r="Q1" s="51"/>
      <c r="R1" s="51"/>
    </row>
    <row r="2" spans="1:18" ht="12" customHeight="1" x14ac:dyDescent="0.3">
      <c r="A2" s="121"/>
    </row>
    <row r="3" spans="1:18" ht="21" x14ac:dyDescent="0.5">
      <c r="B3" s="53" t="s">
        <v>1261</v>
      </c>
      <c r="C3" s="53"/>
    </row>
    <row r="4" spans="1:18" ht="12" customHeight="1" x14ac:dyDescent="0.5">
      <c r="B4" s="53"/>
      <c r="C4" s="53"/>
    </row>
    <row r="5" spans="1:18" ht="21" x14ac:dyDescent="0.5">
      <c r="B5" s="53"/>
      <c r="C5" s="53" t="s">
        <v>1263</v>
      </c>
    </row>
    <row r="6" spans="1:18" ht="21" x14ac:dyDescent="0.5">
      <c r="B6" s="53"/>
      <c r="C6" s="53" t="s">
        <v>1266</v>
      </c>
    </row>
    <row r="7" spans="1:18" ht="21" x14ac:dyDescent="0.5">
      <c r="B7" s="53"/>
      <c r="C7" s="53"/>
    </row>
    <row r="8" spans="1:18" ht="21" x14ac:dyDescent="0.5">
      <c r="B8" s="53" t="s">
        <v>1262</v>
      </c>
      <c r="C8" s="53"/>
    </row>
    <row r="9" spans="1:18" ht="21" x14ac:dyDescent="0.5">
      <c r="B9" s="53"/>
      <c r="C9" s="53"/>
    </row>
    <row r="10" spans="1:18" ht="21" x14ac:dyDescent="0.5">
      <c r="B10" s="53"/>
      <c r="C10" s="53" t="s">
        <v>1264</v>
      </c>
    </row>
    <row r="11" spans="1:18" ht="21" x14ac:dyDescent="0.5">
      <c r="B11" s="53"/>
      <c r="C11" s="53" t="s">
        <v>1265</v>
      </c>
    </row>
    <row r="12" spans="1:18" ht="21" x14ac:dyDescent="0.5">
      <c r="B12" s="53"/>
      <c r="C12" s="53"/>
    </row>
    <row r="13" spans="1:18" ht="21" x14ac:dyDescent="0.5">
      <c r="B13" s="53" t="s">
        <v>1267</v>
      </c>
      <c r="C13" s="53"/>
    </row>
    <row r="14" spans="1:18" ht="21" x14ac:dyDescent="0.5">
      <c r="B14" s="53"/>
      <c r="C14" s="53"/>
    </row>
    <row r="15" spans="1:18" ht="21" x14ac:dyDescent="0.5">
      <c r="B15" s="53"/>
      <c r="C15" s="53" t="s">
        <v>1268</v>
      </c>
    </row>
    <row r="16" spans="1:18" ht="21" x14ac:dyDescent="0.5">
      <c r="B16" s="53"/>
      <c r="C16" s="53" t="s">
        <v>1269</v>
      </c>
    </row>
    <row r="17" spans="1:18" x14ac:dyDescent="0.3">
      <c r="B17" s="54"/>
    </row>
    <row r="18" spans="1:18" x14ac:dyDescent="0.3">
      <c r="B18" s="54"/>
    </row>
    <row r="19" spans="1:18" x14ac:dyDescent="0.3">
      <c r="B19" s="54"/>
    </row>
    <row r="20" spans="1:18" s="52" customFormat="1" ht="21" x14ac:dyDescent="0.5">
      <c r="A20" s="56"/>
      <c r="B20" s="56" t="s">
        <v>7</v>
      </c>
      <c r="C20" s="56"/>
      <c r="D20" s="56"/>
      <c r="E20" s="56"/>
      <c r="F20" s="56"/>
      <c r="G20" s="56"/>
      <c r="H20" s="56"/>
      <c r="I20" s="56"/>
      <c r="J20" s="56"/>
      <c r="K20" s="56"/>
      <c r="L20" s="56"/>
      <c r="M20" s="56"/>
      <c r="N20" s="56"/>
      <c r="O20" s="56"/>
      <c r="P20" s="56"/>
      <c r="Q20" s="56"/>
      <c r="R20" s="56"/>
    </row>
    <row r="21" spans="1:18" s="20" customFormat="1" ht="19.95" customHeight="1" x14ac:dyDescent="0.25">
      <c r="C21" s="20" t="s">
        <v>1270</v>
      </c>
    </row>
    <row r="22" spans="1:18" s="20" customFormat="1" ht="19.95" customHeight="1" x14ac:dyDescent="0.25">
      <c r="C22" s="20" t="s">
        <v>1271</v>
      </c>
    </row>
    <row r="23" spans="1:18" s="20" customFormat="1" ht="19.95" customHeight="1" x14ac:dyDescent="0.25">
      <c r="C23" s="20" t="s">
        <v>1272</v>
      </c>
    </row>
    <row r="24" spans="1:18" s="20" customFormat="1" ht="19.95" customHeight="1" x14ac:dyDescent="0.25"/>
    <row r="25" spans="1:18" s="52" customFormat="1" ht="21" x14ac:dyDescent="0.5">
      <c r="A25" s="56"/>
      <c r="B25" s="56" t="s">
        <v>8</v>
      </c>
      <c r="C25" s="56"/>
      <c r="D25" s="56"/>
      <c r="E25" s="56"/>
      <c r="F25" s="56"/>
      <c r="G25" s="56"/>
      <c r="H25" s="56"/>
      <c r="I25" s="56"/>
      <c r="J25" s="56"/>
      <c r="K25" s="56"/>
      <c r="L25" s="56"/>
      <c r="M25" s="56"/>
      <c r="N25" s="56"/>
      <c r="O25" s="56"/>
      <c r="P25" s="56"/>
      <c r="Q25" s="56"/>
      <c r="R25" s="56"/>
    </row>
    <row r="26" spans="1:18" ht="16.95" customHeight="1" x14ac:dyDescent="0.3"/>
    <row r="27" spans="1:18" ht="16.95" customHeight="1" x14ac:dyDescent="0.3"/>
    <row r="28" spans="1:18" ht="16.95" customHeight="1" x14ac:dyDescent="0.3">
      <c r="C28" s="21" t="s">
        <v>668</v>
      </c>
      <c r="D28" s="124">
        <v>3.7559999999999998</v>
      </c>
      <c r="E28" s="125">
        <f>ROUND(D28,0)</f>
        <v>4</v>
      </c>
      <c r="F28" s="21" t="str">
        <f ca="1">_xlfn.FORMULATEXT(E28)</f>
        <v>=ROUND(D28,0)</v>
      </c>
    </row>
    <row r="29" spans="1:18" ht="16.95" customHeight="1" x14ac:dyDescent="0.3">
      <c r="D29" s="124">
        <v>3.7559999999999998</v>
      </c>
      <c r="E29" s="125">
        <f>ROUND(D29,1)</f>
        <v>3.8</v>
      </c>
      <c r="F29" s="21" t="str">
        <f ca="1">_xlfn.FORMULATEXT(E29)</f>
        <v>=ROUND(D29,1)</v>
      </c>
    </row>
    <row r="30" spans="1:18" ht="16.95" customHeight="1" x14ac:dyDescent="0.3">
      <c r="D30" s="119">
        <v>495844</v>
      </c>
      <c r="E30" s="122">
        <f>ROUND(D30,-3)</f>
        <v>496000</v>
      </c>
      <c r="F30" s="21" t="str">
        <f ca="1">_xlfn.FORMULATEXT(E30)</f>
        <v>=ROUND(D30,-3)</v>
      </c>
    </row>
    <row r="31" spans="1:18" ht="16.95" customHeight="1" x14ac:dyDescent="0.3">
      <c r="D31" s="124">
        <v>3.7559999999999998</v>
      </c>
      <c r="E31" s="125">
        <f>ROUNDDOWN(D31,1)</f>
        <v>3.7</v>
      </c>
      <c r="F31" s="21" t="str">
        <f ca="1">_xlfn.FORMULATEXT(E31)</f>
        <v>=ROUNDDOWN(D31,1)</v>
      </c>
    </row>
    <row r="32" spans="1:18" ht="16.95" customHeight="1" x14ac:dyDescent="0.3">
      <c r="D32" s="124">
        <v>3.7559999999999998</v>
      </c>
      <c r="E32" s="125">
        <f>ROUNDUP(D32,1)</f>
        <v>3.8000000000000003</v>
      </c>
      <c r="F32" s="21" t="str">
        <f t="shared" ref="F32" ca="1" si="0">_xlfn.FORMULATEXT(E32)</f>
        <v>=ROUNDUP(D32,1)</v>
      </c>
    </row>
    <row r="33" spans="4:7" ht="16.95" customHeight="1" x14ac:dyDescent="0.3">
      <c r="D33" s="124">
        <v>-3.7559999999999998</v>
      </c>
      <c r="E33" s="125">
        <f>ROUND(D33,0)</f>
        <v>-4</v>
      </c>
      <c r="F33" s="21" t="str">
        <f ca="1">_xlfn.FORMULATEXT(E33)</f>
        <v>=ROUND(D33,0)</v>
      </c>
    </row>
    <row r="34" spans="4:7" ht="16.95" customHeight="1" x14ac:dyDescent="0.3">
      <c r="D34" s="124">
        <v>-3.7559999999999998</v>
      </c>
      <c r="E34" s="125">
        <f>ROUNDDOWN(D34,1)</f>
        <v>-3.7</v>
      </c>
      <c r="F34" s="21" t="str">
        <f ca="1">_xlfn.FORMULATEXT(E34)</f>
        <v>=ROUNDDOWN(D34,1)</v>
      </c>
    </row>
    <row r="35" spans="4:7" ht="16.95" customHeight="1" x14ac:dyDescent="0.3">
      <c r="D35" s="124">
        <v>-3.7559999999999998</v>
      </c>
      <c r="E35" s="125">
        <f>ROUNDUP(D35,1)</f>
        <v>-3.8000000000000003</v>
      </c>
      <c r="F35" s="21" t="str">
        <f ca="1">_xlfn.FORMULATEXT(E35)</f>
        <v>=ROUNDUP(D35,1)</v>
      </c>
    </row>
    <row r="36" spans="4:7" ht="16.95" customHeight="1" x14ac:dyDescent="0.3"/>
    <row r="37" spans="4:7" ht="16.95" customHeight="1" x14ac:dyDescent="0.3">
      <c r="G37" s="126"/>
    </row>
    <row r="39" spans="4:7" ht="12" customHeight="1" x14ac:dyDescent="0.3"/>
    <row r="40" spans="4:7" ht="12" customHeight="1" x14ac:dyDescent="0.3"/>
  </sheetData>
  <printOptions horizontalCentered="1"/>
  <pageMargins left="0.15748031496062992" right="0.15748031496062992" top="0.78740157480314965" bottom="0.78740157480314965" header="0.51181102362204722" footer="0.51181102362204722"/>
  <pageSetup paperSize="9" scale="47" orientation="portrait" r:id="rId1"/>
  <headerFooter alignWithMargins="0">
    <oddFooter xml:space="preserve">&amp;CClarity Consultancy Services Ltd   info@clarityconsultancyservices.co.uk
Registered in the UK (6619745). Registered Office:  Suite 6 Bourne Gate, Bourne Valley Rd, Poole, BH12 1DY
</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B78F7-AE65-C948-A1C6-D86E85EEEA97}">
  <dimension ref="A1:T125"/>
  <sheetViews>
    <sheetView showGridLines="0" zoomScaleNormal="100" workbookViewId="0">
      <pane ySplit="1" topLeftCell="A2" activePane="bottomLeft" state="frozen"/>
      <selection activeCell="L47" sqref="L47"/>
      <selection pane="bottomLeft"/>
    </sheetView>
  </sheetViews>
  <sheetFormatPr defaultColWidth="0" defaultRowHeight="16.8" x14ac:dyDescent="0.3"/>
  <cols>
    <col min="1" max="2" width="3.6640625" style="27" customWidth="1"/>
    <col min="3" max="3" width="16.77734375" style="27" customWidth="1"/>
    <col min="4" max="4" width="21.33203125" style="27" customWidth="1"/>
    <col min="5" max="5" width="12.109375" style="27" customWidth="1"/>
    <col min="6" max="9" width="13.33203125" style="27" customWidth="1"/>
    <col min="10" max="19" width="10.44140625" style="27" customWidth="1"/>
    <col min="20" max="20" width="9.109375" style="27" customWidth="1"/>
    <col min="21" max="16384" width="9.109375" style="27" hidden="1"/>
  </cols>
  <sheetData>
    <row r="1" spans="1:20" s="52" customFormat="1" ht="49.95" customHeight="1" x14ac:dyDescent="0.3">
      <c r="A1" s="49"/>
      <c r="B1" s="50" t="s">
        <v>768</v>
      </c>
      <c r="C1" s="49"/>
      <c r="D1" s="49"/>
      <c r="E1" s="49"/>
      <c r="F1" s="51"/>
      <c r="G1" s="51"/>
      <c r="H1" s="51"/>
      <c r="I1" s="51"/>
      <c r="J1" s="51"/>
      <c r="K1" s="51"/>
      <c r="L1" s="51"/>
      <c r="M1" s="51"/>
      <c r="N1" s="51"/>
      <c r="O1" s="51"/>
      <c r="P1" s="51"/>
      <c r="Q1" s="51"/>
      <c r="R1" s="51"/>
      <c r="S1" s="51"/>
      <c r="T1" s="51"/>
    </row>
    <row r="2" spans="1:20" s="21" customFormat="1" ht="12" customHeight="1" x14ac:dyDescent="0.3">
      <c r="C2" s="20"/>
    </row>
    <row r="3" spans="1:20" s="21" customFormat="1" ht="21" x14ac:dyDescent="0.5">
      <c r="B3" s="53" t="s">
        <v>769</v>
      </c>
      <c r="C3" s="53"/>
    </row>
    <row r="4" spans="1:20" s="21" customFormat="1" ht="12" customHeight="1" x14ac:dyDescent="0.5">
      <c r="B4" s="53"/>
      <c r="C4" s="53"/>
    </row>
    <row r="5" spans="1:20" s="21" customFormat="1" ht="21" x14ac:dyDescent="0.5">
      <c r="B5" s="53"/>
      <c r="C5" s="53" t="s">
        <v>770</v>
      </c>
    </row>
    <row r="6" spans="1:20" s="21" customFormat="1" ht="21" x14ac:dyDescent="0.5">
      <c r="B6" s="53"/>
      <c r="C6" s="53" t="s">
        <v>771</v>
      </c>
    </row>
    <row r="7" spans="1:20" s="21" customFormat="1" ht="21" x14ac:dyDescent="0.5">
      <c r="B7" s="53"/>
      <c r="C7" s="53" t="s">
        <v>772</v>
      </c>
    </row>
    <row r="8" spans="1:20" s="21" customFormat="1" ht="21" x14ac:dyDescent="0.5">
      <c r="B8" s="53"/>
      <c r="C8" s="53" t="s">
        <v>773</v>
      </c>
    </row>
    <row r="9" spans="1:20" s="21" customFormat="1" ht="21" x14ac:dyDescent="0.5">
      <c r="B9" s="53"/>
      <c r="C9" s="53" t="s">
        <v>774</v>
      </c>
    </row>
    <row r="10" spans="1:20" s="21" customFormat="1" x14ac:dyDescent="0.3">
      <c r="D10" s="54"/>
    </row>
    <row r="11" spans="1:20" s="52" customFormat="1" ht="21" x14ac:dyDescent="0.5">
      <c r="A11" s="55"/>
      <c r="B11" s="56" t="s">
        <v>7</v>
      </c>
      <c r="C11" s="55"/>
      <c r="D11" s="55"/>
      <c r="E11" s="55"/>
      <c r="F11" s="57"/>
      <c r="G11" s="57"/>
      <c r="H11" s="57"/>
      <c r="I11" s="57"/>
      <c r="J11" s="57"/>
      <c r="K11" s="57"/>
      <c r="L11" s="57"/>
      <c r="M11" s="57"/>
      <c r="N11" s="57"/>
      <c r="O11" s="57"/>
      <c r="P11" s="57"/>
      <c r="Q11" s="57"/>
      <c r="R11" s="57"/>
      <c r="S11" s="57"/>
      <c r="T11" s="57"/>
    </row>
    <row r="12" spans="1:20" s="21" customFormat="1" ht="19.95" customHeight="1" x14ac:dyDescent="0.3">
      <c r="C12" s="21" t="s">
        <v>775</v>
      </c>
    </row>
    <row r="13" spans="1:20" s="21" customFormat="1" ht="19.95" customHeight="1" x14ac:dyDescent="0.3">
      <c r="C13" s="21" t="s">
        <v>776</v>
      </c>
    </row>
    <row r="14" spans="1:20" s="21" customFormat="1" ht="19.95" customHeight="1" x14ac:dyDescent="0.3">
      <c r="C14" s="21" t="s">
        <v>896</v>
      </c>
    </row>
    <row r="15" spans="1:20" s="21" customFormat="1" ht="15.75" customHeight="1" x14ac:dyDescent="0.3"/>
    <row r="16" spans="1:20" s="21" customFormat="1" ht="15.75" customHeight="1" x14ac:dyDescent="0.3">
      <c r="C16" s="21" t="s">
        <v>777</v>
      </c>
    </row>
    <row r="17" spans="1:20" s="21" customFormat="1" ht="15.75" customHeight="1" x14ac:dyDescent="0.3"/>
    <row r="18" spans="1:20" s="21" customFormat="1" ht="15.75" customHeight="1" x14ac:dyDescent="0.3">
      <c r="C18" s="37" t="s">
        <v>778</v>
      </c>
      <c r="D18" s="136" t="s">
        <v>779</v>
      </c>
    </row>
    <row r="19" spans="1:20" x14ac:dyDescent="0.3">
      <c r="C19" s="137" t="s">
        <v>780</v>
      </c>
      <c r="D19" s="82">
        <v>3</v>
      </c>
      <c r="E19" s="20"/>
    </row>
    <row r="20" spans="1:20" s="21" customFormat="1" ht="15.75" customHeight="1" x14ac:dyDescent="0.3">
      <c r="C20" s="137" t="s">
        <v>781</v>
      </c>
      <c r="D20" s="72">
        <v>3</v>
      </c>
    </row>
    <row r="21" spans="1:20" x14ac:dyDescent="0.3">
      <c r="C21" s="138" t="s">
        <v>782</v>
      </c>
      <c r="D21" s="174" t="str" cm="1">
        <f t="array" aca="1" ref="D21" ca="1">OFFSET(D18, D19, D20,,)</f>
        <v>HERE - END</v>
      </c>
      <c r="E21" s="20"/>
      <c r="G21" s="136" t="s">
        <v>783</v>
      </c>
    </row>
    <row r="22" spans="1:20" x14ac:dyDescent="0.3">
      <c r="C22" s="139"/>
      <c r="D22" s="21"/>
      <c r="E22" s="20"/>
    </row>
    <row r="23" spans="1:20" x14ac:dyDescent="0.3">
      <c r="C23" s="20" t="s">
        <v>897</v>
      </c>
      <c r="D23" s="21"/>
      <c r="E23" s="20"/>
    </row>
    <row r="24" spans="1:20" s="21" customFormat="1" ht="15.75" customHeight="1" x14ac:dyDescent="0.3"/>
    <row r="25" spans="1:20" s="52" customFormat="1" ht="21" x14ac:dyDescent="0.5">
      <c r="A25" s="55"/>
      <c r="B25" s="56" t="s">
        <v>784</v>
      </c>
      <c r="C25" s="55"/>
      <c r="D25" s="55"/>
      <c r="E25" s="55"/>
      <c r="F25" s="57"/>
      <c r="G25" s="57"/>
      <c r="H25" s="57"/>
      <c r="I25" s="57"/>
      <c r="J25" s="57"/>
      <c r="K25" s="57"/>
      <c r="L25" s="57"/>
      <c r="M25" s="57"/>
      <c r="N25" s="57"/>
      <c r="O25" s="57"/>
      <c r="P25" s="57"/>
      <c r="Q25" s="57"/>
      <c r="R25" s="57"/>
      <c r="S25" s="57"/>
      <c r="T25" s="57"/>
    </row>
    <row r="26" spans="1:20" s="21" customFormat="1" ht="15.75" customHeight="1" x14ac:dyDescent="0.3"/>
    <row r="27" spans="1:20" x14ac:dyDescent="0.3">
      <c r="C27" s="27" t="s">
        <v>785</v>
      </c>
      <c r="O27" s="21"/>
      <c r="P27" s="21"/>
    </row>
    <row r="28" spans="1:20" ht="17.399999999999999" thickBot="1" x14ac:dyDescent="0.35">
      <c r="N28" s="20"/>
      <c r="O28" s="21"/>
      <c r="P28" s="21"/>
    </row>
    <row r="29" spans="1:20" ht="17.399999999999999" thickBot="1" x14ac:dyDescent="0.35">
      <c r="C29" s="140" t="s">
        <v>28</v>
      </c>
      <c r="D29" s="141" t="s">
        <v>786</v>
      </c>
      <c r="E29" s="142" t="s">
        <v>787</v>
      </c>
    </row>
    <row r="30" spans="1:20" x14ac:dyDescent="0.3">
      <c r="C30" s="23" t="s">
        <v>30</v>
      </c>
      <c r="D30" s="143" t="s">
        <v>788</v>
      </c>
      <c r="E30" s="35">
        <v>2000</v>
      </c>
    </row>
    <row r="31" spans="1:20" ht="17.399999999999999" thickBot="1" x14ac:dyDescent="0.35">
      <c r="C31" s="23" t="s">
        <v>30</v>
      </c>
      <c r="D31" s="144" t="s">
        <v>789</v>
      </c>
      <c r="E31" s="35">
        <v>5000</v>
      </c>
    </row>
    <row r="32" spans="1:20" ht="17.399999999999999" thickBot="1" x14ac:dyDescent="0.35">
      <c r="C32" s="145" t="s">
        <v>30</v>
      </c>
      <c r="D32" s="146" t="s">
        <v>790</v>
      </c>
      <c r="E32" s="147">
        <v>6000</v>
      </c>
    </row>
    <row r="33" spans="3:10" x14ac:dyDescent="0.3">
      <c r="C33" s="23" t="s">
        <v>30</v>
      </c>
      <c r="D33" s="143" t="s">
        <v>791</v>
      </c>
      <c r="E33" s="35">
        <v>7000</v>
      </c>
    </row>
    <row r="34" spans="3:10" x14ac:dyDescent="0.3">
      <c r="C34" s="23" t="s">
        <v>31</v>
      </c>
      <c r="D34" s="23" t="s">
        <v>788</v>
      </c>
      <c r="E34" s="35">
        <v>2000</v>
      </c>
    </row>
    <row r="35" spans="3:10" x14ac:dyDescent="0.3">
      <c r="C35" s="23" t="s">
        <v>31</v>
      </c>
      <c r="D35" s="23" t="s">
        <v>791</v>
      </c>
      <c r="E35" s="35">
        <v>6000</v>
      </c>
    </row>
    <row r="36" spans="3:10" x14ac:dyDescent="0.3">
      <c r="C36" s="23" t="s">
        <v>31</v>
      </c>
      <c r="D36" s="23" t="s">
        <v>790</v>
      </c>
      <c r="E36" s="35">
        <v>5000</v>
      </c>
      <c r="J36" s="148"/>
    </row>
    <row r="37" spans="3:10" x14ac:dyDescent="0.3">
      <c r="C37" s="23" t="s">
        <v>31</v>
      </c>
      <c r="D37" s="23" t="s">
        <v>789</v>
      </c>
      <c r="E37" s="35">
        <v>4000</v>
      </c>
    </row>
    <row r="38" spans="3:10" x14ac:dyDescent="0.3">
      <c r="C38" s="23" t="s">
        <v>32</v>
      </c>
      <c r="D38" s="23" t="s">
        <v>789</v>
      </c>
      <c r="E38" s="35">
        <v>20000</v>
      </c>
    </row>
    <row r="39" spans="3:10" x14ac:dyDescent="0.3">
      <c r="C39" s="23" t="s">
        <v>32</v>
      </c>
      <c r="D39" s="23" t="s">
        <v>790</v>
      </c>
      <c r="E39" s="35">
        <v>9000</v>
      </c>
    </row>
    <row r="40" spans="3:10" x14ac:dyDescent="0.3">
      <c r="C40" s="23" t="s">
        <v>138</v>
      </c>
      <c r="D40" s="23" t="s">
        <v>791</v>
      </c>
      <c r="E40" s="35">
        <v>10000</v>
      </c>
    </row>
    <row r="41" spans="3:10" x14ac:dyDescent="0.3">
      <c r="C41" s="23" t="s">
        <v>138</v>
      </c>
      <c r="D41" s="23" t="s">
        <v>788</v>
      </c>
      <c r="E41" s="35">
        <v>20000</v>
      </c>
    </row>
    <row r="42" spans="3:10" x14ac:dyDescent="0.3">
      <c r="C42" s="23" t="s">
        <v>138</v>
      </c>
      <c r="D42" s="23" t="s">
        <v>789</v>
      </c>
      <c r="E42" s="35">
        <v>30000</v>
      </c>
    </row>
    <row r="44" spans="3:10" x14ac:dyDescent="0.3">
      <c r="C44" s="27" t="s">
        <v>792</v>
      </c>
    </row>
    <row r="46" spans="3:10" x14ac:dyDescent="0.3">
      <c r="C46" s="27" t="s">
        <v>793</v>
      </c>
      <c r="G46" s="61" t="str">
        <f ca="1">OFFSET(D29,3,0)</f>
        <v>Swindon</v>
      </c>
      <c r="I46" s="27" t="str">
        <f ca="1">_xlfn.FORMULATEXT(G46)</f>
        <v>=OFFSET(D29,3,0)</v>
      </c>
    </row>
    <row r="48" spans="3:10" s="21" customFormat="1" x14ac:dyDescent="0.3">
      <c r="C48" s="32" t="s">
        <v>34</v>
      </c>
    </row>
    <row r="49" spans="1:20" s="21" customFormat="1" x14ac:dyDescent="0.3">
      <c r="C49" s="27" t="s">
        <v>794</v>
      </c>
    </row>
    <row r="50" spans="1:20" s="21" customFormat="1" x14ac:dyDescent="0.3">
      <c r="C50" s="27"/>
    </row>
    <row r="51" spans="1:20" s="21" customFormat="1" x14ac:dyDescent="0.3">
      <c r="C51" s="27"/>
    </row>
    <row r="52" spans="1:20" s="21" customFormat="1" x14ac:dyDescent="0.3">
      <c r="C52" s="27" t="s">
        <v>795</v>
      </c>
    </row>
    <row r="53" spans="1:20" s="21" customFormat="1" x14ac:dyDescent="0.3">
      <c r="C53" s="27"/>
    </row>
    <row r="54" spans="1:20" s="21" customFormat="1" x14ac:dyDescent="0.3">
      <c r="C54" s="27" t="s">
        <v>796</v>
      </c>
    </row>
    <row r="55" spans="1:20" s="21" customFormat="1" x14ac:dyDescent="0.3">
      <c r="C55" s="27"/>
    </row>
    <row r="56" spans="1:20" s="21" customFormat="1" x14ac:dyDescent="0.3">
      <c r="C56" s="58" t="s">
        <v>797</v>
      </c>
      <c r="D56" s="35">
        <v>3</v>
      </c>
    </row>
    <row r="57" spans="1:20" s="21" customFormat="1" x14ac:dyDescent="0.3">
      <c r="C57" s="58" t="s">
        <v>798</v>
      </c>
      <c r="D57" s="35">
        <v>1</v>
      </c>
      <c r="G57" s="61" t="str">
        <f ca="1">OFFSET(C29,D56,D57)</f>
        <v>Swindon</v>
      </c>
      <c r="I57" s="27" t="str">
        <f ca="1">_xlfn.FORMULATEXT(G57)</f>
        <v>=OFFSET(C29,D56,D57)</v>
      </c>
    </row>
    <row r="58" spans="1:20" s="21" customFormat="1" x14ac:dyDescent="0.3">
      <c r="C58" s="58" t="s">
        <v>799</v>
      </c>
      <c r="D58" s="35">
        <v>1</v>
      </c>
    </row>
    <row r="59" spans="1:20" s="21" customFormat="1" x14ac:dyDescent="0.3">
      <c r="C59" s="58" t="s">
        <v>800</v>
      </c>
      <c r="D59" s="35">
        <v>1</v>
      </c>
    </row>
    <row r="60" spans="1:20" s="21" customFormat="1" x14ac:dyDescent="0.3">
      <c r="C60" s="27"/>
    </row>
    <row r="61" spans="1:20" s="21" customFormat="1" x14ac:dyDescent="0.3">
      <c r="C61" s="27"/>
    </row>
    <row r="62" spans="1:20" s="52" customFormat="1" ht="21" x14ac:dyDescent="0.5">
      <c r="A62" s="55"/>
      <c r="B62" s="56" t="s">
        <v>801</v>
      </c>
      <c r="C62" s="55"/>
      <c r="D62" s="55"/>
      <c r="E62" s="55"/>
      <c r="F62" s="57"/>
      <c r="G62" s="57"/>
      <c r="H62" s="57"/>
      <c r="I62" s="57"/>
      <c r="J62" s="57"/>
      <c r="K62" s="57"/>
      <c r="L62" s="57"/>
      <c r="M62" s="57"/>
      <c r="N62" s="57"/>
      <c r="O62" s="57"/>
      <c r="P62" s="57"/>
      <c r="Q62" s="57"/>
      <c r="R62" s="57"/>
      <c r="S62" s="57"/>
      <c r="T62" s="57"/>
    </row>
    <row r="63" spans="1:20" x14ac:dyDescent="0.3">
      <c r="C63" s="149"/>
    </row>
    <row r="64" spans="1:20" x14ac:dyDescent="0.3">
      <c r="C64" s="149" t="s">
        <v>802</v>
      </c>
    </row>
    <row r="65" spans="3:10" ht="17.399999999999999" thickBot="1" x14ac:dyDescent="0.35">
      <c r="C65" s="149"/>
    </row>
    <row r="66" spans="3:10" ht="17.399999999999999" thickBot="1" x14ac:dyDescent="0.35">
      <c r="C66" s="140" t="s">
        <v>28</v>
      </c>
      <c r="D66" s="141" t="s">
        <v>786</v>
      </c>
      <c r="E66" s="142" t="s">
        <v>787</v>
      </c>
    </row>
    <row r="67" spans="3:10" x14ac:dyDescent="0.3">
      <c r="C67" s="23" t="s">
        <v>30</v>
      </c>
      <c r="D67" s="143" t="s">
        <v>788</v>
      </c>
      <c r="E67" s="35">
        <v>2000</v>
      </c>
    </row>
    <row r="68" spans="3:10" x14ac:dyDescent="0.3">
      <c r="C68" s="23" t="s">
        <v>30</v>
      </c>
      <c r="D68" s="23" t="s">
        <v>789</v>
      </c>
      <c r="E68" s="150">
        <v>5000</v>
      </c>
    </row>
    <row r="69" spans="3:10" x14ac:dyDescent="0.3">
      <c r="C69" s="23" t="s">
        <v>30</v>
      </c>
      <c r="D69" s="145" t="s">
        <v>790</v>
      </c>
      <c r="E69" s="150">
        <v>6000</v>
      </c>
    </row>
    <row r="70" spans="3:10" x14ac:dyDescent="0.3">
      <c r="C70" s="23" t="s">
        <v>30</v>
      </c>
      <c r="D70" s="145" t="s">
        <v>791</v>
      </c>
      <c r="E70" s="150">
        <v>7000</v>
      </c>
    </row>
    <row r="71" spans="3:10" x14ac:dyDescent="0.3">
      <c r="C71" s="23" t="s">
        <v>31</v>
      </c>
      <c r="D71" s="145" t="s">
        <v>788</v>
      </c>
      <c r="E71" s="150">
        <v>2000</v>
      </c>
    </row>
    <row r="72" spans="3:10" x14ac:dyDescent="0.3">
      <c r="C72" s="23" t="s">
        <v>31</v>
      </c>
      <c r="D72" s="23" t="s">
        <v>791</v>
      </c>
      <c r="E72" s="150">
        <v>6000</v>
      </c>
    </row>
    <row r="73" spans="3:10" x14ac:dyDescent="0.3">
      <c r="C73" s="23" t="s">
        <v>31</v>
      </c>
      <c r="D73" s="23" t="s">
        <v>790</v>
      </c>
      <c r="E73" s="35">
        <v>5000</v>
      </c>
      <c r="J73" s="148"/>
    </row>
    <row r="74" spans="3:10" x14ac:dyDescent="0.3">
      <c r="C74" s="23" t="s">
        <v>31</v>
      </c>
      <c r="D74" s="23" t="s">
        <v>789</v>
      </c>
      <c r="E74" s="35">
        <v>4000</v>
      </c>
    </row>
    <row r="75" spans="3:10" x14ac:dyDescent="0.3">
      <c r="C75" s="23" t="s">
        <v>32</v>
      </c>
      <c r="D75" s="23" t="s">
        <v>789</v>
      </c>
      <c r="E75" s="35">
        <v>20000</v>
      </c>
    </row>
    <row r="76" spans="3:10" x14ac:dyDescent="0.3">
      <c r="C76" s="23" t="s">
        <v>32</v>
      </c>
      <c r="D76" s="23" t="s">
        <v>790</v>
      </c>
      <c r="E76" s="35">
        <v>9000</v>
      </c>
    </row>
    <row r="77" spans="3:10" x14ac:dyDescent="0.3">
      <c r="C77" s="23" t="s">
        <v>138</v>
      </c>
      <c r="D77" s="23" t="s">
        <v>791</v>
      </c>
      <c r="E77" s="35">
        <v>10000</v>
      </c>
    </row>
    <row r="78" spans="3:10" x14ac:dyDescent="0.3">
      <c r="C78" s="23" t="s">
        <v>138</v>
      </c>
      <c r="D78" s="23" t="s">
        <v>788</v>
      </c>
      <c r="E78" s="35">
        <v>20000</v>
      </c>
    </row>
    <row r="79" spans="3:10" x14ac:dyDescent="0.3">
      <c r="C79" s="23" t="s">
        <v>138</v>
      </c>
      <c r="D79" s="23" t="s">
        <v>789</v>
      </c>
      <c r="E79" s="35">
        <v>30000</v>
      </c>
    </row>
    <row r="81" spans="3:9" x14ac:dyDescent="0.3">
      <c r="C81" s="27" t="s">
        <v>803</v>
      </c>
    </row>
    <row r="83" spans="3:9" x14ac:dyDescent="0.3">
      <c r="C83" s="58" t="s">
        <v>804</v>
      </c>
      <c r="D83" s="35">
        <v>3</v>
      </c>
    </row>
    <row r="84" spans="3:9" x14ac:dyDescent="0.3">
      <c r="C84" s="58" t="s">
        <v>805</v>
      </c>
      <c r="D84" s="35">
        <v>2</v>
      </c>
    </row>
    <row r="85" spans="3:9" x14ac:dyDescent="0.3">
      <c r="C85" s="58" t="s">
        <v>799</v>
      </c>
      <c r="D85" s="35">
        <v>3</v>
      </c>
    </row>
    <row r="86" spans="3:9" x14ac:dyDescent="0.3">
      <c r="C86" s="58" t="s">
        <v>800</v>
      </c>
      <c r="D86" s="35">
        <v>1</v>
      </c>
    </row>
    <row r="88" spans="3:9" x14ac:dyDescent="0.3">
      <c r="C88" s="27" t="s">
        <v>806</v>
      </c>
      <c r="G88" s="151">
        <f ca="1">SUM((OFFSET(C66,D83,D84,D85,D86)))</f>
        <v>15000</v>
      </c>
      <c r="I88" s="27" t="str">
        <f ca="1">_xlfn.FORMULATEXT(G88)</f>
        <v>=SUM((OFFSET(C66,D83,D84,D85,D86)))</v>
      </c>
    </row>
    <row r="90" spans="3:9" x14ac:dyDescent="0.3">
      <c r="C90" s="27" t="s">
        <v>807</v>
      </c>
    </row>
    <row r="91" spans="3:9" x14ac:dyDescent="0.3">
      <c r="C91" s="27" t="s">
        <v>808</v>
      </c>
    </row>
    <row r="93" spans="3:9" s="21" customFormat="1" x14ac:dyDescent="0.3">
      <c r="C93" s="32" t="s">
        <v>34</v>
      </c>
    </row>
    <row r="94" spans="3:9" s="21" customFormat="1" x14ac:dyDescent="0.3">
      <c r="C94" s="27" t="s">
        <v>809</v>
      </c>
    </row>
    <row r="97" spans="1:20" s="52" customFormat="1" ht="21" x14ac:dyDescent="0.5">
      <c r="A97" s="55"/>
      <c r="B97" s="56" t="s">
        <v>114</v>
      </c>
      <c r="C97" s="55"/>
      <c r="D97" s="55"/>
      <c r="E97" s="55"/>
      <c r="F97" s="57"/>
      <c r="G97" s="57"/>
      <c r="H97" s="57"/>
      <c r="I97" s="57"/>
      <c r="J97" s="57"/>
      <c r="K97" s="57"/>
      <c r="L97" s="57"/>
      <c r="M97" s="57"/>
      <c r="N97" s="57"/>
      <c r="O97" s="57"/>
      <c r="P97" s="57"/>
      <c r="Q97" s="57"/>
      <c r="R97" s="57"/>
      <c r="S97" s="57"/>
      <c r="T97" s="57"/>
    </row>
    <row r="99" spans="1:20" x14ac:dyDescent="0.3">
      <c r="B99" s="152" t="s">
        <v>810</v>
      </c>
    </row>
    <row r="101" spans="1:20" x14ac:dyDescent="0.3">
      <c r="C101" s="27" t="s">
        <v>811</v>
      </c>
    </row>
    <row r="103" spans="1:20" x14ac:dyDescent="0.3">
      <c r="C103" s="27" t="s">
        <v>812</v>
      </c>
    </row>
    <row r="105" spans="1:20" x14ac:dyDescent="0.3">
      <c r="D105" s="153" t="s">
        <v>813</v>
      </c>
      <c r="E105" s="23">
        <v>1</v>
      </c>
    </row>
    <row r="107" spans="1:20" s="138" customFormat="1" x14ac:dyDescent="0.3">
      <c r="A107" s="154"/>
      <c r="B107" s="154"/>
      <c r="C107" s="154"/>
      <c r="D107" s="155" t="s">
        <v>814</v>
      </c>
      <c r="E107" s="154"/>
      <c r="F107" s="154"/>
      <c r="G107" s="154"/>
      <c r="H107" s="154">
        <v>1</v>
      </c>
      <c r="I107" s="154">
        <v>2</v>
      </c>
      <c r="J107" s="154">
        <v>3</v>
      </c>
      <c r="K107" s="154">
        <v>4</v>
      </c>
      <c r="L107" s="154">
        <v>5</v>
      </c>
      <c r="M107" s="154">
        <v>6</v>
      </c>
      <c r="N107" s="154">
        <v>7</v>
      </c>
      <c r="O107" s="154">
        <v>8</v>
      </c>
      <c r="P107" s="154">
        <v>9</v>
      </c>
      <c r="Q107" s="154">
        <v>10</v>
      </c>
      <c r="R107" s="154">
        <v>11</v>
      </c>
      <c r="S107" s="154">
        <v>12</v>
      </c>
    </row>
    <row r="108" spans="1:20" x14ac:dyDescent="0.3">
      <c r="D108" s="153" t="s">
        <v>815</v>
      </c>
      <c r="H108" s="35">
        <v>0</v>
      </c>
      <c r="I108" s="35">
        <v>0</v>
      </c>
      <c r="J108" s="35">
        <v>100000</v>
      </c>
      <c r="K108" s="35">
        <v>0</v>
      </c>
      <c r="L108" s="35">
        <v>0</v>
      </c>
      <c r="M108" s="35">
        <v>0</v>
      </c>
      <c r="N108" s="35">
        <v>0</v>
      </c>
      <c r="O108" s="35">
        <v>0</v>
      </c>
      <c r="P108" s="35">
        <v>0</v>
      </c>
      <c r="Q108" s="35">
        <v>0</v>
      </c>
      <c r="R108" s="35">
        <v>0</v>
      </c>
      <c r="S108" s="35">
        <v>0</v>
      </c>
    </row>
    <row r="109" spans="1:20" x14ac:dyDescent="0.3">
      <c r="D109" s="153" t="s">
        <v>816</v>
      </c>
      <c r="H109" s="156" cm="1">
        <f t="array" aca="1" ref="H109" ca="1">OFFSET(H108,,$E$105 * -1,,)</f>
        <v>0</v>
      </c>
      <c r="I109" s="156" cm="1">
        <f t="array" aca="1" ref="I109" ca="1">OFFSET(I108,,$E$105 * -1,,)</f>
        <v>0</v>
      </c>
      <c r="J109" s="156" cm="1">
        <f t="array" aca="1" ref="J109" ca="1">OFFSET(J108,,$E$105 * -1,,)</f>
        <v>0</v>
      </c>
      <c r="K109" s="156" cm="1">
        <f t="array" aca="1" ref="K109" ca="1">OFFSET(K108,,$E$105 * -1,,)</f>
        <v>100000</v>
      </c>
      <c r="L109" s="156" cm="1">
        <f t="array" aca="1" ref="L109" ca="1">OFFSET(L108,,$E$105 * -1,,)</f>
        <v>0</v>
      </c>
      <c r="M109" s="156" cm="1">
        <f t="array" aca="1" ref="M109" ca="1">OFFSET(M108,,$E$105 * -1,,)</f>
        <v>0</v>
      </c>
      <c r="N109" s="156" cm="1">
        <f t="array" aca="1" ref="N109" ca="1">OFFSET(N108,,$E$105 * -1,,)</f>
        <v>0</v>
      </c>
      <c r="O109" s="156" cm="1">
        <f t="array" aca="1" ref="O109" ca="1">OFFSET(O108,,$E$105 * -1,,)</f>
        <v>0</v>
      </c>
      <c r="P109" s="156" cm="1">
        <f t="array" aca="1" ref="P109" ca="1">OFFSET(P108,,$E$105 * -1,,)</f>
        <v>0</v>
      </c>
      <c r="Q109" s="156" cm="1">
        <f t="array" aca="1" ref="Q109" ca="1">OFFSET(Q108,,$E$105 * -1,,)</f>
        <v>0</v>
      </c>
      <c r="R109" s="156" cm="1">
        <f t="array" aca="1" ref="R109" ca="1">OFFSET(R108,,$E$105 * -1,,)</f>
        <v>0</v>
      </c>
      <c r="S109" s="156" cm="1">
        <f t="array" aca="1" ref="S109" ca="1">OFFSET(S108,,$E$105 * -1,,)</f>
        <v>0</v>
      </c>
    </row>
    <row r="111" spans="1:20" x14ac:dyDescent="0.3">
      <c r="C111" s="27" t="s">
        <v>817</v>
      </c>
    </row>
    <row r="114" spans="1:15" x14ac:dyDescent="0.3">
      <c r="C114" s="27" t="s">
        <v>818</v>
      </c>
    </row>
    <row r="116" spans="1:15" x14ac:dyDescent="0.3">
      <c r="D116" s="153" t="s">
        <v>819</v>
      </c>
      <c r="E116" s="23">
        <v>3</v>
      </c>
    </row>
    <row r="117" spans="1:15" x14ac:dyDescent="0.3">
      <c r="D117" s="153" t="s">
        <v>813</v>
      </c>
      <c r="E117" s="23">
        <v>1</v>
      </c>
    </row>
    <row r="119" spans="1:15" s="138" customFormat="1" x14ac:dyDescent="0.3">
      <c r="A119" s="154"/>
      <c r="B119" s="154"/>
      <c r="C119" s="155" t="s">
        <v>814</v>
      </c>
      <c r="D119" s="154">
        <v>1</v>
      </c>
      <c r="E119" s="154">
        <v>2</v>
      </c>
      <c r="F119" s="154">
        <v>3</v>
      </c>
      <c r="G119" s="154">
        <v>4</v>
      </c>
      <c r="H119" s="154">
        <v>5</v>
      </c>
      <c r="I119" s="154">
        <v>6</v>
      </c>
      <c r="J119" s="154">
        <v>7</v>
      </c>
      <c r="K119" s="154">
        <v>8</v>
      </c>
      <c r="L119" s="154">
        <v>9</v>
      </c>
      <c r="M119" s="154">
        <v>10</v>
      </c>
      <c r="N119" s="154">
        <v>11</v>
      </c>
      <c r="O119" s="154">
        <v>12</v>
      </c>
    </row>
    <row r="120" spans="1:15" x14ac:dyDescent="0.3">
      <c r="C120" s="153" t="s">
        <v>820</v>
      </c>
      <c r="D120" s="35">
        <v>30000</v>
      </c>
      <c r="E120" s="35">
        <v>40000</v>
      </c>
      <c r="F120" s="35">
        <v>30000</v>
      </c>
      <c r="G120" s="35">
        <v>24000</v>
      </c>
      <c r="H120" s="35">
        <v>40000</v>
      </c>
      <c r="I120" s="35">
        <v>35000</v>
      </c>
      <c r="J120" s="35">
        <v>37000</v>
      </c>
      <c r="K120" s="35">
        <v>28000</v>
      </c>
      <c r="L120" s="35">
        <v>16000</v>
      </c>
      <c r="M120" s="35">
        <v>23000</v>
      </c>
      <c r="N120" s="35">
        <v>29000</v>
      </c>
      <c r="O120" s="35">
        <v>32000</v>
      </c>
    </row>
    <row r="121" spans="1:15" x14ac:dyDescent="0.3">
      <c r="C121" s="153" t="s">
        <v>821</v>
      </c>
      <c r="D121" s="35">
        <v>0</v>
      </c>
      <c r="E121" s="35">
        <v>0</v>
      </c>
      <c r="F121" s="35">
        <v>1</v>
      </c>
      <c r="G121" s="35">
        <v>0</v>
      </c>
      <c r="H121" s="35">
        <v>0</v>
      </c>
      <c r="I121" s="35">
        <v>1</v>
      </c>
      <c r="J121" s="35">
        <v>0</v>
      </c>
      <c r="K121" s="35">
        <v>0</v>
      </c>
      <c r="L121" s="35">
        <v>1</v>
      </c>
      <c r="M121" s="35">
        <v>0</v>
      </c>
      <c r="N121" s="35">
        <v>0</v>
      </c>
      <c r="O121" s="35">
        <v>1</v>
      </c>
    </row>
    <row r="122" spans="1:15" x14ac:dyDescent="0.3">
      <c r="C122" s="153" t="s">
        <v>815</v>
      </c>
      <c r="D122" s="156">
        <f ca="1">(D121 = 1) * SUM(OFFSET(D120,,,,$E$116 * -1))</f>
        <v>0</v>
      </c>
      <c r="E122" s="156">
        <f ca="1">(E121 = 1) * SUM(OFFSET(E120,,,,$E$116 * -1))</f>
        <v>0</v>
      </c>
      <c r="F122" s="156">
        <f ca="1">(F121 = 1) * SUM(OFFSET(F120,,,,$E$116 * -1))</f>
        <v>100000</v>
      </c>
      <c r="G122" s="156">
        <f t="shared" ref="G122:O122" ca="1" si="0">(G121 = 1) * SUM(OFFSET(G120,,,,$E$116 * -1))</f>
        <v>0</v>
      </c>
      <c r="H122" s="156">
        <f t="shared" ca="1" si="0"/>
        <v>0</v>
      </c>
      <c r="I122" s="156">
        <f t="shared" ca="1" si="0"/>
        <v>99000</v>
      </c>
      <c r="J122" s="156">
        <f t="shared" ca="1" si="0"/>
        <v>0</v>
      </c>
      <c r="K122" s="156">
        <f t="shared" ca="1" si="0"/>
        <v>0</v>
      </c>
      <c r="L122" s="156">
        <f t="shared" ca="1" si="0"/>
        <v>81000</v>
      </c>
      <c r="M122" s="156">
        <f t="shared" ca="1" si="0"/>
        <v>0</v>
      </c>
      <c r="N122" s="156">
        <f t="shared" ca="1" si="0"/>
        <v>0</v>
      </c>
      <c r="O122" s="156">
        <f t="shared" ca="1" si="0"/>
        <v>84000</v>
      </c>
    </row>
    <row r="123" spans="1:15" x14ac:dyDescent="0.3">
      <c r="C123" s="153" t="s">
        <v>816</v>
      </c>
      <c r="D123" s="156" t="str" cm="1">
        <f t="array" aca="1" ref="D123" ca="1">OFFSET(D122,,$E$117 * -1,,)</f>
        <v>Tax period end value</v>
      </c>
      <c r="E123" s="156" cm="1">
        <f t="array" aca="1" ref="E123" ca="1">OFFSET(E122,,$E$117 * -1,,)</f>
        <v>0</v>
      </c>
      <c r="F123" s="156" cm="1">
        <f t="array" aca="1" ref="F123" ca="1">OFFSET(F122,,$E$117 * -1,,)</f>
        <v>0</v>
      </c>
      <c r="G123" s="156" cm="1">
        <f t="array" aca="1" ref="G123" ca="1">OFFSET(G122,,$E$117 * -1,,)</f>
        <v>100000</v>
      </c>
      <c r="H123" s="156" cm="1">
        <f t="array" aca="1" ref="H123" ca="1">OFFSET(H122,,$E$117 * -1,,)</f>
        <v>0</v>
      </c>
      <c r="I123" s="156" cm="1">
        <f t="array" aca="1" ref="I123" ca="1">OFFSET(I122,,$E$117 * -1,,)</f>
        <v>0</v>
      </c>
      <c r="J123" s="156" cm="1">
        <f t="array" aca="1" ref="J123" ca="1">OFFSET(J122,,$E$117 * -1,,)</f>
        <v>99000</v>
      </c>
      <c r="K123" s="156" cm="1">
        <f t="array" aca="1" ref="K123" ca="1">OFFSET(K122,,$E$117 * -1,,)</f>
        <v>0</v>
      </c>
      <c r="L123" s="156" cm="1">
        <f t="array" aca="1" ref="L123" ca="1">OFFSET(L122,,$E$117 * -1,,)</f>
        <v>0</v>
      </c>
      <c r="M123" s="156" cm="1">
        <f t="array" aca="1" ref="M123" ca="1">OFFSET(M122,,$E$117 * -1,,)</f>
        <v>81000</v>
      </c>
      <c r="N123" s="156" cm="1">
        <f t="array" aca="1" ref="N123" ca="1">OFFSET(N122,,$E$117 * -1,,)</f>
        <v>0</v>
      </c>
      <c r="O123" s="156" cm="1">
        <f t="array" aca="1" ref="O123" ca="1">OFFSET(O122,,$E$117 * -1,,)</f>
        <v>0</v>
      </c>
    </row>
    <row r="125" spans="1:15" x14ac:dyDescent="0.3">
      <c r="C125" s="27" t="s">
        <v>822</v>
      </c>
    </row>
  </sheetData>
  <dataValidations count="1">
    <dataValidation type="list" allowBlank="1" showInputMessage="1" showErrorMessage="1" sqref="C65603 IY65603 SU65603 ACQ65603 AMM65603 AWI65603 BGE65603 BQA65603 BZW65603 CJS65603 CTO65603 DDK65603 DNG65603 DXC65603 EGY65603 EQU65603 FAQ65603 FKM65603 FUI65603 GEE65603 GOA65603 GXW65603 HHS65603 HRO65603 IBK65603 ILG65603 IVC65603 JEY65603 JOU65603 JYQ65603 KIM65603 KSI65603 LCE65603 LMA65603 LVW65603 MFS65603 MPO65603 MZK65603 NJG65603 NTC65603 OCY65603 OMU65603 OWQ65603 PGM65603 PQI65603 QAE65603 QKA65603 QTW65603 RDS65603 RNO65603 RXK65603 SHG65603 SRC65603 TAY65603 TKU65603 TUQ65603 UEM65603 UOI65603 UYE65603 VIA65603 VRW65603 WBS65603 WLO65603 WVK65603 C131139 IY131139 SU131139 ACQ131139 AMM131139 AWI131139 BGE131139 BQA131139 BZW131139 CJS131139 CTO131139 DDK131139 DNG131139 DXC131139 EGY131139 EQU131139 FAQ131139 FKM131139 FUI131139 GEE131139 GOA131139 GXW131139 HHS131139 HRO131139 IBK131139 ILG131139 IVC131139 JEY131139 JOU131139 JYQ131139 KIM131139 KSI131139 LCE131139 LMA131139 LVW131139 MFS131139 MPO131139 MZK131139 NJG131139 NTC131139 OCY131139 OMU131139 OWQ131139 PGM131139 PQI131139 QAE131139 QKA131139 QTW131139 RDS131139 RNO131139 RXK131139 SHG131139 SRC131139 TAY131139 TKU131139 TUQ131139 UEM131139 UOI131139 UYE131139 VIA131139 VRW131139 WBS131139 WLO131139 WVK131139 C196675 IY196675 SU196675 ACQ196675 AMM196675 AWI196675 BGE196675 BQA196675 BZW196675 CJS196675 CTO196675 DDK196675 DNG196675 DXC196675 EGY196675 EQU196675 FAQ196675 FKM196675 FUI196675 GEE196675 GOA196675 GXW196675 HHS196675 HRO196675 IBK196675 ILG196675 IVC196675 JEY196675 JOU196675 JYQ196675 KIM196675 KSI196675 LCE196675 LMA196675 LVW196675 MFS196675 MPO196675 MZK196675 NJG196675 NTC196675 OCY196675 OMU196675 OWQ196675 PGM196675 PQI196675 QAE196675 QKA196675 QTW196675 RDS196675 RNO196675 RXK196675 SHG196675 SRC196675 TAY196675 TKU196675 TUQ196675 UEM196675 UOI196675 UYE196675 VIA196675 VRW196675 WBS196675 WLO196675 WVK196675 C262211 IY262211 SU262211 ACQ262211 AMM262211 AWI262211 BGE262211 BQA262211 BZW262211 CJS262211 CTO262211 DDK262211 DNG262211 DXC262211 EGY262211 EQU262211 FAQ262211 FKM262211 FUI262211 GEE262211 GOA262211 GXW262211 HHS262211 HRO262211 IBK262211 ILG262211 IVC262211 JEY262211 JOU262211 JYQ262211 KIM262211 KSI262211 LCE262211 LMA262211 LVW262211 MFS262211 MPO262211 MZK262211 NJG262211 NTC262211 OCY262211 OMU262211 OWQ262211 PGM262211 PQI262211 QAE262211 QKA262211 QTW262211 RDS262211 RNO262211 RXK262211 SHG262211 SRC262211 TAY262211 TKU262211 TUQ262211 UEM262211 UOI262211 UYE262211 VIA262211 VRW262211 WBS262211 WLO262211 WVK262211 C327747 IY327747 SU327747 ACQ327747 AMM327747 AWI327747 BGE327747 BQA327747 BZW327747 CJS327747 CTO327747 DDK327747 DNG327747 DXC327747 EGY327747 EQU327747 FAQ327747 FKM327747 FUI327747 GEE327747 GOA327747 GXW327747 HHS327747 HRO327747 IBK327747 ILG327747 IVC327747 JEY327747 JOU327747 JYQ327747 KIM327747 KSI327747 LCE327747 LMA327747 LVW327747 MFS327747 MPO327747 MZK327747 NJG327747 NTC327747 OCY327747 OMU327747 OWQ327747 PGM327747 PQI327747 QAE327747 QKA327747 QTW327747 RDS327747 RNO327747 RXK327747 SHG327747 SRC327747 TAY327747 TKU327747 TUQ327747 UEM327747 UOI327747 UYE327747 VIA327747 VRW327747 WBS327747 WLO327747 WVK327747 C393283 IY393283 SU393283 ACQ393283 AMM393283 AWI393283 BGE393283 BQA393283 BZW393283 CJS393283 CTO393283 DDK393283 DNG393283 DXC393283 EGY393283 EQU393283 FAQ393283 FKM393283 FUI393283 GEE393283 GOA393283 GXW393283 HHS393283 HRO393283 IBK393283 ILG393283 IVC393283 JEY393283 JOU393283 JYQ393283 KIM393283 KSI393283 LCE393283 LMA393283 LVW393283 MFS393283 MPO393283 MZK393283 NJG393283 NTC393283 OCY393283 OMU393283 OWQ393283 PGM393283 PQI393283 QAE393283 QKA393283 QTW393283 RDS393283 RNO393283 RXK393283 SHG393283 SRC393283 TAY393283 TKU393283 TUQ393283 UEM393283 UOI393283 UYE393283 VIA393283 VRW393283 WBS393283 WLO393283 WVK393283 C458819 IY458819 SU458819 ACQ458819 AMM458819 AWI458819 BGE458819 BQA458819 BZW458819 CJS458819 CTO458819 DDK458819 DNG458819 DXC458819 EGY458819 EQU458819 FAQ458819 FKM458819 FUI458819 GEE458819 GOA458819 GXW458819 HHS458819 HRO458819 IBK458819 ILG458819 IVC458819 JEY458819 JOU458819 JYQ458819 KIM458819 KSI458819 LCE458819 LMA458819 LVW458819 MFS458819 MPO458819 MZK458819 NJG458819 NTC458819 OCY458819 OMU458819 OWQ458819 PGM458819 PQI458819 QAE458819 QKA458819 QTW458819 RDS458819 RNO458819 RXK458819 SHG458819 SRC458819 TAY458819 TKU458819 TUQ458819 UEM458819 UOI458819 UYE458819 VIA458819 VRW458819 WBS458819 WLO458819 WVK458819 C524355 IY524355 SU524355 ACQ524355 AMM524355 AWI524355 BGE524355 BQA524355 BZW524355 CJS524355 CTO524355 DDK524355 DNG524355 DXC524355 EGY524355 EQU524355 FAQ524355 FKM524355 FUI524355 GEE524355 GOA524355 GXW524355 HHS524355 HRO524355 IBK524355 ILG524355 IVC524355 JEY524355 JOU524355 JYQ524355 KIM524355 KSI524355 LCE524355 LMA524355 LVW524355 MFS524355 MPO524355 MZK524355 NJG524355 NTC524355 OCY524355 OMU524355 OWQ524355 PGM524355 PQI524355 QAE524355 QKA524355 QTW524355 RDS524355 RNO524355 RXK524355 SHG524355 SRC524355 TAY524355 TKU524355 TUQ524355 UEM524355 UOI524355 UYE524355 VIA524355 VRW524355 WBS524355 WLO524355 WVK524355 C589891 IY589891 SU589891 ACQ589891 AMM589891 AWI589891 BGE589891 BQA589891 BZW589891 CJS589891 CTO589891 DDK589891 DNG589891 DXC589891 EGY589891 EQU589891 FAQ589891 FKM589891 FUI589891 GEE589891 GOA589891 GXW589891 HHS589891 HRO589891 IBK589891 ILG589891 IVC589891 JEY589891 JOU589891 JYQ589891 KIM589891 KSI589891 LCE589891 LMA589891 LVW589891 MFS589891 MPO589891 MZK589891 NJG589891 NTC589891 OCY589891 OMU589891 OWQ589891 PGM589891 PQI589891 QAE589891 QKA589891 QTW589891 RDS589891 RNO589891 RXK589891 SHG589891 SRC589891 TAY589891 TKU589891 TUQ589891 UEM589891 UOI589891 UYE589891 VIA589891 VRW589891 WBS589891 WLO589891 WVK589891 C655427 IY655427 SU655427 ACQ655427 AMM655427 AWI655427 BGE655427 BQA655427 BZW655427 CJS655427 CTO655427 DDK655427 DNG655427 DXC655427 EGY655427 EQU655427 FAQ655427 FKM655427 FUI655427 GEE655427 GOA655427 GXW655427 HHS655427 HRO655427 IBK655427 ILG655427 IVC655427 JEY655427 JOU655427 JYQ655427 KIM655427 KSI655427 LCE655427 LMA655427 LVW655427 MFS655427 MPO655427 MZK655427 NJG655427 NTC655427 OCY655427 OMU655427 OWQ655427 PGM655427 PQI655427 QAE655427 QKA655427 QTW655427 RDS655427 RNO655427 RXK655427 SHG655427 SRC655427 TAY655427 TKU655427 TUQ655427 UEM655427 UOI655427 UYE655427 VIA655427 VRW655427 WBS655427 WLO655427 WVK655427 C720963 IY720963 SU720963 ACQ720963 AMM720963 AWI720963 BGE720963 BQA720963 BZW720963 CJS720963 CTO720963 DDK720963 DNG720963 DXC720963 EGY720963 EQU720963 FAQ720963 FKM720963 FUI720963 GEE720963 GOA720963 GXW720963 HHS720963 HRO720963 IBK720963 ILG720963 IVC720963 JEY720963 JOU720963 JYQ720963 KIM720963 KSI720963 LCE720963 LMA720963 LVW720963 MFS720963 MPO720963 MZK720963 NJG720963 NTC720963 OCY720963 OMU720963 OWQ720963 PGM720963 PQI720963 QAE720963 QKA720963 QTW720963 RDS720963 RNO720963 RXK720963 SHG720963 SRC720963 TAY720963 TKU720963 TUQ720963 UEM720963 UOI720963 UYE720963 VIA720963 VRW720963 WBS720963 WLO720963 WVK720963 C786499 IY786499 SU786499 ACQ786499 AMM786499 AWI786499 BGE786499 BQA786499 BZW786499 CJS786499 CTO786499 DDK786499 DNG786499 DXC786499 EGY786499 EQU786499 FAQ786499 FKM786499 FUI786499 GEE786499 GOA786499 GXW786499 HHS786499 HRO786499 IBK786499 ILG786499 IVC786499 JEY786499 JOU786499 JYQ786499 KIM786499 KSI786499 LCE786499 LMA786499 LVW786499 MFS786499 MPO786499 MZK786499 NJG786499 NTC786499 OCY786499 OMU786499 OWQ786499 PGM786499 PQI786499 QAE786499 QKA786499 QTW786499 RDS786499 RNO786499 RXK786499 SHG786499 SRC786499 TAY786499 TKU786499 TUQ786499 UEM786499 UOI786499 UYE786499 VIA786499 VRW786499 WBS786499 WLO786499 WVK786499 C852035 IY852035 SU852035 ACQ852035 AMM852035 AWI852035 BGE852035 BQA852035 BZW852035 CJS852035 CTO852035 DDK852035 DNG852035 DXC852035 EGY852035 EQU852035 FAQ852035 FKM852035 FUI852035 GEE852035 GOA852035 GXW852035 HHS852035 HRO852035 IBK852035 ILG852035 IVC852035 JEY852035 JOU852035 JYQ852035 KIM852035 KSI852035 LCE852035 LMA852035 LVW852035 MFS852035 MPO852035 MZK852035 NJG852035 NTC852035 OCY852035 OMU852035 OWQ852035 PGM852035 PQI852035 QAE852035 QKA852035 QTW852035 RDS852035 RNO852035 RXK852035 SHG852035 SRC852035 TAY852035 TKU852035 TUQ852035 UEM852035 UOI852035 UYE852035 VIA852035 VRW852035 WBS852035 WLO852035 WVK852035 C917571 IY917571 SU917571 ACQ917571 AMM917571 AWI917571 BGE917571 BQA917571 BZW917571 CJS917571 CTO917571 DDK917571 DNG917571 DXC917571 EGY917571 EQU917571 FAQ917571 FKM917571 FUI917571 GEE917571 GOA917571 GXW917571 HHS917571 HRO917571 IBK917571 ILG917571 IVC917571 JEY917571 JOU917571 JYQ917571 KIM917571 KSI917571 LCE917571 LMA917571 LVW917571 MFS917571 MPO917571 MZK917571 NJG917571 NTC917571 OCY917571 OMU917571 OWQ917571 PGM917571 PQI917571 QAE917571 QKA917571 QTW917571 RDS917571 RNO917571 RXK917571 SHG917571 SRC917571 TAY917571 TKU917571 TUQ917571 UEM917571 UOI917571 UYE917571 VIA917571 VRW917571 WBS917571 WLO917571 WVK917571 C983107 IY983107 SU983107 ACQ983107 AMM983107 AWI983107 BGE983107 BQA983107 BZW983107 CJS983107 CTO983107 DDK983107 DNG983107 DXC983107 EGY983107 EQU983107 FAQ983107 FKM983107 FUI983107 GEE983107 GOA983107 GXW983107 HHS983107 HRO983107 IBK983107 ILG983107 IVC983107 JEY983107 JOU983107 JYQ983107 KIM983107 KSI983107 LCE983107 LMA983107 LVW983107 MFS983107 MPO983107 MZK983107 NJG983107 NTC983107 OCY983107 OMU983107 OWQ983107 PGM983107 PQI983107 QAE983107 QKA983107 QTW983107 RDS983107 RNO983107 RXK983107 SHG983107 SRC983107 TAY983107 TKU983107 TUQ983107 UEM983107 UOI983107 UYE983107 VIA983107 VRW983107 WBS983107 WLO983107 WVK983107" xr:uid="{52E432D0-B14E-B446-80A6-541F92B09B35}">
      <formula1>"Product 1,Product 2,Product 3,Product 4"</formula1>
    </dataValidation>
  </dataValidations>
  <pageMargins left="0.15748031496063" right="0.15748031496063" top="0.78740157480314998" bottom="0.78740157480314998" header="0.511811023622047" footer="0.511811023622047"/>
  <pageSetup paperSize="9" scale="65" orientation="landscape" r:id="rId1"/>
  <headerFooter>
    <oddFooter xml:space="preserve">&amp;CClarity Consultancy Services Ltd   info@clarityconsultancyservices.co.uk
Registered in the UK (6619745). Registered Office:  Suite 6 Bourne Gate, Bourne Valley Rd, Poole, BH12 1DY
</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7DEF2-6C92-DB46-A201-ABFC4950264C}">
  <dimension ref="A1:AK88"/>
  <sheetViews>
    <sheetView showGridLines="0" zoomScaleNormal="100" workbookViewId="0">
      <pane ySplit="1" topLeftCell="A2" activePane="bottomLeft" state="frozen"/>
      <selection activeCell="O20" sqref="O20"/>
      <selection pane="bottomLeft"/>
    </sheetView>
  </sheetViews>
  <sheetFormatPr defaultColWidth="0" defaultRowHeight="16.8" x14ac:dyDescent="0.3"/>
  <cols>
    <col min="1" max="1" width="12.44140625" style="27" customWidth="1"/>
    <col min="2" max="2" width="3.6640625" style="27" customWidth="1"/>
    <col min="3" max="6" width="14.44140625" style="27" customWidth="1"/>
    <col min="7" max="7" width="15.44140625" style="27" customWidth="1"/>
    <col min="8" max="8" width="15.6640625" style="27" customWidth="1"/>
    <col min="9" max="9" width="26.33203125" style="27" customWidth="1"/>
    <col min="10" max="11" width="15.77734375" style="27" customWidth="1"/>
    <col min="12" max="12" width="36.109375" style="27" customWidth="1"/>
    <col min="13" max="18" width="15.77734375" style="27" hidden="1" customWidth="1"/>
    <col min="19" max="37" width="9.109375" style="27" hidden="1" customWidth="1"/>
    <col min="38" max="16384" width="0" style="27" hidden="1"/>
  </cols>
  <sheetData>
    <row r="1" spans="1:12" s="52" customFormat="1" ht="49.95" customHeight="1" x14ac:dyDescent="0.3">
      <c r="A1" s="49"/>
      <c r="B1" s="50" t="s">
        <v>823</v>
      </c>
      <c r="C1" s="49"/>
      <c r="D1" s="49"/>
      <c r="E1" s="49"/>
      <c r="F1" s="51"/>
      <c r="G1" s="51"/>
      <c r="H1" s="51"/>
      <c r="I1" s="51"/>
      <c r="J1" s="51"/>
      <c r="K1" s="51"/>
      <c r="L1" s="51"/>
    </row>
    <row r="2" spans="1:12" s="21" customFormat="1" ht="12" customHeight="1" x14ac:dyDescent="0.3">
      <c r="C2" s="20"/>
    </row>
    <row r="3" spans="1:12" s="21" customFormat="1" ht="21" x14ac:dyDescent="0.5">
      <c r="B3" s="53" t="s">
        <v>824</v>
      </c>
      <c r="C3" s="53"/>
    </row>
    <row r="4" spans="1:12" s="21" customFormat="1" ht="12" customHeight="1" x14ac:dyDescent="0.5">
      <c r="B4" s="53"/>
      <c r="C4" s="53"/>
    </row>
    <row r="5" spans="1:12" s="21" customFormat="1" ht="21" x14ac:dyDescent="0.5">
      <c r="B5" s="53"/>
      <c r="C5" s="53" t="s">
        <v>825</v>
      </c>
    </row>
    <row r="6" spans="1:12" s="21" customFormat="1" ht="21" x14ac:dyDescent="0.5">
      <c r="B6" s="53"/>
      <c r="C6" s="53" t="s">
        <v>826</v>
      </c>
    </row>
    <row r="7" spans="1:12" s="21" customFormat="1" x14ac:dyDescent="0.3">
      <c r="D7" s="54"/>
    </row>
    <row r="8" spans="1:12" s="52" customFormat="1" ht="21" x14ac:dyDescent="0.5">
      <c r="A8" s="55"/>
      <c r="B8" s="56" t="s">
        <v>7</v>
      </c>
      <c r="C8" s="55"/>
      <c r="D8" s="55"/>
      <c r="E8" s="55"/>
      <c r="F8" s="57"/>
      <c r="G8" s="57"/>
      <c r="H8" s="57"/>
      <c r="I8" s="57"/>
      <c r="J8" s="57"/>
      <c r="K8" s="57"/>
      <c r="L8" s="57"/>
    </row>
    <row r="9" spans="1:12" s="37" customFormat="1" ht="19.95" customHeight="1" x14ac:dyDescent="0.3">
      <c r="C9" s="21" t="s">
        <v>827</v>
      </c>
      <c r="E9" s="139"/>
      <c r="F9" s="139"/>
      <c r="G9" s="139"/>
    </row>
    <row r="10" spans="1:12" s="21" customFormat="1" ht="19.95" customHeight="1" x14ac:dyDescent="0.3">
      <c r="C10" s="21" t="s">
        <v>828</v>
      </c>
    </row>
    <row r="11" spans="1:12" s="21" customFormat="1" ht="19.95" customHeight="1" x14ac:dyDescent="0.3">
      <c r="C11" s="21" t="s">
        <v>829</v>
      </c>
    </row>
    <row r="12" spans="1:12" s="21" customFormat="1" ht="19.95" customHeight="1" x14ac:dyDescent="0.3"/>
    <row r="13" spans="1:12" s="21" customFormat="1" ht="15.75" customHeight="1" x14ac:dyDescent="0.3"/>
    <row r="14" spans="1:12" s="52" customFormat="1" ht="21" x14ac:dyDescent="0.5">
      <c r="A14" s="55"/>
      <c r="B14" s="56" t="s">
        <v>8</v>
      </c>
      <c r="C14" s="55"/>
      <c r="D14" s="55"/>
      <c r="E14" s="55"/>
      <c r="F14" s="57"/>
      <c r="G14" s="57"/>
      <c r="H14" s="57"/>
      <c r="I14" s="57"/>
      <c r="J14" s="57"/>
      <c r="K14" s="57"/>
      <c r="L14" s="57"/>
    </row>
    <row r="15" spans="1:12" s="21" customFormat="1" ht="15.75" customHeight="1" x14ac:dyDescent="0.3"/>
    <row r="16" spans="1:12" x14ac:dyDescent="0.3">
      <c r="C16" s="27" t="s">
        <v>830</v>
      </c>
    </row>
    <row r="17" spans="1:12" x14ac:dyDescent="0.3">
      <c r="C17" s="157"/>
    </row>
    <row r="18" spans="1:12" x14ac:dyDescent="0.3">
      <c r="C18" s="58" t="s">
        <v>28</v>
      </c>
      <c r="D18" s="58" t="s">
        <v>29</v>
      </c>
    </row>
    <row r="19" spans="1:12" x14ac:dyDescent="0.3">
      <c r="C19" s="23" t="s">
        <v>30</v>
      </c>
      <c r="D19" s="59">
        <v>2.75</v>
      </c>
    </row>
    <row r="20" spans="1:12" x14ac:dyDescent="0.3">
      <c r="C20" s="23" t="s">
        <v>31</v>
      </c>
      <c r="D20" s="59">
        <v>3</v>
      </c>
    </row>
    <row r="21" spans="1:12" x14ac:dyDescent="0.3">
      <c r="C21" s="23" t="s">
        <v>32</v>
      </c>
      <c r="D21" s="59">
        <v>3.25</v>
      </c>
    </row>
    <row r="22" spans="1:12" x14ac:dyDescent="0.3">
      <c r="C22" s="23" t="s">
        <v>138</v>
      </c>
      <c r="D22" s="59">
        <v>3.15</v>
      </c>
    </row>
    <row r="24" spans="1:12" x14ac:dyDescent="0.3">
      <c r="C24" s="58" t="s">
        <v>831</v>
      </c>
      <c r="D24" s="158" t="s">
        <v>832</v>
      </c>
      <c r="G24" s="63" cm="1">
        <f t="array" aca="1" ref="G24" ca="1">INDIRECT(D24,TRUE)</f>
        <v>3</v>
      </c>
      <c r="I24" s="27" t="str">
        <f ca="1">_xlfn.FORMULATEXT(G24)</f>
        <v>=INDIRECT(D24,TRUE)</v>
      </c>
    </row>
    <row r="27" spans="1:12" x14ac:dyDescent="0.3">
      <c r="C27" s="32" t="s">
        <v>34</v>
      </c>
    </row>
    <row r="28" spans="1:12" x14ac:dyDescent="0.3">
      <c r="C28" s="27" t="s">
        <v>833</v>
      </c>
    </row>
    <row r="30" spans="1:12" s="52" customFormat="1" ht="21" x14ac:dyDescent="0.5">
      <c r="A30" s="55"/>
      <c r="B30" s="56" t="s">
        <v>834</v>
      </c>
      <c r="C30" s="55"/>
      <c r="D30" s="55"/>
      <c r="E30" s="55"/>
      <c r="F30" s="57"/>
      <c r="G30" s="57"/>
      <c r="H30" s="57"/>
      <c r="I30" s="57"/>
      <c r="J30" s="57"/>
      <c r="K30" s="57"/>
      <c r="L30" s="57"/>
    </row>
    <row r="32" spans="1:12" x14ac:dyDescent="0.3">
      <c r="C32" s="27" t="s">
        <v>835</v>
      </c>
    </row>
    <row r="33" spans="3:9" x14ac:dyDescent="0.3">
      <c r="C33" s="27" t="s">
        <v>836</v>
      </c>
    </row>
    <row r="34" spans="3:9" x14ac:dyDescent="0.3">
      <c r="C34" s="27" t="s">
        <v>837</v>
      </c>
    </row>
    <row r="36" spans="3:9" x14ac:dyDescent="0.3">
      <c r="C36" s="58" t="s">
        <v>838</v>
      </c>
      <c r="D36" s="58" t="s">
        <v>839</v>
      </c>
      <c r="E36" s="58" t="s">
        <v>840</v>
      </c>
      <c r="F36" s="58" t="s">
        <v>841</v>
      </c>
    </row>
    <row r="37" spans="3:9" x14ac:dyDescent="0.3">
      <c r="C37" s="23" t="s">
        <v>842</v>
      </c>
      <c r="D37" s="35">
        <v>1000</v>
      </c>
      <c r="E37" s="35">
        <v>1200</v>
      </c>
      <c r="F37" s="35">
        <v>1100</v>
      </c>
      <c r="H37" s="27" t="s">
        <v>843</v>
      </c>
    </row>
    <row r="38" spans="3:9" x14ac:dyDescent="0.3">
      <c r="C38" s="23" t="s">
        <v>844</v>
      </c>
      <c r="D38" s="35">
        <v>1600</v>
      </c>
      <c r="E38" s="35">
        <v>1800</v>
      </c>
      <c r="F38" s="35">
        <v>1400</v>
      </c>
      <c r="H38" s="27" t="s">
        <v>845</v>
      </c>
    </row>
    <row r="39" spans="3:9" x14ac:dyDescent="0.3">
      <c r="C39" s="23" t="s">
        <v>846</v>
      </c>
      <c r="D39" s="35">
        <v>2000</v>
      </c>
      <c r="E39" s="35">
        <v>1000</v>
      </c>
      <c r="F39" s="35">
        <v>1600</v>
      </c>
      <c r="H39" s="27" t="s">
        <v>847</v>
      </c>
    </row>
    <row r="40" spans="3:9" x14ac:dyDescent="0.3">
      <c r="C40" s="23" t="s">
        <v>848</v>
      </c>
      <c r="D40" s="35">
        <v>600</v>
      </c>
      <c r="E40" s="35">
        <v>900</v>
      </c>
      <c r="F40" s="35">
        <v>600</v>
      </c>
      <c r="H40" s="27" t="s">
        <v>849</v>
      </c>
    </row>
    <row r="41" spans="3:9" x14ac:dyDescent="0.3">
      <c r="C41" s="23" t="s">
        <v>850</v>
      </c>
      <c r="D41" s="35">
        <v>1100</v>
      </c>
      <c r="E41" s="35">
        <v>1900</v>
      </c>
      <c r="F41" s="35">
        <v>2000</v>
      </c>
      <c r="H41" s="27" t="s">
        <v>851</v>
      </c>
    </row>
    <row r="44" spans="3:9" x14ac:dyDescent="0.3">
      <c r="C44" s="27" t="s">
        <v>852</v>
      </c>
    </row>
    <row r="46" spans="3:9" x14ac:dyDescent="0.3">
      <c r="C46" s="23" t="s">
        <v>844</v>
      </c>
      <c r="G46" s="36">
        <f ca="1">SUM(INDIRECT(C46))</f>
        <v>4800</v>
      </c>
      <c r="I46" s="27" t="str">
        <f ca="1">_xlfn.FORMULATEXT(G46)</f>
        <v>=SUM(INDIRECT(C46))</v>
      </c>
    </row>
    <row r="49" spans="1:12" s="52" customFormat="1" ht="21" x14ac:dyDescent="0.5">
      <c r="A49" s="55"/>
      <c r="B49" s="56" t="s">
        <v>853</v>
      </c>
      <c r="C49" s="55"/>
      <c r="D49" s="55"/>
      <c r="E49" s="55"/>
      <c r="F49" s="57"/>
      <c r="G49" s="57"/>
      <c r="H49" s="57"/>
      <c r="I49" s="57"/>
      <c r="J49" s="57"/>
      <c r="K49" s="57"/>
      <c r="L49" s="57"/>
    </row>
    <row r="51" spans="1:12" x14ac:dyDescent="0.3">
      <c r="C51" s="27" t="s">
        <v>854</v>
      </c>
    </row>
    <row r="52" spans="1:12" x14ac:dyDescent="0.3">
      <c r="C52" s="27" t="s">
        <v>855</v>
      </c>
    </row>
    <row r="54" spans="1:12" x14ac:dyDescent="0.3">
      <c r="D54" s="58" t="s">
        <v>856</v>
      </c>
      <c r="E54" s="58" t="s">
        <v>857</v>
      </c>
      <c r="G54" s="138" t="s">
        <v>858</v>
      </c>
    </row>
    <row r="55" spans="1:12" x14ac:dyDescent="0.3">
      <c r="D55" s="23" t="s">
        <v>859</v>
      </c>
      <c r="E55" s="23" t="s">
        <v>860</v>
      </c>
      <c r="G55" s="159" t="str" cm="1">
        <f t="array" aca="1" ref="G55" ca="1">INDIRECT("'" &amp; D55 &amp; "'!" &amp; E55)</f>
        <v>Syntax =OFFSET(ref, rows, cols, [height], [width])</v>
      </c>
      <c r="H55" s="160"/>
      <c r="I55" s="161"/>
      <c r="J55" s="27" t="str">
        <f ca="1">_xlfn.FORMULATEXT(G55)</f>
        <v>=INDIRECT("'" &amp; D55 &amp; "'!" &amp; E55)</v>
      </c>
    </row>
    <row r="56" spans="1:12" x14ac:dyDescent="0.3">
      <c r="D56" s="23" t="s">
        <v>861</v>
      </c>
      <c r="E56" s="23" t="s">
        <v>860</v>
      </c>
      <c r="G56" s="162" t="str" cm="1">
        <f t="array" aca="1" ref="G56" ca="1">INDIRECT("'" &amp; D56 &amp; "'!" &amp; E56)</f>
        <v>Syntax =INDEX(array, row_num, col_num)</v>
      </c>
      <c r="H56" s="163"/>
      <c r="I56" s="164"/>
      <c r="J56" s="27" t="str">
        <f t="shared" ref="J56:J61" ca="1" si="0">_xlfn.FORMULATEXT(G56)</f>
        <v>=INDIRECT("'" &amp; D56 &amp; "'!" &amp; E56)</v>
      </c>
    </row>
    <row r="57" spans="1:12" x14ac:dyDescent="0.3">
      <c r="D57" s="23" t="s">
        <v>862</v>
      </c>
      <c r="E57" s="23" t="s">
        <v>860</v>
      </c>
      <c r="G57" s="165" t="str" cm="1">
        <f t="array" aca="1" ref="G57" ca="1">INDIRECT("'" &amp; D57 &amp; "'!" &amp; E57)</f>
        <v>Syntax =MATCH(lookup_value, lookup_array, match_type)</v>
      </c>
      <c r="H57" s="166"/>
      <c r="I57" s="167"/>
      <c r="J57" s="27" t="str">
        <f t="shared" ca="1" si="0"/>
        <v>=INDIRECT("'" &amp; D57 &amp; "'!" &amp; E57)</v>
      </c>
    </row>
    <row r="58" spans="1:12" x14ac:dyDescent="0.3">
      <c r="D58" s="23" t="s">
        <v>863</v>
      </c>
      <c r="E58" s="23" t="s">
        <v>860</v>
      </c>
      <c r="G58" s="162" t="str" cm="1">
        <f t="array" aca="1" ref="G58" ca="1">INDIRECT("'" &amp; D58 &amp; "'!" &amp; E58)</f>
        <v>Syntax =INDEX(array, MATCH(lookup_value, lookup_array, match_type))</v>
      </c>
      <c r="H58" s="163"/>
      <c r="I58" s="164"/>
      <c r="J58" s="27" t="str">
        <f t="shared" ca="1" si="0"/>
        <v>=INDIRECT("'" &amp; D58 &amp; "'!" &amp; E58)</v>
      </c>
    </row>
    <row r="59" spans="1:12" x14ac:dyDescent="0.3">
      <c r="D59" s="23" t="s">
        <v>864</v>
      </c>
      <c r="E59" s="23" t="s">
        <v>860</v>
      </c>
      <c r="G59" s="165" t="str" cm="1">
        <f t="array" aca="1" ref="G59" ca="1">INDIRECT("'" &amp; D59 &amp; "'!" &amp; E59)</f>
        <v>Syntax =INDEX(array, row_num, col_num)</v>
      </c>
      <c r="H59" s="166"/>
      <c r="I59" s="167"/>
      <c r="J59" s="27" t="str">
        <f t="shared" ca="1" si="0"/>
        <v>=INDIRECT("'" &amp; D59 &amp; "'!" &amp; E59)</v>
      </c>
    </row>
    <row r="60" spans="1:12" x14ac:dyDescent="0.3">
      <c r="D60" s="23" t="s">
        <v>865</v>
      </c>
      <c r="E60" s="23" t="s">
        <v>860</v>
      </c>
      <c r="G60" s="162" t="str" cm="1">
        <f t="array" aca="1" ref="G60" ca="1">INDIRECT("'" &amp; D60 &amp; "'!" &amp; E60)</f>
        <v>Syntax =INDEX(array, MATCH(lookup_value, lookup_array, match_type) , MATCH(lookup_value, lookup_array, match_type))</v>
      </c>
      <c r="H60" s="163"/>
      <c r="I60" s="164"/>
      <c r="J60" s="27" t="str">
        <f t="shared" ca="1" si="0"/>
        <v>=INDIRECT("'" &amp; D60 &amp; "'!" &amp; E60)</v>
      </c>
    </row>
    <row r="61" spans="1:12" x14ac:dyDescent="0.3">
      <c r="D61" s="23" t="s">
        <v>859</v>
      </c>
      <c r="E61" s="23" t="s">
        <v>860</v>
      </c>
      <c r="G61" s="168" t="str" cm="1">
        <f t="array" aca="1" ref="G61" ca="1">INDIRECT("'" &amp; D61 &amp; "'!" &amp; E61)</f>
        <v>Syntax =OFFSET(ref, rows, cols, [height], [width])</v>
      </c>
      <c r="H61" s="169"/>
      <c r="I61" s="170"/>
      <c r="J61" s="27" t="str">
        <f t="shared" ca="1" si="0"/>
        <v>=INDIRECT("'" &amp; D61 &amp; "'!" &amp; E61)</v>
      </c>
    </row>
    <row r="64" spans="1:12" s="52" customFormat="1" ht="21" x14ac:dyDescent="0.5">
      <c r="A64" s="55"/>
      <c r="B64" s="56" t="s">
        <v>866</v>
      </c>
      <c r="C64" s="55"/>
      <c r="D64" s="55"/>
      <c r="E64" s="55"/>
      <c r="F64" s="57"/>
      <c r="G64" s="57"/>
      <c r="H64" s="57"/>
      <c r="I64" s="57"/>
      <c r="J64" s="57"/>
      <c r="K64" s="57"/>
      <c r="L64" s="57"/>
    </row>
    <row r="66" spans="1:7" x14ac:dyDescent="0.3">
      <c r="C66" s="27" t="s">
        <v>867</v>
      </c>
    </row>
    <row r="67" spans="1:7" x14ac:dyDescent="0.3">
      <c r="C67" s="27" t="s">
        <v>868</v>
      </c>
    </row>
    <row r="68" spans="1:7" x14ac:dyDescent="0.3">
      <c r="C68" s="27" t="s">
        <v>869</v>
      </c>
    </row>
    <row r="71" spans="1:7" s="171" customFormat="1" x14ac:dyDescent="0.3">
      <c r="A71" s="171" t="s">
        <v>870</v>
      </c>
      <c r="C71" s="171" t="s">
        <v>871</v>
      </c>
      <c r="E71" s="171" t="s">
        <v>872</v>
      </c>
      <c r="F71" s="171" t="s">
        <v>873</v>
      </c>
      <c r="G71" s="171" t="s">
        <v>874</v>
      </c>
    </row>
    <row r="72" spans="1:7" s="171" customFormat="1" x14ac:dyDescent="0.3">
      <c r="A72" s="171" t="s">
        <v>875</v>
      </c>
      <c r="C72" s="171" t="s">
        <v>876</v>
      </c>
      <c r="E72" s="171" t="s">
        <v>877</v>
      </c>
      <c r="F72" s="171" t="s">
        <v>878</v>
      </c>
      <c r="G72" s="171" t="s">
        <v>879</v>
      </c>
    </row>
    <row r="74" spans="1:7" x14ac:dyDescent="0.3">
      <c r="E74" s="172" t="s">
        <v>880</v>
      </c>
      <c r="F74" s="172"/>
      <c r="G74" s="172"/>
    </row>
    <row r="75" spans="1:7" x14ac:dyDescent="0.3">
      <c r="C75" s="58" t="s">
        <v>876</v>
      </c>
      <c r="E75" s="58" t="s">
        <v>877</v>
      </c>
      <c r="F75" s="58" t="s">
        <v>878</v>
      </c>
      <c r="G75" s="58" t="s">
        <v>879</v>
      </c>
    </row>
    <row r="76" spans="1:7" x14ac:dyDescent="0.3">
      <c r="C76" s="23" t="s">
        <v>877</v>
      </c>
      <c r="E76" s="145" t="s">
        <v>881</v>
      </c>
      <c r="F76" s="145" t="s">
        <v>882</v>
      </c>
      <c r="G76" s="23" t="s">
        <v>883</v>
      </c>
    </row>
    <row r="77" spans="1:7" x14ac:dyDescent="0.3">
      <c r="C77" s="23" t="s">
        <v>878</v>
      </c>
      <c r="E77" s="145" t="s">
        <v>884</v>
      </c>
      <c r="F77" s="145" t="s">
        <v>885</v>
      </c>
      <c r="G77" s="23" t="s">
        <v>886</v>
      </c>
    </row>
    <row r="78" spans="1:7" x14ac:dyDescent="0.3">
      <c r="C78" s="23" t="s">
        <v>879</v>
      </c>
      <c r="E78" s="145" t="s">
        <v>887</v>
      </c>
      <c r="F78" s="23" t="s">
        <v>888</v>
      </c>
    </row>
    <row r="79" spans="1:7" x14ac:dyDescent="0.3">
      <c r="E79" s="23" t="s">
        <v>889</v>
      </c>
    </row>
    <row r="82" spans="3:10" x14ac:dyDescent="0.3">
      <c r="C82" s="27" t="s">
        <v>890</v>
      </c>
    </row>
    <row r="84" spans="3:10" x14ac:dyDescent="0.3">
      <c r="C84" s="27" t="s">
        <v>891</v>
      </c>
      <c r="H84" s="173" t="s">
        <v>878</v>
      </c>
    </row>
    <row r="86" spans="3:10" x14ac:dyDescent="0.3">
      <c r="C86" s="27" t="s">
        <v>892</v>
      </c>
      <c r="H86" s="173" t="s">
        <v>885</v>
      </c>
      <c r="J86" s="27" t="s">
        <v>893</v>
      </c>
    </row>
    <row r="87" spans="3:10" x14ac:dyDescent="0.3">
      <c r="J87" s="27" t="s">
        <v>894</v>
      </c>
    </row>
    <row r="88" spans="3:10" x14ac:dyDescent="0.3">
      <c r="C88" s="27" t="s">
        <v>895</v>
      </c>
    </row>
  </sheetData>
  <dataValidations count="4">
    <dataValidation type="list" allowBlank="1" showInputMessage="1" showErrorMessage="1" sqref="H86" xr:uid="{8574C073-489C-4745-82C6-9DEB339A944E}">
      <formula1>INDIRECT($H$84)</formula1>
    </dataValidation>
    <dataValidation type="list" allowBlank="1" showInputMessage="1" showErrorMessage="1" sqref="H84" xr:uid="{36A38F54-C0C2-554A-9C10-9D3B70A900F3}">
      <formula1>Bakeries</formula1>
    </dataValidation>
    <dataValidation type="list" allowBlank="1" showInputMessage="1" showErrorMessage="1" sqref="C46" xr:uid="{F4408870-8C77-3449-BA4F-8A92EF91A163}">
      <formula1>$C$37:$C$41</formula1>
    </dataValidation>
    <dataValidation type="list" allowBlank="1" showInputMessage="1" showErrorMessage="1" sqref="C65547 IY65547 SU65547 ACQ65547 AMM65547 AWI65547 BGE65547 BQA65547 BZW65547 CJS65547 CTO65547 DDK65547 DNG65547 DXC65547 EGY65547 EQU65547 FAQ65547 FKM65547 FUI65547 GEE65547 GOA65547 GXW65547 HHS65547 HRO65547 IBK65547 ILG65547 IVC65547 JEY65547 JOU65547 JYQ65547 KIM65547 KSI65547 LCE65547 LMA65547 LVW65547 MFS65547 MPO65547 MZK65547 NJG65547 NTC65547 OCY65547 OMU65547 OWQ65547 PGM65547 PQI65547 QAE65547 QKA65547 QTW65547 RDS65547 RNO65547 RXK65547 SHG65547 SRC65547 TAY65547 TKU65547 TUQ65547 UEM65547 UOI65547 UYE65547 VIA65547 VRW65547 WBS65547 WLO65547 WVK65547 C131083 IY131083 SU131083 ACQ131083 AMM131083 AWI131083 BGE131083 BQA131083 BZW131083 CJS131083 CTO131083 DDK131083 DNG131083 DXC131083 EGY131083 EQU131083 FAQ131083 FKM131083 FUI131083 GEE131083 GOA131083 GXW131083 HHS131083 HRO131083 IBK131083 ILG131083 IVC131083 JEY131083 JOU131083 JYQ131083 KIM131083 KSI131083 LCE131083 LMA131083 LVW131083 MFS131083 MPO131083 MZK131083 NJG131083 NTC131083 OCY131083 OMU131083 OWQ131083 PGM131083 PQI131083 QAE131083 QKA131083 QTW131083 RDS131083 RNO131083 RXK131083 SHG131083 SRC131083 TAY131083 TKU131083 TUQ131083 UEM131083 UOI131083 UYE131083 VIA131083 VRW131083 WBS131083 WLO131083 WVK131083 C196619 IY196619 SU196619 ACQ196619 AMM196619 AWI196619 BGE196619 BQA196619 BZW196619 CJS196619 CTO196619 DDK196619 DNG196619 DXC196619 EGY196619 EQU196619 FAQ196619 FKM196619 FUI196619 GEE196619 GOA196619 GXW196619 HHS196619 HRO196619 IBK196619 ILG196619 IVC196619 JEY196619 JOU196619 JYQ196619 KIM196619 KSI196619 LCE196619 LMA196619 LVW196619 MFS196619 MPO196619 MZK196619 NJG196619 NTC196619 OCY196619 OMU196619 OWQ196619 PGM196619 PQI196619 QAE196619 QKA196619 QTW196619 RDS196619 RNO196619 RXK196619 SHG196619 SRC196619 TAY196619 TKU196619 TUQ196619 UEM196619 UOI196619 UYE196619 VIA196619 VRW196619 WBS196619 WLO196619 WVK196619 C262155 IY262155 SU262155 ACQ262155 AMM262155 AWI262155 BGE262155 BQA262155 BZW262155 CJS262155 CTO262155 DDK262155 DNG262155 DXC262155 EGY262155 EQU262155 FAQ262155 FKM262155 FUI262155 GEE262155 GOA262155 GXW262155 HHS262155 HRO262155 IBK262155 ILG262155 IVC262155 JEY262155 JOU262155 JYQ262155 KIM262155 KSI262155 LCE262155 LMA262155 LVW262155 MFS262155 MPO262155 MZK262155 NJG262155 NTC262155 OCY262155 OMU262155 OWQ262155 PGM262155 PQI262155 QAE262155 QKA262155 QTW262155 RDS262155 RNO262155 RXK262155 SHG262155 SRC262155 TAY262155 TKU262155 TUQ262155 UEM262155 UOI262155 UYE262155 VIA262155 VRW262155 WBS262155 WLO262155 WVK262155 C327691 IY327691 SU327691 ACQ327691 AMM327691 AWI327691 BGE327691 BQA327691 BZW327691 CJS327691 CTO327691 DDK327691 DNG327691 DXC327691 EGY327691 EQU327691 FAQ327691 FKM327691 FUI327691 GEE327691 GOA327691 GXW327691 HHS327691 HRO327691 IBK327691 ILG327691 IVC327691 JEY327691 JOU327691 JYQ327691 KIM327691 KSI327691 LCE327691 LMA327691 LVW327691 MFS327691 MPO327691 MZK327691 NJG327691 NTC327691 OCY327691 OMU327691 OWQ327691 PGM327691 PQI327691 QAE327691 QKA327691 QTW327691 RDS327691 RNO327691 RXK327691 SHG327691 SRC327691 TAY327691 TKU327691 TUQ327691 UEM327691 UOI327691 UYE327691 VIA327691 VRW327691 WBS327691 WLO327691 WVK327691 C393227 IY393227 SU393227 ACQ393227 AMM393227 AWI393227 BGE393227 BQA393227 BZW393227 CJS393227 CTO393227 DDK393227 DNG393227 DXC393227 EGY393227 EQU393227 FAQ393227 FKM393227 FUI393227 GEE393227 GOA393227 GXW393227 HHS393227 HRO393227 IBK393227 ILG393227 IVC393227 JEY393227 JOU393227 JYQ393227 KIM393227 KSI393227 LCE393227 LMA393227 LVW393227 MFS393227 MPO393227 MZK393227 NJG393227 NTC393227 OCY393227 OMU393227 OWQ393227 PGM393227 PQI393227 QAE393227 QKA393227 QTW393227 RDS393227 RNO393227 RXK393227 SHG393227 SRC393227 TAY393227 TKU393227 TUQ393227 UEM393227 UOI393227 UYE393227 VIA393227 VRW393227 WBS393227 WLO393227 WVK393227 C458763 IY458763 SU458763 ACQ458763 AMM458763 AWI458763 BGE458763 BQA458763 BZW458763 CJS458763 CTO458763 DDK458763 DNG458763 DXC458763 EGY458763 EQU458763 FAQ458763 FKM458763 FUI458763 GEE458763 GOA458763 GXW458763 HHS458763 HRO458763 IBK458763 ILG458763 IVC458763 JEY458763 JOU458763 JYQ458763 KIM458763 KSI458763 LCE458763 LMA458763 LVW458763 MFS458763 MPO458763 MZK458763 NJG458763 NTC458763 OCY458763 OMU458763 OWQ458763 PGM458763 PQI458763 QAE458763 QKA458763 QTW458763 RDS458763 RNO458763 RXK458763 SHG458763 SRC458763 TAY458763 TKU458763 TUQ458763 UEM458763 UOI458763 UYE458763 VIA458763 VRW458763 WBS458763 WLO458763 WVK458763 C524299 IY524299 SU524299 ACQ524299 AMM524299 AWI524299 BGE524299 BQA524299 BZW524299 CJS524299 CTO524299 DDK524299 DNG524299 DXC524299 EGY524299 EQU524299 FAQ524299 FKM524299 FUI524299 GEE524299 GOA524299 GXW524299 HHS524299 HRO524299 IBK524299 ILG524299 IVC524299 JEY524299 JOU524299 JYQ524299 KIM524299 KSI524299 LCE524299 LMA524299 LVW524299 MFS524299 MPO524299 MZK524299 NJG524299 NTC524299 OCY524299 OMU524299 OWQ524299 PGM524299 PQI524299 QAE524299 QKA524299 QTW524299 RDS524299 RNO524299 RXK524299 SHG524299 SRC524299 TAY524299 TKU524299 TUQ524299 UEM524299 UOI524299 UYE524299 VIA524299 VRW524299 WBS524299 WLO524299 WVK524299 C589835 IY589835 SU589835 ACQ589835 AMM589835 AWI589835 BGE589835 BQA589835 BZW589835 CJS589835 CTO589835 DDK589835 DNG589835 DXC589835 EGY589835 EQU589835 FAQ589835 FKM589835 FUI589835 GEE589835 GOA589835 GXW589835 HHS589835 HRO589835 IBK589835 ILG589835 IVC589835 JEY589835 JOU589835 JYQ589835 KIM589835 KSI589835 LCE589835 LMA589835 LVW589835 MFS589835 MPO589835 MZK589835 NJG589835 NTC589835 OCY589835 OMU589835 OWQ589835 PGM589835 PQI589835 QAE589835 QKA589835 QTW589835 RDS589835 RNO589835 RXK589835 SHG589835 SRC589835 TAY589835 TKU589835 TUQ589835 UEM589835 UOI589835 UYE589835 VIA589835 VRW589835 WBS589835 WLO589835 WVK589835 C655371 IY655371 SU655371 ACQ655371 AMM655371 AWI655371 BGE655371 BQA655371 BZW655371 CJS655371 CTO655371 DDK655371 DNG655371 DXC655371 EGY655371 EQU655371 FAQ655371 FKM655371 FUI655371 GEE655371 GOA655371 GXW655371 HHS655371 HRO655371 IBK655371 ILG655371 IVC655371 JEY655371 JOU655371 JYQ655371 KIM655371 KSI655371 LCE655371 LMA655371 LVW655371 MFS655371 MPO655371 MZK655371 NJG655371 NTC655371 OCY655371 OMU655371 OWQ655371 PGM655371 PQI655371 QAE655371 QKA655371 QTW655371 RDS655371 RNO655371 RXK655371 SHG655371 SRC655371 TAY655371 TKU655371 TUQ655371 UEM655371 UOI655371 UYE655371 VIA655371 VRW655371 WBS655371 WLO655371 WVK655371 C720907 IY720907 SU720907 ACQ720907 AMM720907 AWI720907 BGE720907 BQA720907 BZW720907 CJS720907 CTO720907 DDK720907 DNG720907 DXC720907 EGY720907 EQU720907 FAQ720907 FKM720907 FUI720907 GEE720907 GOA720907 GXW720907 HHS720907 HRO720907 IBK720907 ILG720907 IVC720907 JEY720907 JOU720907 JYQ720907 KIM720907 KSI720907 LCE720907 LMA720907 LVW720907 MFS720907 MPO720907 MZK720907 NJG720907 NTC720907 OCY720907 OMU720907 OWQ720907 PGM720907 PQI720907 QAE720907 QKA720907 QTW720907 RDS720907 RNO720907 RXK720907 SHG720907 SRC720907 TAY720907 TKU720907 TUQ720907 UEM720907 UOI720907 UYE720907 VIA720907 VRW720907 WBS720907 WLO720907 WVK720907 C786443 IY786443 SU786443 ACQ786443 AMM786443 AWI786443 BGE786443 BQA786443 BZW786443 CJS786443 CTO786443 DDK786443 DNG786443 DXC786443 EGY786443 EQU786443 FAQ786443 FKM786443 FUI786443 GEE786443 GOA786443 GXW786443 HHS786443 HRO786443 IBK786443 ILG786443 IVC786443 JEY786443 JOU786443 JYQ786443 KIM786443 KSI786443 LCE786443 LMA786443 LVW786443 MFS786443 MPO786443 MZK786443 NJG786443 NTC786443 OCY786443 OMU786443 OWQ786443 PGM786443 PQI786443 QAE786443 QKA786443 QTW786443 RDS786443 RNO786443 RXK786443 SHG786443 SRC786443 TAY786443 TKU786443 TUQ786443 UEM786443 UOI786443 UYE786443 VIA786443 VRW786443 WBS786443 WLO786443 WVK786443 C851979 IY851979 SU851979 ACQ851979 AMM851979 AWI851979 BGE851979 BQA851979 BZW851979 CJS851979 CTO851979 DDK851979 DNG851979 DXC851979 EGY851979 EQU851979 FAQ851979 FKM851979 FUI851979 GEE851979 GOA851979 GXW851979 HHS851979 HRO851979 IBK851979 ILG851979 IVC851979 JEY851979 JOU851979 JYQ851979 KIM851979 KSI851979 LCE851979 LMA851979 LVW851979 MFS851979 MPO851979 MZK851979 NJG851979 NTC851979 OCY851979 OMU851979 OWQ851979 PGM851979 PQI851979 QAE851979 QKA851979 QTW851979 RDS851979 RNO851979 RXK851979 SHG851979 SRC851979 TAY851979 TKU851979 TUQ851979 UEM851979 UOI851979 UYE851979 VIA851979 VRW851979 WBS851979 WLO851979 WVK851979 C917515 IY917515 SU917515 ACQ917515 AMM917515 AWI917515 BGE917515 BQA917515 BZW917515 CJS917515 CTO917515 DDK917515 DNG917515 DXC917515 EGY917515 EQU917515 FAQ917515 FKM917515 FUI917515 GEE917515 GOA917515 GXW917515 HHS917515 HRO917515 IBK917515 ILG917515 IVC917515 JEY917515 JOU917515 JYQ917515 KIM917515 KSI917515 LCE917515 LMA917515 LVW917515 MFS917515 MPO917515 MZK917515 NJG917515 NTC917515 OCY917515 OMU917515 OWQ917515 PGM917515 PQI917515 QAE917515 QKA917515 QTW917515 RDS917515 RNO917515 RXK917515 SHG917515 SRC917515 TAY917515 TKU917515 TUQ917515 UEM917515 UOI917515 UYE917515 VIA917515 VRW917515 WBS917515 WLO917515 WVK917515 C983051 IY983051 SU983051 ACQ983051 AMM983051 AWI983051 BGE983051 BQA983051 BZW983051 CJS983051 CTO983051 DDK983051 DNG983051 DXC983051 EGY983051 EQU983051 FAQ983051 FKM983051 FUI983051 GEE983051 GOA983051 GXW983051 HHS983051 HRO983051 IBK983051 ILG983051 IVC983051 JEY983051 JOU983051 JYQ983051 KIM983051 KSI983051 LCE983051 LMA983051 LVW983051 MFS983051 MPO983051 MZK983051 NJG983051 NTC983051 OCY983051 OMU983051 OWQ983051 PGM983051 PQI983051 QAE983051 QKA983051 QTW983051 RDS983051 RNO983051 RXK983051 SHG983051 SRC983051 TAY983051 TKU983051 TUQ983051 UEM983051 UOI983051 UYE983051 VIA983051 VRW983051 WBS983051 WLO983051 WVK983051" xr:uid="{3BE714EF-6733-F646-855E-159F965772AD}">
      <formula1>"Product 1,Product 2,Product 3,Product 4"</formula1>
    </dataValidation>
  </dataValidations>
  <pageMargins left="0.15748031496063" right="0.15748031496063" top="0.78740157480314998" bottom="0.78740157480314998" header="0.511811023622047" footer="0.511811023622047"/>
  <pageSetup paperSize="9" scale="60" orientation="landscape" r:id="rId1"/>
  <headerFooter>
    <oddFooter xml:space="preserve">&amp;CClarity Consultancy Services Ltd   info@clarityconsultancyservices.co.uk
Registered in the UK (6619745). Registered Office:  Suite 6 Bourne Gate, Bourne Valley Rd, Poole, BH12 1DY
</oddFooter>
  </headerFooter>
  <rowBreaks count="1" manualBreakCount="1">
    <brk id="38" max="11" man="1"/>
  </rowBreaks>
  <drawing r:id="rId2"/>
  <tableParts count="4">
    <tablePart r:id="rId3"/>
    <tablePart r:id="rId4"/>
    <tablePart r:id="rId5"/>
    <tablePart r:id="rId6"/>
  </tablePart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E361F-3C84-431E-BB60-9E85FD65B004}">
  <dimension ref="A1:R153"/>
  <sheetViews>
    <sheetView showGridLines="0" workbookViewId="0"/>
  </sheetViews>
  <sheetFormatPr defaultColWidth="0" defaultRowHeight="13.2" x14ac:dyDescent="0.25"/>
  <cols>
    <col min="1" max="2" width="2.33203125" style="52" customWidth="1"/>
    <col min="3" max="3" width="25.77734375" style="52" customWidth="1"/>
    <col min="4" max="4" width="14.109375" style="52" customWidth="1"/>
    <col min="5" max="16" width="16" style="52" customWidth="1"/>
    <col min="17" max="18" width="8.6640625" style="52" customWidth="1"/>
    <col min="19" max="16384" width="8.6640625" style="52" hidden="1"/>
  </cols>
  <sheetData>
    <row r="1" spans="1:18" ht="49.95" customHeight="1" x14ac:dyDescent="0.3">
      <c r="A1" s="49"/>
      <c r="B1" s="50" t="s">
        <v>725</v>
      </c>
      <c r="C1" s="49"/>
      <c r="D1" s="49"/>
      <c r="E1" s="49"/>
      <c r="F1" s="51"/>
      <c r="G1" s="51"/>
      <c r="H1" s="51"/>
      <c r="I1" s="51"/>
      <c r="J1" s="51"/>
      <c r="K1" s="51"/>
      <c r="L1" s="51"/>
      <c r="M1" s="51"/>
      <c r="N1" s="51"/>
      <c r="O1" s="51"/>
      <c r="P1" s="51"/>
      <c r="Q1" s="51"/>
      <c r="R1" s="51"/>
    </row>
    <row r="2" spans="1:18" s="21" customFormat="1" ht="12" customHeight="1" x14ac:dyDescent="0.3">
      <c r="A2" s="121"/>
    </row>
    <row r="3" spans="1:18" s="21" customFormat="1" ht="16.8" x14ac:dyDescent="0.3"/>
    <row r="4" spans="1:18" ht="21" x14ac:dyDescent="0.5">
      <c r="A4" s="56"/>
      <c r="B4" s="56" t="s">
        <v>7</v>
      </c>
      <c r="C4" s="56"/>
      <c r="D4" s="56"/>
      <c r="E4" s="56"/>
      <c r="F4" s="56"/>
      <c r="G4" s="56"/>
      <c r="H4" s="56"/>
      <c r="I4" s="56"/>
      <c r="J4" s="56"/>
      <c r="K4" s="56"/>
      <c r="L4" s="56"/>
      <c r="M4" s="56"/>
      <c r="N4" s="56"/>
      <c r="O4" s="56"/>
      <c r="P4" s="56"/>
      <c r="Q4" s="56"/>
      <c r="R4" s="56"/>
    </row>
    <row r="5" spans="1:18" s="21" customFormat="1" ht="9" customHeight="1" x14ac:dyDescent="0.3"/>
    <row r="6" spans="1:18" s="20" customFormat="1" ht="19.95" customHeight="1" x14ac:dyDescent="0.25">
      <c r="C6" s="20" t="s">
        <v>1337</v>
      </c>
    </row>
    <row r="7" spans="1:18" s="20" customFormat="1" ht="19.95" customHeight="1" x14ac:dyDescent="0.25">
      <c r="C7" s="20" t="s">
        <v>1338</v>
      </c>
    </row>
    <row r="8" spans="1:18" s="20" customFormat="1" ht="19.95" customHeight="1" x14ac:dyDescent="0.25">
      <c r="C8" s="20" t="s">
        <v>726</v>
      </c>
    </row>
    <row r="9" spans="1:18" s="20" customFormat="1" ht="19.95" customHeight="1" x14ac:dyDescent="0.25">
      <c r="C9" s="20" t="s">
        <v>1245</v>
      </c>
    </row>
    <row r="10" spans="1:18" ht="16.8" x14ac:dyDescent="0.25">
      <c r="C10" s="20" t="s">
        <v>1246</v>
      </c>
    </row>
    <row r="13" spans="1:18" ht="21" x14ac:dyDescent="0.5">
      <c r="A13" s="56"/>
      <c r="B13" s="56" t="s">
        <v>8</v>
      </c>
      <c r="C13" s="56"/>
      <c r="D13" s="56"/>
      <c r="E13" s="56"/>
      <c r="F13" s="56"/>
      <c r="G13" s="56"/>
      <c r="H13" s="56"/>
      <c r="I13" s="56"/>
      <c r="J13" s="56"/>
      <c r="K13" s="56"/>
      <c r="L13" s="56"/>
      <c r="M13" s="56"/>
      <c r="N13" s="56"/>
      <c r="O13" s="56"/>
      <c r="P13" s="56"/>
      <c r="Q13" s="56"/>
      <c r="R13" s="56"/>
    </row>
    <row r="15" spans="1:18" ht="16.8" x14ac:dyDescent="0.3">
      <c r="C15" s="185" t="s">
        <v>727</v>
      </c>
    </row>
    <row r="16" spans="1:18" ht="16.8" x14ac:dyDescent="0.3">
      <c r="C16" s="185"/>
    </row>
    <row r="17" spans="3:14" ht="39" customHeight="1" x14ac:dyDescent="0.25">
      <c r="C17" s="240" t="s">
        <v>728</v>
      </c>
      <c r="D17" s="240"/>
      <c r="E17" s="240"/>
      <c r="G17" s="240" t="s">
        <v>729</v>
      </c>
      <c r="H17" s="240"/>
      <c r="I17" s="240"/>
      <c r="K17" s="241" t="s">
        <v>730</v>
      </c>
      <c r="L17" s="241"/>
      <c r="M17" s="241"/>
      <c r="N17" s="241"/>
    </row>
    <row r="18" spans="3:14" ht="16.8" x14ac:dyDescent="0.3">
      <c r="C18" s="74" t="s">
        <v>731</v>
      </c>
      <c r="D18" s="74" t="s">
        <v>732</v>
      </c>
      <c r="E18" s="74" t="s">
        <v>733</v>
      </c>
      <c r="G18" s="74" t="s">
        <v>731</v>
      </c>
      <c r="H18" s="74" t="s">
        <v>732</v>
      </c>
      <c r="I18" s="74" t="s">
        <v>733</v>
      </c>
      <c r="K18" s="74" t="s">
        <v>731</v>
      </c>
      <c r="L18" s="74" t="s">
        <v>732</v>
      </c>
      <c r="M18" s="74" t="s">
        <v>733</v>
      </c>
      <c r="N18" s="129" t="s">
        <v>734</v>
      </c>
    </row>
    <row r="19" spans="3:14" ht="16.8" x14ac:dyDescent="0.3">
      <c r="C19" s="98" t="s">
        <v>164</v>
      </c>
      <c r="D19" s="119">
        <v>450</v>
      </c>
      <c r="E19" s="130" t="b">
        <f>C19 = "Monday"</f>
        <v>1</v>
      </c>
      <c r="G19" s="98" t="s">
        <v>164</v>
      </c>
      <c r="H19" s="119">
        <v>450</v>
      </c>
      <c r="I19" s="130">
        <f>IF(G19 = "Monday",1,0)</f>
        <v>1</v>
      </c>
      <c r="K19" s="98" t="s">
        <v>164</v>
      </c>
      <c r="L19" s="119">
        <v>450</v>
      </c>
      <c r="M19" s="130">
        <f>IF(K19 = "Monday",1,0)</f>
        <v>1</v>
      </c>
      <c r="N19" s="130">
        <f>L19 * M19</f>
        <v>450</v>
      </c>
    </row>
    <row r="20" spans="3:14" ht="16.8" x14ac:dyDescent="0.3">
      <c r="C20" s="98" t="s">
        <v>165</v>
      </c>
      <c r="D20" s="119">
        <v>500</v>
      </c>
      <c r="E20" s="130" t="b">
        <f t="shared" ref="E20:E39" si="0">C20 = "Monday"</f>
        <v>0</v>
      </c>
      <c r="G20" s="98" t="s">
        <v>165</v>
      </c>
      <c r="H20" s="119">
        <v>500</v>
      </c>
      <c r="I20" s="130">
        <f t="shared" ref="I20:I39" si="1">IF(G20 = "Monday",1,0)</f>
        <v>0</v>
      </c>
      <c r="K20" s="98" t="s">
        <v>165</v>
      </c>
      <c r="L20" s="119">
        <v>500</v>
      </c>
      <c r="M20" s="130">
        <f t="shared" ref="M20:M39" si="2">IF(K20 = "Monday",1,0)</f>
        <v>0</v>
      </c>
      <c r="N20" s="130">
        <f t="shared" ref="N20:N39" si="3">L20 * M20</f>
        <v>0</v>
      </c>
    </row>
    <row r="21" spans="3:14" ht="16.8" x14ac:dyDescent="0.3">
      <c r="C21" s="98" t="s">
        <v>166</v>
      </c>
      <c r="D21" s="119">
        <v>600</v>
      </c>
      <c r="E21" s="130" t="b">
        <f t="shared" si="0"/>
        <v>0</v>
      </c>
      <c r="G21" s="98" t="s">
        <v>166</v>
      </c>
      <c r="H21" s="119">
        <v>600</v>
      </c>
      <c r="I21" s="130">
        <f t="shared" si="1"/>
        <v>0</v>
      </c>
      <c r="K21" s="98" t="s">
        <v>166</v>
      </c>
      <c r="L21" s="119">
        <v>600</v>
      </c>
      <c r="M21" s="130">
        <f t="shared" si="2"/>
        <v>0</v>
      </c>
      <c r="N21" s="130">
        <f t="shared" si="3"/>
        <v>0</v>
      </c>
    </row>
    <row r="22" spans="3:14" ht="16.8" x14ac:dyDescent="0.3">
      <c r="C22" s="98" t="s">
        <v>167</v>
      </c>
      <c r="D22" s="119">
        <v>500</v>
      </c>
      <c r="E22" s="130" t="b">
        <f t="shared" si="0"/>
        <v>0</v>
      </c>
      <c r="G22" s="98" t="s">
        <v>167</v>
      </c>
      <c r="H22" s="119">
        <v>500</v>
      </c>
      <c r="I22" s="130">
        <f t="shared" si="1"/>
        <v>0</v>
      </c>
      <c r="K22" s="98" t="s">
        <v>167</v>
      </c>
      <c r="L22" s="119">
        <v>500</v>
      </c>
      <c r="M22" s="130">
        <f t="shared" si="2"/>
        <v>0</v>
      </c>
      <c r="N22" s="130">
        <f t="shared" si="3"/>
        <v>0</v>
      </c>
    </row>
    <row r="23" spans="3:14" ht="16.8" x14ac:dyDescent="0.3">
      <c r="C23" s="98" t="s">
        <v>168</v>
      </c>
      <c r="D23" s="119">
        <v>900</v>
      </c>
      <c r="E23" s="130" t="b">
        <f t="shared" si="0"/>
        <v>0</v>
      </c>
      <c r="G23" s="98" t="s">
        <v>168</v>
      </c>
      <c r="H23" s="119">
        <v>900</v>
      </c>
      <c r="I23" s="130">
        <f t="shared" si="1"/>
        <v>0</v>
      </c>
      <c r="K23" s="98" t="s">
        <v>168</v>
      </c>
      <c r="L23" s="119">
        <v>900</v>
      </c>
      <c r="M23" s="130">
        <f t="shared" si="2"/>
        <v>0</v>
      </c>
      <c r="N23" s="130">
        <f t="shared" si="3"/>
        <v>0</v>
      </c>
    </row>
    <row r="24" spans="3:14" ht="16.8" x14ac:dyDescent="0.3">
      <c r="C24" s="98" t="s">
        <v>169</v>
      </c>
      <c r="D24" s="119">
        <v>1200</v>
      </c>
      <c r="E24" s="130" t="b">
        <f t="shared" si="0"/>
        <v>0</v>
      </c>
      <c r="G24" s="98" t="s">
        <v>169</v>
      </c>
      <c r="H24" s="119">
        <v>1200</v>
      </c>
      <c r="I24" s="130">
        <f t="shared" si="1"/>
        <v>0</v>
      </c>
      <c r="K24" s="98" t="s">
        <v>169</v>
      </c>
      <c r="L24" s="119">
        <v>1200</v>
      </c>
      <c r="M24" s="130">
        <f t="shared" si="2"/>
        <v>0</v>
      </c>
      <c r="N24" s="130">
        <f t="shared" si="3"/>
        <v>0</v>
      </c>
    </row>
    <row r="25" spans="3:14" ht="16.8" x14ac:dyDescent="0.3">
      <c r="C25" s="98" t="s">
        <v>170</v>
      </c>
      <c r="D25" s="119">
        <v>1300</v>
      </c>
      <c r="E25" s="130" t="b">
        <f t="shared" si="0"/>
        <v>0</v>
      </c>
      <c r="G25" s="98" t="s">
        <v>170</v>
      </c>
      <c r="H25" s="119">
        <v>1300</v>
      </c>
      <c r="I25" s="130">
        <f t="shared" si="1"/>
        <v>0</v>
      </c>
      <c r="K25" s="98" t="s">
        <v>170</v>
      </c>
      <c r="L25" s="119">
        <v>1300</v>
      </c>
      <c r="M25" s="130">
        <f t="shared" si="2"/>
        <v>0</v>
      </c>
      <c r="N25" s="130">
        <f t="shared" si="3"/>
        <v>0</v>
      </c>
    </row>
    <row r="26" spans="3:14" ht="16.8" x14ac:dyDescent="0.3">
      <c r="C26" s="98" t="s">
        <v>164</v>
      </c>
      <c r="D26" s="119">
        <v>504.00000000000006</v>
      </c>
      <c r="E26" s="130" t="b">
        <f t="shared" si="0"/>
        <v>1</v>
      </c>
      <c r="G26" s="98" t="s">
        <v>164</v>
      </c>
      <c r="H26" s="119">
        <v>504.00000000000006</v>
      </c>
      <c r="I26" s="130">
        <f t="shared" si="1"/>
        <v>1</v>
      </c>
      <c r="K26" s="98" t="s">
        <v>164</v>
      </c>
      <c r="L26" s="119">
        <v>504.00000000000006</v>
      </c>
      <c r="M26" s="130">
        <f t="shared" si="2"/>
        <v>1</v>
      </c>
      <c r="N26" s="130">
        <f t="shared" si="3"/>
        <v>504.00000000000006</v>
      </c>
    </row>
    <row r="27" spans="3:14" ht="16.8" x14ac:dyDescent="0.3">
      <c r="C27" s="98" t="s">
        <v>165</v>
      </c>
      <c r="D27" s="119">
        <v>560</v>
      </c>
      <c r="E27" s="130" t="b">
        <f t="shared" si="0"/>
        <v>0</v>
      </c>
      <c r="G27" s="98" t="s">
        <v>165</v>
      </c>
      <c r="H27" s="119">
        <v>560</v>
      </c>
      <c r="I27" s="130">
        <f t="shared" si="1"/>
        <v>0</v>
      </c>
      <c r="K27" s="98" t="s">
        <v>165</v>
      </c>
      <c r="L27" s="119">
        <v>560</v>
      </c>
      <c r="M27" s="130">
        <f t="shared" si="2"/>
        <v>0</v>
      </c>
      <c r="N27" s="130">
        <f t="shared" si="3"/>
        <v>0</v>
      </c>
    </row>
    <row r="28" spans="3:14" ht="16.8" x14ac:dyDescent="0.3">
      <c r="C28" s="98" t="s">
        <v>166</v>
      </c>
      <c r="D28" s="119">
        <v>672.00000000000011</v>
      </c>
      <c r="E28" s="130" t="b">
        <f t="shared" si="0"/>
        <v>0</v>
      </c>
      <c r="G28" s="98" t="s">
        <v>166</v>
      </c>
      <c r="H28" s="119">
        <v>672.00000000000011</v>
      </c>
      <c r="I28" s="130">
        <f t="shared" si="1"/>
        <v>0</v>
      </c>
      <c r="K28" s="98" t="s">
        <v>166</v>
      </c>
      <c r="L28" s="119">
        <v>672.00000000000011</v>
      </c>
      <c r="M28" s="130">
        <f t="shared" si="2"/>
        <v>0</v>
      </c>
      <c r="N28" s="130">
        <f t="shared" si="3"/>
        <v>0</v>
      </c>
    </row>
    <row r="29" spans="3:14" ht="16.8" x14ac:dyDescent="0.3">
      <c r="C29" s="98" t="s">
        <v>167</v>
      </c>
      <c r="D29" s="119">
        <v>560</v>
      </c>
      <c r="E29" s="130" t="b">
        <f t="shared" si="0"/>
        <v>0</v>
      </c>
      <c r="G29" s="98" t="s">
        <v>167</v>
      </c>
      <c r="H29" s="119">
        <v>560</v>
      </c>
      <c r="I29" s="130">
        <f t="shared" si="1"/>
        <v>0</v>
      </c>
      <c r="K29" s="98" t="s">
        <v>167</v>
      </c>
      <c r="L29" s="119">
        <v>560</v>
      </c>
      <c r="M29" s="130">
        <f t="shared" si="2"/>
        <v>0</v>
      </c>
      <c r="N29" s="130">
        <f t="shared" si="3"/>
        <v>0</v>
      </c>
    </row>
    <row r="30" spans="3:14" ht="16.8" x14ac:dyDescent="0.3">
      <c r="C30" s="98" t="s">
        <v>168</v>
      </c>
      <c r="D30" s="119">
        <v>1008.0000000000001</v>
      </c>
      <c r="E30" s="130" t="b">
        <f t="shared" si="0"/>
        <v>0</v>
      </c>
      <c r="G30" s="98" t="s">
        <v>168</v>
      </c>
      <c r="H30" s="119">
        <v>1008.0000000000001</v>
      </c>
      <c r="I30" s="130">
        <f t="shared" si="1"/>
        <v>0</v>
      </c>
      <c r="K30" s="98" t="s">
        <v>168</v>
      </c>
      <c r="L30" s="119">
        <v>1008.0000000000001</v>
      </c>
      <c r="M30" s="130">
        <f t="shared" si="2"/>
        <v>0</v>
      </c>
      <c r="N30" s="130">
        <f t="shared" si="3"/>
        <v>0</v>
      </c>
    </row>
    <row r="31" spans="3:14" ht="16.8" x14ac:dyDescent="0.3">
      <c r="C31" s="98" t="s">
        <v>169</v>
      </c>
      <c r="D31" s="119">
        <v>1344.0000000000002</v>
      </c>
      <c r="E31" s="130" t="b">
        <f t="shared" si="0"/>
        <v>0</v>
      </c>
      <c r="G31" s="98" t="s">
        <v>169</v>
      </c>
      <c r="H31" s="119">
        <v>1344.0000000000002</v>
      </c>
      <c r="I31" s="130">
        <f t="shared" si="1"/>
        <v>0</v>
      </c>
      <c r="K31" s="98" t="s">
        <v>169</v>
      </c>
      <c r="L31" s="119">
        <v>1344.0000000000002</v>
      </c>
      <c r="M31" s="130">
        <f t="shared" si="2"/>
        <v>0</v>
      </c>
      <c r="N31" s="130">
        <f t="shared" si="3"/>
        <v>0</v>
      </c>
    </row>
    <row r="32" spans="3:14" ht="16.8" x14ac:dyDescent="0.3">
      <c r="C32" s="98" t="s">
        <v>170</v>
      </c>
      <c r="D32" s="119">
        <v>1456.0000000000002</v>
      </c>
      <c r="E32" s="130" t="b">
        <f t="shared" si="0"/>
        <v>0</v>
      </c>
      <c r="G32" s="98" t="s">
        <v>170</v>
      </c>
      <c r="H32" s="119">
        <v>1456.0000000000002</v>
      </c>
      <c r="I32" s="130">
        <f t="shared" si="1"/>
        <v>0</v>
      </c>
      <c r="K32" s="98" t="s">
        <v>170</v>
      </c>
      <c r="L32" s="119">
        <v>1456.0000000000002</v>
      </c>
      <c r="M32" s="130">
        <f t="shared" si="2"/>
        <v>0</v>
      </c>
      <c r="N32" s="130">
        <f t="shared" si="3"/>
        <v>0</v>
      </c>
    </row>
    <row r="33" spans="3:14" ht="16.8" x14ac:dyDescent="0.3">
      <c r="C33" s="98" t="s">
        <v>164</v>
      </c>
      <c r="D33" s="119">
        <v>432</v>
      </c>
      <c r="E33" s="130" t="b">
        <f t="shared" si="0"/>
        <v>1</v>
      </c>
      <c r="G33" s="98" t="s">
        <v>164</v>
      </c>
      <c r="H33" s="119">
        <v>432</v>
      </c>
      <c r="I33" s="130">
        <f t="shared" si="1"/>
        <v>1</v>
      </c>
      <c r="K33" s="98" t="s">
        <v>164</v>
      </c>
      <c r="L33" s="119">
        <v>432</v>
      </c>
      <c r="M33" s="130">
        <f t="shared" si="2"/>
        <v>1</v>
      </c>
      <c r="N33" s="130">
        <f t="shared" si="3"/>
        <v>432</v>
      </c>
    </row>
    <row r="34" spans="3:14" ht="16.8" x14ac:dyDescent="0.3">
      <c r="C34" s="98" t="s">
        <v>165</v>
      </c>
      <c r="D34" s="119">
        <v>480</v>
      </c>
      <c r="E34" s="130" t="b">
        <f t="shared" si="0"/>
        <v>0</v>
      </c>
      <c r="G34" s="98" t="s">
        <v>165</v>
      </c>
      <c r="H34" s="119">
        <v>480</v>
      </c>
      <c r="I34" s="130">
        <f t="shared" si="1"/>
        <v>0</v>
      </c>
      <c r="K34" s="98" t="s">
        <v>165</v>
      </c>
      <c r="L34" s="119">
        <v>480</v>
      </c>
      <c r="M34" s="130">
        <f t="shared" si="2"/>
        <v>0</v>
      </c>
      <c r="N34" s="130">
        <f t="shared" si="3"/>
        <v>0</v>
      </c>
    </row>
    <row r="35" spans="3:14" ht="16.8" x14ac:dyDescent="0.3">
      <c r="C35" s="98" t="s">
        <v>166</v>
      </c>
      <c r="D35" s="119">
        <v>576</v>
      </c>
      <c r="E35" s="130" t="b">
        <f t="shared" si="0"/>
        <v>0</v>
      </c>
      <c r="G35" s="98" t="s">
        <v>166</v>
      </c>
      <c r="H35" s="119">
        <v>576</v>
      </c>
      <c r="I35" s="130">
        <f t="shared" si="1"/>
        <v>0</v>
      </c>
      <c r="K35" s="98" t="s">
        <v>166</v>
      </c>
      <c r="L35" s="119">
        <v>576</v>
      </c>
      <c r="M35" s="130">
        <f t="shared" si="2"/>
        <v>0</v>
      </c>
      <c r="N35" s="130">
        <f t="shared" si="3"/>
        <v>0</v>
      </c>
    </row>
    <row r="36" spans="3:14" ht="16.8" x14ac:dyDescent="0.3">
      <c r="C36" s="98" t="s">
        <v>167</v>
      </c>
      <c r="D36" s="119">
        <v>480</v>
      </c>
      <c r="E36" s="130" t="b">
        <f t="shared" si="0"/>
        <v>0</v>
      </c>
      <c r="G36" s="98" t="s">
        <v>167</v>
      </c>
      <c r="H36" s="119">
        <v>480</v>
      </c>
      <c r="I36" s="130">
        <f t="shared" si="1"/>
        <v>0</v>
      </c>
      <c r="K36" s="98" t="s">
        <v>167</v>
      </c>
      <c r="L36" s="119">
        <v>480</v>
      </c>
      <c r="M36" s="130">
        <f t="shared" si="2"/>
        <v>0</v>
      </c>
      <c r="N36" s="130">
        <f t="shared" si="3"/>
        <v>0</v>
      </c>
    </row>
    <row r="37" spans="3:14" ht="16.8" x14ac:dyDescent="0.3">
      <c r="C37" s="98" t="s">
        <v>168</v>
      </c>
      <c r="D37" s="119">
        <v>864</v>
      </c>
      <c r="E37" s="130" t="b">
        <f t="shared" si="0"/>
        <v>0</v>
      </c>
      <c r="G37" s="98" t="s">
        <v>168</v>
      </c>
      <c r="H37" s="119">
        <v>864</v>
      </c>
      <c r="I37" s="130">
        <f t="shared" si="1"/>
        <v>0</v>
      </c>
      <c r="K37" s="98" t="s">
        <v>168</v>
      </c>
      <c r="L37" s="119">
        <v>864</v>
      </c>
      <c r="M37" s="130">
        <f t="shared" si="2"/>
        <v>0</v>
      </c>
      <c r="N37" s="130">
        <f t="shared" si="3"/>
        <v>0</v>
      </c>
    </row>
    <row r="38" spans="3:14" ht="16.8" x14ac:dyDescent="0.3">
      <c r="C38" s="98" t="s">
        <v>169</v>
      </c>
      <c r="D38" s="119">
        <v>1152</v>
      </c>
      <c r="E38" s="130" t="b">
        <f t="shared" si="0"/>
        <v>0</v>
      </c>
      <c r="G38" s="98" t="s">
        <v>169</v>
      </c>
      <c r="H38" s="119">
        <v>1152</v>
      </c>
      <c r="I38" s="130">
        <f t="shared" si="1"/>
        <v>0</v>
      </c>
      <c r="K38" s="98" t="s">
        <v>169</v>
      </c>
      <c r="L38" s="119">
        <v>1152</v>
      </c>
      <c r="M38" s="130">
        <f t="shared" si="2"/>
        <v>0</v>
      </c>
      <c r="N38" s="130">
        <f t="shared" si="3"/>
        <v>0</v>
      </c>
    </row>
    <row r="39" spans="3:14" ht="16.8" x14ac:dyDescent="0.3">
      <c r="C39" s="98" t="s">
        <v>170</v>
      </c>
      <c r="D39" s="119">
        <v>1248</v>
      </c>
      <c r="E39" s="130" t="b">
        <f t="shared" si="0"/>
        <v>0</v>
      </c>
      <c r="G39" s="98" t="s">
        <v>170</v>
      </c>
      <c r="H39" s="119">
        <v>1248</v>
      </c>
      <c r="I39" s="130">
        <f t="shared" si="1"/>
        <v>0</v>
      </c>
      <c r="K39" s="98" t="s">
        <v>170</v>
      </c>
      <c r="L39" s="119">
        <v>1248</v>
      </c>
      <c r="M39" s="130">
        <f t="shared" si="2"/>
        <v>0</v>
      </c>
      <c r="N39" s="131">
        <f t="shared" si="3"/>
        <v>0</v>
      </c>
    </row>
    <row r="40" spans="3:14" ht="16.8" x14ac:dyDescent="0.3">
      <c r="N40" s="132">
        <f>SUM(N19:N39)</f>
        <v>1386</v>
      </c>
    </row>
    <row r="42" spans="3:14" ht="16.8" x14ac:dyDescent="0.3">
      <c r="C42" s="185" t="s">
        <v>1247</v>
      </c>
    </row>
    <row r="43" spans="3:14" ht="16.8" x14ac:dyDescent="0.3">
      <c r="C43" s="185" t="s">
        <v>1339</v>
      </c>
    </row>
    <row r="44" spans="3:14" ht="16.8" x14ac:dyDescent="0.3">
      <c r="C44" s="185"/>
    </row>
    <row r="45" spans="3:14" ht="16.8" x14ac:dyDescent="0.3">
      <c r="C45" s="185" t="s">
        <v>735</v>
      </c>
    </row>
    <row r="47" spans="3:14" ht="16.8" x14ac:dyDescent="0.3">
      <c r="C47" s="74" t="s">
        <v>731</v>
      </c>
      <c r="D47" s="74" t="s">
        <v>732</v>
      </c>
      <c r="E47" s="74" t="s">
        <v>733</v>
      </c>
      <c r="F47" s="129" t="s">
        <v>734</v>
      </c>
    </row>
    <row r="48" spans="3:14" ht="16.8" x14ac:dyDescent="0.3">
      <c r="C48" s="98" t="s">
        <v>164</v>
      </c>
      <c r="D48" s="119">
        <v>450</v>
      </c>
      <c r="E48" s="130" t="b">
        <f>C48 = "Monday"</f>
        <v>1</v>
      </c>
      <c r="F48" s="130">
        <f>D48 * E48</f>
        <v>450</v>
      </c>
    </row>
    <row r="49" spans="3:6" ht="16.8" x14ac:dyDescent="0.3">
      <c r="C49" s="98" t="s">
        <v>165</v>
      </c>
      <c r="D49" s="119">
        <v>500</v>
      </c>
      <c r="E49" s="130" t="b">
        <f t="shared" ref="E49:E68" si="4">C49 = "Monday"</f>
        <v>0</v>
      </c>
      <c r="F49" s="130">
        <f t="shared" ref="F49:F68" si="5">D49 * E49</f>
        <v>0</v>
      </c>
    </row>
    <row r="50" spans="3:6" ht="16.8" x14ac:dyDescent="0.3">
      <c r="C50" s="98" t="s">
        <v>166</v>
      </c>
      <c r="D50" s="119">
        <v>600</v>
      </c>
      <c r="E50" s="130" t="b">
        <f t="shared" si="4"/>
        <v>0</v>
      </c>
      <c r="F50" s="130">
        <f t="shared" si="5"/>
        <v>0</v>
      </c>
    </row>
    <row r="51" spans="3:6" ht="16.8" x14ac:dyDescent="0.3">
      <c r="C51" s="98" t="s">
        <v>167</v>
      </c>
      <c r="D51" s="119">
        <v>500</v>
      </c>
      <c r="E51" s="130" t="b">
        <f t="shared" si="4"/>
        <v>0</v>
      </c>
      <c r="F51" s="130">
        <f t="shared" si="5"/>
        <v>0</v>
      </c>
    </row>
    <row r="52" spans="3:6" ht="16.8" x14ac:dyDescent="0.3">
      <c r="C52" s="98" t="s">
        <v>168</v>
      </c>
      <c r="D52" s="119">
        <v>900</v>
      </c>
      <c r="E52" s="130" t="b">
        <f t="shared" si="4"/>
        <v>0</v>
      </c>
      <c r="F52" s="130">
        <f t="shared" si="5"/>
        <v>0</v>
      </c>
    </row>
    <row r="53" spans="3:6" ht="16.8" x14ac:dyDescent="0.3">
      <c r="C53" s="98" t="s">
        <v>169</v>
      </c>
      <c r="D53" s="119">
        <v>1200</v>
      </c>
      <c r="E53" s="130" t="b">
        <f t="shared" si="4"/>
        <v>0</v>
      </c>
      <c r="F53" s="130">
        <f t="shared" si="5"/>
        <v>0</v>
      </c>
    </row>
    <row r="54" spans="3:6" ht="16.8" x14ac:dyDescent="0.3">
      <c r="C54" s="98" t="s">
        <v>170</v>
      </c>
      <c r="D54" s="119">
        <v>1300</v>
      </c>
      <c r="E54" s="130" t="b">
        <f t="shared" si="4"/>
        <v>0</v>
      </c>
      <c r="F54" s="130">
        <f t="shared" si="5"/>
        <v>0</v>
      </c>
    </row>
    <row r="55" spans="3:6" ht="16.8" x14ac:dyDescent="0.3">
      <c r="C55" s="98" t="s">
        <v>164</v>
      </c>
      <c r="D55" s="119">
        <v>504.00000000000006</v>
      </c>
      <c r="E55" s="130" t="b">
        <f t="shared" si="4"/>
        <v>1</v>
      </c>
      <c r="F55" s="130">
        <f t="shared" si="5"/>
        <v>504.00000000000006</v>
      </c>
    </row>
    <row r="56" spans="3:6" ht="16.8" x14ac:dyDescent="0.3">
      <c r="C56" s="98" t="s">
        <v>165</v>
      </c>
      <c r="D56" s="119">
        <v>560</v>
      </c>
      <c r="E56" s="130" t="b">
        <f t="shared" si="4"/>
        <v>0</v>
      </c>
      <c r="F56" s="130">
        <f t="shared" si="5"/>
        <v>0</v>
      </c>
    </row>
    <row r="57" spans="3:6" ht="16.8" x14ac:dyDescent="0.3">
      <c r="C57" s="98" t="s">
        <v>166</v>
      </c>
      <c r="D57" s="119">
        <v>672.00000000000011</v>
      </c>
      <c r="E57" s="130" t="b">
        <f t="shared" si="4"/>
        <v>0</v>
      </c>
      <c r="F57" s="130">
        <f t="shared" si="5"/>
        <v>0</v>
      </c>
    </row>
    <row r="58" spans="3:6" ht="16.8" x14ac:dyDescent="0.3">
      <c r="C58" s="98" t="s">
        <v>167</v>
      </c>
      <c r="D58" s="119">
        <v>560</v>
      </c>
      <c r="E58" s="130" t="b">
        <f t="shared" si="4"/>
        <v>0</v>
      </c>
      <c r="F58" s="130">
        <f t="shared" si="5"/>
        <v>0</v>
      </c>
    </row>
    <row r="59" spans="3:6" ht="16.8" x14ac:dyDescent="0.3">
      <c r="C59" s="98" t="s">
        <v>168</v>
      </c>
      <c r="D59" s="119">
        <v>1008.0000000000001</v>
      </c>
      <c r="E59" s="130" t="b">
        <f t="shared" si="4"/>
        <v>0</v>
      </c>
      <c r="F59" s="130">
        <f t="shared" si="5"/>
        <v>0</v>
      </c>
    </row>
    <row r="60" spans="3:6" ht="16.8" x14ac:dyDescent="0.3">
      <c r="C60" s="98" t="s">
        <v>169</v>
      </c>
      <c r="D60" s="119">
        <v>1344.0000000000002</v>
      </c>
      <c r="E60" s="130" t="b">
        <f t="shared" si="4"/>
        <v>0</v>
      </c>
      <c r="F60" s="130">
        <f t="shared" si="5"/>
        <v>0</v>
      </c>
    </row>
    <row r="61" spans="3:6" ht="16.8" x14ac:dyDescent="0.3">
      <c r="C61" s="98" t="s">
        <v>170</v>
      </c>
      <c r="D61" s="119">
        <v>1456.0000000000002</v>
      </c>
      <c r="E61" s="130" t="b">
        <f t="shared" si="4"/>
        <v>0</v>
      </c>
      <c r="F61" s="130">
        <f t="shared" si="5"/>
        <v>0</v>
      </c>
    </row>
    <row r="62" spans="3:6" ht="16.8" x14ac:dyDescent="0.3">
      <c r="C62" s="98" t="s">
        <v>164</v>
      </c>
      <c r="D62" s="119">
        <v>432</v>
      </c>
      <c r="E62" s="130" t="b">
        <f t="shared" si="4"/>
        <v>1</v>
      </c>
      <c r="F62" s="130">
        <f t="shared" si="5"/>
        <v>432</v>
      </c>
    </row>
    <row r="63" spans="3:6" ht="16.8" x14ac:dyDescent="0.3">
      <c r="C63" s="98" t="s">
        <v>165</v>
      </c>
      <c r="D63" s="119">
        <v>480</v>
      </c>
      <c r="E63" s="130" t="b">
        <f t="shared" si="4"/>
        <v>0</v>
      </c>
      <c r="F63" s="130">
        <f t="shared" si="5"/>
        <v>0</v>
      </c>
    </row>
    <row r="64" spans="3:6" ht="16.8" x14ac:dyDescent="0.3">
      <c r="C64" s="98" t="s">
        <v>166</v>
      </c>
      <c r="D64" s="119">
        <v>576</v>
      </c>
      <c r="E64" s="130" t="b">
        <f t="shared" si="4"/>
        <v>0</v>
      </c>
      <c r="F64" s="130">
        <f t="shared" si="5"/>
        <v>0</v>
      </c>
    </row>
    <row r="65" spans="1:18" ht="16.8" x14ac:dyDescent="0.3">
      <c r="C65" s="98" t="s">
        <v>167</v>
      </c>
      <c r="D65" s="119">
        <v>480</v>
      </c>
      <c r="E65" s="130" t="b">
        <f t="shared" si="4"/>
        <v>0</v>
      </c>
      <c r="F65" s="130">
        <f t="shared" si="5"/>
        <v>0</v>
      </c>
    </row>
    <row r="66" spans="1:18" ht="16.8" x14ac:dyDescent="0.3">
      <c r="C66" s="98" t="s">
        <v>168</v>
      </c>
      <c r="D66" s="119">
        <v>864</v>
      </c>
      <c r="E66" s="130" t="b">
        <f t="shared" si="4"/>
        <v>0</v>
      </c>
      <c r="F66" s="130">
        <f t="shared" si="5"/>
        <v>0</v>
      </c>
    </row>
    <row r="67" spans="1:18" ht="16.8" x14ac:dyDescent="0.3">
      <c r="C67" s="98" t="s">
        <v>169</v>
      </c>
      <c r="D67" s="119">
        <v>1152</v>
      </c>
      <c r="E67" s="130" t="b">
        <f t="shared" si="4"/>
        <v>0</v>
      </c>
      <c r="F67" s="130">
        <f t="shared" si="5"/>
        <v>0</v>
      </c>
    </row>
    <row r="68" spans="1:18" ht="16.8" x14ac:dyDescent="0.3">
      <c r="C68" s="98" t="s">
        <v>170</v>
      </c>
      <c r="D68" s="119">
        <v>1248</v>
      </c>
      <c r="E68" s="130" t="b">
        <f t="shared" si="4"/>
        <v>0</v>
      </c>
      <c r="F68" s="131">
        <f t="shared" si="5"/>
        <v>0</v>
      </c>
    </row>
    <row r="69" spans="1:18" ht="16.8" x14ac:dyDescent="0.3">
      <c r="F69" s="132">
        <f>SUM(F48:F68)</f>
        <v>1386</v>
      </c>
    </row>
    <row r="71" spans="1:18" ht="16.8" x14ac:dyDescent="0.3">
      <c r="C71" s="185" t="s">
        <v>1248</v>
      </c>
    </row>
    <row r="74" spans="1:18" ht="21" x14ac:dyDescent="0.5">
      <c r="A74" s="56"/>
      <c r="B74" s="56" t="s">
        <v>736</v>
      </c>
      <c r="C74" s="56"/>
      <c r="D74" s="56"/>
      <c r="E74" s="56"/>
      <c r="F74" s="56"/>
      <c r="G74" s="56"/>
      <c r="H74" s="56"/>
      <c r="I74" s="56"/>
      <c r="J74" s="56"/>
      <c r="K74" s="56"/>
      <c r="L74" s="56"/>
      <c r="M74" s="56"/>
      <c r="N74" s="56"/>
      <c r="O74" s="56"/>
      <c r="P74" s="56"/>
      <c r="Q74" s="56"/>
      <c r="R74" s="56"/>
    </row>
    <row r="76" spans="1:18" ht="16.8" x14ac:dyDescent="0.3">
      <c r="C76" s="185" t="s">
        <v>1250</v>
      </c>
    </row>
    <row r="79" spans="1:18" ht="16.8" x14ac:dyDescent="0.3">
      <c r="C79" s="74" t="s">
        <v>737</v>
      </c>
      <c r="D79" s="98" t="s">
        <v>165</v>
      </c>
    </row>
    <row r="80" spans="1:18" ht="16.8" x14ac:dyDescent="0.3">
      <c r="C80" s="74" t="s">
        <v>738</v>
      </c>
      <c r="D80" s="98" t="s">
        <v>167</v>
      </c>
    </row>
    <row r="81" spans="3:10" ht="16.8" x14ac:dyDescent="0.3">
      <c r="C81" s="74" t="s">
        <v>739</v>
      </c>
      <c r="D81" s="98" t="s">
        <v>169</v>
      </c>
    </row>
    <row r="82" spans="3:10" ht="16.8" x14ac:dyDescent="0.3">
      <c r="C82" s="21"/>
      <c r="D82" s="21"/>
    </row>
    <row r="83" spans="3:10" ht="16.8" x14ac:dyDescent="0.3">
      <c r="C83" s="74" t="s">
        <v>731</v>
      </c>
      <c r="D83" s="74" t="s">
        <v>433</v>
      </c>
      <c r="E83" s="74" t="s">
        <v>1249</v>
      </c>
      <c r="F83" s="74" t="s">
        <v>740</v>
      </c>
      <c r="G83" s="74" t="s">
        <v>741</v>
      </c>
      <c r="H83" s="129" t="s">
        <v>742</v>
      </c>
    </row>
    <row r="84" spans="3:10" ht="16.8" x14ac:dyDescent="0.3">
      <c r="C84" s="98" t="s">
        <v>164</v>
      </c>
      <c r="D84" s="98" t="s">
        <v>435</v>
      </c>
      <c r="E84" s="119">
        <v>450</v>
      </c>
      <c r="F84" s="130">
        <f>IF(OR(C84 = $D$79,C84 = $D$80,C84 = $D$81),1,0)</f>
        <v>0</v>
      </c>
      <c r="G84" s="130">
        <f>IF(D84="Sunny",1,0)</f>
        <v>1</v>
      </c>
      <c r="H84" s="130">
        <f>E84 * F84 * G84</f>
        <v>0</v>
      </c>
    </row>
    <row r="85" spans="3:10" ht="16.8" x14ac:dyDescent="0.3">
      <c r="C85" s="98" t="s">
        <v>165</v>
      </c>
      <c r="D85" s="98" t="s">
        <v>437</v>
      </c>
      <c r="E85" s="119">
        <v>500</v>
      </c>
      <c r="F85" s="130">
        <f t="shared" ref="F85:F97" si="6">IF(OR(C85 = $D$79,C85 = $D$80,C85 = $D$81),1,0)</f>
        <v>1</v>
      </c>
      <c r="G85" s="130">
        <f t="shared" ref="G85:G97" si="7">IF(D85="Sunny",1,0)</f>
        <v>0</v>
      </c>
      <c r="H85" s="130">
        <f t="shared" ref="H85:H97" si="8">E85 * F85 * G85</f>
        <v>0</v>
      </c>
    </row>
    <row r="86" spans="3:10" ht="16.8" x14ac:dyDescent="0.3">
      <c r="C86" s="98" t="s">
        <v>166</v>
      </c>
      <c r="D86" s="98" t="s">
        <v>437</v>
      </c>
      <c r="E86" s="119">
        <v>600</v>
      </c>
      <c r="F86" s="130">
        <f t="shared" si="6"/>
        <v>0</v>
      </c>
      <c r="G86" s="130">
        <f t="shared" si="7"/>
        <v>0</v>
      </c>
      <c r="H86" s="130">
        <f t="shared" si="8"/>
        <v>0</v>
      </c>
    </row>
    <row r="87" spans="3:10" ht="16.8" x14ac:dyDescent="0.3">
      <c r="C87" s="98" t="s">
        <v>167</v>
      </c>
      <c r="D87" s="98" t="s">
        <v>435</v>
      </c>
      <c r="E87" s="119">
        <v>500</v>
      </c>
      <c r="F87" s="130">
        <f t="shared" si="6"/>
        <v>1</v>
      </c>
      <c r="G87" s="130">
        <f t="shared" si="7"/>
        <v>1</v>
      </c>
      <c r="H87" s="130">
        <f t="shared" si="8"/>
        <v>500</v>
      </c>
      <c r="J87" s="185" t="s">
        <v>743</v>
      </c>
    </row>
    <row r="88" spans="3:10" ht="16.8" x14ac:dyDescent="0.3">
      <c r="C88" s="98" t="s">
        <v>168</v>
      </c>
      <c r="D88" s="98" t="s">
        <v>435</v>
      </c>
      <c r="E88" s="119">
        <v>900</v>
      </c>
      <c r="F88" s="130">
        <f t="shared" si="6"/>
        <v>0</v>
      </c>
      <c r="G88" s="130">
        <f t="shared" si="7"/>
        <v>1</v>
      </c>
      <c r="H88" s="130">
        <f t="shared" si="8"/>
        <v>0</v>
      </c>
      <c r="J88" s="185"/>
    </row>
    <row r="89" spans="3:10" ht="16.8" x14ac:dyDescent="0.3">
      <c r="C89" s="98" t="s">
        <v>169</v>
      </c>
      <c r="D89" s="98" t="s">
        <v>436</v>
      </c>
      <c r="E89" s="119">
        <v>1200</v>
      </c>
      <c r="F89" s="130">
        <f t="shared" si="6"/>
        <v>1</v>
      </c>
      <c r="G89" s="130">
        <f t="shared" si="7"/>
        <v>0</v>
      </c>
      <c r="H89" s="130">
        <f t="shared" si="8"/>
        <v>0</v>
      </c>
      <c r="J89" s="185" t="s">
        <v>744</v>
      </c>
    </row>
    <row r="90" spans="3:10" ht="16.8" x14ac:dyDescent="0.3">
      <c r="C90" s="98" t="s">
        <v>170</v>
      </c>
      <c r="D90" s="98" t="s">
        <v>436</v>
      </c>
      <c r="E90" s="119">
        <v>1300</v>
      </c>
      <c r="F90" s="130">
        <f t="shared" si="6"/>
        <v>0</v>
      </c>
      <c r="G90" s="130">
        <f t="shared" si="7"/>
        <v>0</v>
      </c>
      <c r="H90" s="130">
        <f t="shared" si="8"/>
        <v>0</v>
      </c>
      <c r="J90" s="185"/>
    </row>
    <row r="91" spans="3:10" ht="16.8" x14ac:dyDescent="0.3">
      <c r="C91" s="98" t="s">
        <v>164</v>
      </c>
      <c r="D91" s="98" t="s">
        <v>437</v>
      </c>
      <c r="E91" s="119">
        <v>504.00000000000006</v>
      </c>
      <c r="F91" s="130">
        <f t="shared" si="6"/>
        <v>0</v>
      </c>
      <c r="G91" s="130">
        <f t="shared" si="7"/>
        <v>0</v>
      </c>
      <c r="H91" s="130">
        <f t="shared" si="8"/>
        <v>0</v>
      </c>
      <c r="J91" s="185" t="s">
        <v>745</v>
      </c>
    </row>
    <row r="92" spans="3:10" ht="16.8" x14ac:dyDescent="0.3">
      <c r="C92" s="98" t="s">
        <v>165</v>
      </c>
      <c r="D92" s="98" t="s">
        <v>435</v>
      </c>
      <c r="E92" s="119">
        <v>560</v>
      </c>
      <c r="F92" s="130">
        <f t="shared" si="6"/>
        <v>1</v>
      </c>
      <c r="G92" s="130">
        <f t="shared" si="7"/>
        <v>1</v>
      </c>
      <c r="H92" s="130">
        <f t="shared" si="8"/>
        <v>560</v>
      </c>
      <c r="J92" s="185"/>
    </row>
    <row r="93" spans="3:10" ht="16.8" x14ac:dyDescent="0.3">
      <c r="C93" s="98" t="s">
        <v>166</v>
      </c>
      <c r="D93" s="98" t="s">
        <v>437</v>
      </c>
      <c r="E93" s="119">
        <v>672.00000000000011</v>
      </c>
      <c r="F93" s="130">
        <f t="shared" si="6"/>
        <v>0</v>
      </c>
      <c r="G93" s="130">
        <f t="shared" si="7"/>
        <v>0</v>
      </c>
      <c r="H93" s="130">
        <f t="shared" si="8"/>
        <v>0</v>
      </c>
      <c r="J93" s="185"/>
    </row>
    <row r="94" spans="3:10" ht="16.8" x14ac:dyDescent="0.3">
      <c r="C94" s="98" t="s">
        <v>167</v>
      </c>
      <c r="D94" s="98" t="s">
        <v>435</v>
      </c>
      <c r="E94" s="119">
        <v>560</v>
      </c>
      <c r="F94" s="130">
        <f t="shared" si="6"/>
        <v>1</v>
      </c>
      <c r="G94" s="130">
        <f t="shared" si="7"/>
        <v>1</v>
      </c>
      <c r="H94" s="130">
        <f t="shared" si="8"/>
        <v>560</v>
      </c>
    </row>
    <row r="95" spans="3:10" ht="16.8" x14ac:dyDescent="0.3">
      <c r="C95" s="98" t="s">
        <v>168</v>
      </c>
      <c r="D95" s="98" t="s">
        <v>435</v>
      </c>
      <c r="E95" s="119">
        <v>1008.0000000000001</v>
      </c>
      <c r="F95" s="130">
        <f t="shared" si="6"/>
        <v>0</v>
      </c>
      <c r="G95" s="130">
        <f t="shared" si="7"/>
        <v>1</v>
      </c>
      <c r="H95" s="130">
        <f t="shared" si="8"/>
        <v>0</v>
      </c>
    </row>
    <row r="96" spans="3:10" ht="16.8" x14ac:dyDescent="0.3">
      <c r="C96" s="98" t="s">
        <v>169</v>
      </c>
      <c r="D96" s="98" t="s">
        <v>435</v>
      </c>
      <c r="E96" s="119">
        <v>1344.0000000000002</v>
      </c>
      <c r="F96" s="130">
        <f t="shared" si="6"/>
        <v>1</v>
      </c>
      <c r="G96" s="130">
        <f t="shared" si="7"/>
        <v>1</v>
      </c>
      <c r="H96" s="130">
        <f t="shared" si="8"/>
        <v>1344.0000000000002</v>
      </c>
    </row>
    <row r="97" spans="1:18" ht="16.8" x14ac:dyDescent="0.3">
      <c r="C97" s="98" t="s">
        <v>170</v>
      </c>
      <c r="D97" s="98" t="s">
        <v>437</v>
      </c>
      <c r="E97" s="119">
        <v>1456.0000000000002</v>
      </c>
      <c r="F97" s="130">
        <f t="shared" si="6"/>
        <v>0</v>
      </c>
      <c r="G97" s="130">
        <f t="shared" si="7"/>
        <v>0</v>
      </c>
      <c r="H97" s="130">
        <f t="shared" si="8"/>
        <v>0</v>
      </c>
    </row>
    <row r="98" spans="1:18" ht="16.8" x14ac:dyDescent="0.3">
      <c r="H98" s="132">
        <f>SUM(H84:H97)</f>
        <v>2964</v>
      </c>
    </row>
    <row r="102" spans="1:18" ht="21" x14ac:dyDescent="0.5">
      <c r="A102" s="56"/>
      <c r="B102" s="56" t="s">
        <v>746</v>
      </c>
      <c r="C102" s="56"/>
      <c r="D102" s="56"/>
      <c r="E102" s="56"/>
      <c r="F102" s="56"/>
      <c r="G102" s="56"/>
      <c r="H102" s="56"/>
      <c r="I102" s="56"/>
      <c r="J102" s="56"/>
      <c r="K102" s="56"/>
      <c r="L102" s="56"/>
      <c r="M102" s="56"/>
      <c r="N102" s="56"/>
      <c r="O102" s="56"/>
      <c r="P102" s="56"/>
      <c r="Q102" s="56"/>
      <c r="R102" s="56"/>
    </row>
    <row r="104" spans="1:18" ht="16.8" x14ac:dyDescent="0.3">
      <c r="A104" s="185"/>
      <c r="B104" s="185" t="s">
        <v>1251</v>
      </c>
      <c r="C104" s="185"/>
    </row>
    <row r="105" spans="1:18" ht="16.8" x14ac:dyDescent="0.3">
      <c r="A105" s="185"/>
      <c r="B105" s="185"/>
      <c r="C105" s="185"/>
    </row>
    <row r="106" spans="1:18" ht="16.8" x14ac:dyDescent="0.3">
      <c r="A106" s="185"/>
      <c r="B106" s="185" t="s">
        <v>747</v>
      </c>
      <c r="C106" s="185"/>
    </row>
    <row r="107" spans="1:18" ht="16.8" x14ac:dyDescent="0.3">
      <c r="A107" s="185"/>
      <c r="B107" s="185"/>
      <c r="C107" s="185"/>
    </row>
    <row r="108" spans="1:18" ht="16.8" x14ac:dyDescent="0.3">
      <c r="A108" s="185"/>
      <c r="B108" s="185" t="s">
        <v>748</v>
      </c>
      <c r="C108" s="185"/>
    </row>
    <row r="109" spans="1:18" ht="16.8" x14ac:dyDescent="0.3">
      <c r="A109" s="185"/>
      <c r="B109" s="185"/>
      <c r="C109" s="185"/>
    </row>
    <row r="110" spans="1:18" ht="16.8" x14ac:dyDescent="0.3">
      <c r="A110" s="185"/>
      <c r="B110" s="185"/>
      <c r="C110" s="224" t="s">
        <v>1252</v>
      </c>
      <c r="D110" s="128">
        <v>44742</v>
      </c>
    </row>
    <row r="112" spans="1:18" ht="16.8" x14ac:dyDescent="0.3">
      <c r="C112" s="74" t="s">
        <v>749</v>
      </c>
      <c r="D112" s="74" t="s">
        <v>750</v>
      </c>
    </row>
    <row r="113" spans="1:4" ht="16.8" x14ac:dyDescent="0.3">
      <c r="C113" s="128">
        <v>44592</v>
      </c>
      <c r="D113" s="130">
        <f>IF(C113=$D$110,1,0)</f>
        <v>0</v>
      </c>
    </row>
    <row r="114" spans="1:4" ht="16.8" x14ac:dyDescent="0.3">
      <c r="C114" s="128">
        <v>44620</v>
      </c>
      <c r="D114" s="130">
        <f t="shared" ref="D114:D124" si="9">IF(C114=$D$110,1,0)</f>
        <v>0</v>
      </c>
    </row>
    <row r="115" spans="1:4" ht="16.8" x14ac:dyDescent="0.3">
      <c r="C115" s="128">
        <v>44651</v>
      </c>
      <c r="D115" s="130">
        <f t="shared" si="9"/>
        <v>0</v>
      </c>
    </row>
    <row r="116" spans="1:4" ht="16.8" x14ac:dyDescent="0.3">
      <c r="C116" s="128">
        <v>44681</v>
      </c>
      <c r="D116" s="130">
        <f t="shared" si="9"/>
        <v>0</v>
      </c>
    </row>
    <row r="117" spans="1:4" ht="16.8" x14ac:dyDescent="0.3">
      <c r="C117" s="128">
        <v>44712</v>
      </c>
      <c r="D117" s="130">
        <f t="shared" si="9"/>
        <v>0</v>
      </c>
    </row>
    <row r="118" spans="1:4" ht="16.8" x14ac:dyDescent="0.3">
      <c r="C118" s="128">
        <v>44742</v>
      </c>
      <c r="D118" s="130">
        <f t="shared" si="9"/>
        <v>1</v>
      </c>
    </row>
    <row r="119" spans="1:4" ht="16.8" x14ac:dyDescent="0.3">
      <c r="C119" s="128">
        <v>44773</v>
      </c>
      <c r="D119" s="130">
        <f t="shared" si="9"/>
        <v>0</v>
      </c>
    </row>
    <row r="120" spans="1:4" ht="16.8" x14ac:dyDescent="0.3">
      <c r="C120" s="128">
        <v>44804</v>
      </c>
      <c r="D120" s="130">
        <f t="shared" si="9"/>
        <v>0</v>
      </c>
    </row>
    <row r="121" spans="1:4" ht="16.8" x14ac:dyDescent="0.3">
      <c r="C121" s="128">
        <v>44834</v>
      </c>
      <c r="D121" s="130">
        <f t="shared" si="9"/>
        <v>0</v>
      </c>
    </row>
    <row r="122" spans="1:4" ht="16.8" x14ac:dyDescent="0.3">
      <c r="C122" s="128">
        <v>44865</v>
      </c>
      <c r="D122" s="130">
        <f t="shared" si="9"/>
        <v>0</v>
      </c>
    </row>
    <row r="123" spans="1:4" ht="16.8" x14ac:dyDescent="0.3">
      <c r="C123" s="128">
        <v>44895</v>
      </c>
      <c r="D123" s="130">
        <f t="shared" si="9"/>
        <v>0</v>
      </c>
    </row>
    <row r="124" spans="1:4" ht="16.8" x14ac:dyDescent="0.3">
      <c r="C124" s="128">
        <v>44926</v>
      </c>
      <c r="D124" s="130">
        <f t="shared" si="9"/>
        <v>0</v>
      </c>
    </row>
    <row r="127" spans="1:4" ht="16.8" x14ac:dyDescent="0.3">
      <c r="A127" s="185"/>
      <c r="B127" s="185" t="s">
        <v>751</v>
      </c>
      <c r="C127" s="185"/>
    </row>
    <row r="128" spans="1:4" ht="16.8" x14ac:dyDescent="0.3">
      <c r="A128" s="185"/>
      <c r="B128" s="185"/>
      <c r="C128" s="185"/>
    </row>
    <row r="129" spans="1:16" ht="16.8" x14ac:dyDescent="0.3">
      <c r="A129" s="185"/>
      <c r="B129" s="185"/>
      <c r="C129" s="185"/>
    </row>
    <row r="130" spans="1:16" ht="16.8" x14ac:dyDescent="0.3">
      <c r="A130" s="185"/>
      <c r="B130" s="185"/>
      <c r="C130" s="224" t="s">
        <v>1252</v>
      </c>
      <c r="D130" s="128">
        <v>44742</v>
      </c>
    </row>
    <row r="131" spans="1:16" ht="16.8" x14ac:dyDescent="0.3">
      <c r="A131" s="185"/>
      <c r="B131" s="185"/>
      <c r="C131" s="225"/>
    </row>
    <row r="132" spans="1:16" ht="16.8" x14ac:dyDescent="0.3">
      <c r="A132" s="185"/>
      <c r="B132" s="185"/>
      <c r="C132" s="225" t="s">
        <v>752</v>
      </c>
      <c r="E132" s="128">
        <v>44592</v>
      </c>
      <c r="F132" s="128">
        <v>44620</v>
      </c>
      <c r="G132" s="128">
        <v>44651</v>
      </c>
      <c r="H132" s="128">
        <v>44681</v>
      </c>
      <c r="I132" s="128">
        <v>44712</v>
      </c>
      <c r="J132" s="128">
        <v>44742</v>
      </c>
      <c r="K132" s="128">
        <v>44773</v>
      </c>
      <c r="L132" s="128">
        <v>44804</v>
      </c>
      <c r="M132" s="128">
        <v>44834</v>
      </c>
      <c r="N132" s="128">
        <v>44865</v>
      </c>
      <c r="O132" s="128">
        <v>44895</v>
      </c>
      <c r="P132" s="128">
        <v>44926</v>
      </c>
    </row>
    <row r="133" spans="1:16" ht="16.8" x14ac:dyDescent="0.3">
      <c r="A133" s="185"/>
      <c r="B133" s="185"/>
      <c r="C133" s="225" t="s">
        <v>753</v>
      </c>
      <c r="E133" s="130">
        <f>IF(E132 = $D130, 1, 0)</f>
        <v>0</v>
      </c>
      <c r="F133" s="130">
        <f t="shared" ref="F133:P133" si="10">IF(F132 = $D130, 1, 0)</f>
        <v>0</v>
      </c>
      <c r="G133" s="130">
        <f t="shared" si="10"/>
        <v>0</v>
      </c>
      <c r="H133" s="130">
        <f t="shared" si="10"/>
        <v>0</v>
      </c>
      <c r="I133" s="130">
        <f t="shared" si="10"/>
        <v>0</v>
      </c>
      <c r="J133" s="130">
        <f t="shared" si="10"/>
        <v>1</v>
      </c>
      <c r="K133" s="130">
        <f t="shared" si="10"/>
        <v>0</v>
      </c>
      <c r="L133" s="130">
        <f t="shared" si="10"/>
        <v>0</v>
      </c>
      <c r="M133" s="130">
        <f t="shared" si="10"/>
        <v>0</v>
      </c>
      <c r="N133" s="130">
        <f t="shared" si="10"/>
        <v>0</v>
      </c>
      <c r="O133" s="130">
        <f t="shared" si="10"/>
        <v>0</v>
      </c>
      <c r="P133" s="130">
        <f t="shared" si="10"/>
        <v>0</v>
      </c>
    </row>
    <row r="134" spans="1:16" ht="16.8" x14ac:dyDescent="0.3">
      <c r="A134" s="185"/>
      <c r="B134" s="185"/>
      <c r="C134" s="226"/>
    </row>
    <row r="135" spans="1:16" ht="16.8" x14ac:dyDescent="0.3">
      <c r="A135" s="185"/>
      <c r="B135" s="185"/>
      <c r="C135" s="185"/>
    </row>
    <row r="136" spans="1:16" ht="16.8" x14ac:dyDescent="0.3">
      <c r="A136" s="185"/>
      <c r="B136" s="185"/>
      <c r="C136" s="185"/>
    </row>
    <row r="137" spans="1:16" ht="16.8" x14ac:dyDescent="0.3">
      <c r="A137" s="185"/>
      <c r="B137" s="185"/>
      <c r="C137" s="225" t="s">
        <v>754</v>
      </c>
    </row>
    <row r="138" spans="1:16" ht="16.8" x14ac:dyDescent="0.3">
      <c r="A138" s="185"/>
      <c r="B138" s="185"/>
      <c r="C138" s="225"/>
    </row>
    <row r="139" spans="1:16" ht="16.8" x14ac:dyDescent="0.3">
      <c r="A139" s="185"/>
      <c r="B139" s="185"/>
      <c r="C139" s="224" t="s">
        <v>1252</v>
      </c>
      <c r="D139" s="128">
        <v>44742</v>
      </c>
    </row>
    <row r="140" spans="1:16" ht="16.8" x14ac:dyDescent="0.3">
      <c r="A140" s="185"/>
      <c r="B140" s="185"/>
      <c r="C140" s="225"/>
    </row>
    <row r="141" spans="1:16" ht="16.8" x14ac:dyDescent="0.3">
      <c r="A141" s="185"/>
      <c r="B141" s="185"/>
      <c r="C141" s="225" t="s">
        <v>752</v>
      </c>
      <c r="E141" s="128">
        <v>44592</v>
      </c>
      <c r="F141" s="128">
        <v>44620</v>
      </c>
      <c r="G141" s="128">
        <v>44651</v>
      </c>
      <c r="H141" s="128">
        <v>44681</v>
      </c>
      <c r="I141" s="128">
        <v>44712</v>
      </c>
      <c r="J141" s="128">
        <v>44742</v>
      </c>
      <c r="K141" s="128">
        <v>44773</v>
      </c>
      <c r="L141" s="128">
        <v>44804</v>
      </c>
      <c r="M141" s="128">
        <v>44834</v>
      </c>
      <c r="N141" s="128">
        <v>44865</v>
      </c>
      <c r="O141" s="128">
        <v>44895</v>
      </c>
      <c r="P141" s="128">
        <v>44926</v>
      </c>
    </row>
    <row r="142" spans="1:16" ht="16.8" x14ac:dyDescent="0.3">
      <c r="A142" s="185"/>
      <c r="B142" s="185"/>
      <c r="C142" s="225" t="s">
        <v>755</v>
      </c>
      <c r="E142" s="130">
        <f>IF(E141 &gt;= $D139, 1, 0)</f>
        <v>0</v>
      </c>
      <c r="F142" s="130">
        <f t="shared" ref="F142:P142" si="11">IF(F141 &gt;= $D139, 1, 0)</f>
        <v>0</v>
      </c>
      <c r="G142" s="130">
        <f t="shared" si="11"/>
        <v>0</v>
      </c>
      <c r="H142" s="130">
        <f t="shared" si="11"/>
        <v>0</v>
      </c>
      <c r="I142" s="130">
        <f t="shared" si="11"/>
        <v>0</v>
      </c>
      <c r="J142" s="130">
        <f t="shared" si="11"/>
        <v>1</v>
      </c>
      <c r="K142" s="130">
        <f t="shared" si="11"/>
        <v>1</v>
      </c>
      <c r="L142" s="130">
        <f t="shared" si="11"/>
        <v>1</v>
      </c>
      <c r="M142" s="130">
        <f t="shared" si="11"/>
        <v>1</v>
      </c>
      <c r="N142" s="130">
        <f t="shared" si="11"/>
        <v>1</v>
      </c>
      <c r="O142" s="130">
        <f t="shared" si="11"/>
        <v>1</v>
      </c>
      <c r="P142" s="130">
        <f t="shared" si="11"/>
        <v>1</v>
      </c>
    </row>
    <row r="143" spans="1:16" ht="16.8" x14ac:dyDescent="0.3">
      <c r="A143" s="185"/>
      <c r="B143" s="185"/>
      <c r="C143" s="225"/>
    </row>
    <row r="144" spans="1:16" ht="16.8" x14ac:dyDescent="0.3">
      <c r="A144" s="185"/>
      <c r="B144" s="185"/>
      <c r="C144" s="225"/>
    </row>
    <row r="145" spans="1:16" ht="16.8" x14ac:dyDescent="0.3">
      <c r="A145" s="185"/>
      <c r="B145" s="185"/>
      <c r="C145" s="225" t="s">
        <v>756</v>
      </c>
    </row>
    <row r="146" spans="1:16" ht="16.8" x14ac:dyDescent="0.3">
      <c r="A146" s="185"/>
      <c r="B146" s="185"/>
      <c r="C146" s="225"/>
    </row>
    <row r="147" spans="1:16" ht="16.8" x14ac:dyDescent="0.3">
      <c r="A147" s="185"/>
      <c r="B147" s="185"/>
      <c r="C147" s="225" t="str">
        <f>C142</f>
        <v>Pre-forecast vs forecast</v>
      </c>
      <c r="D147" s="133">
        <f t="shared" ref="D147:P147" si="12">D142</f>
        <v>0</v>
      </c>
      <c r="E147" s="134">
        <f t="shared" si="12"/>
        <v>0</v>
      </c>
      <c r="F147" s="134">
        <f t="shared" si="12"/>
        <v>0</v>
      </c>
      <c r="G147" s="134">
        <f t="shared" si="12"/>
        <v>0</v>
      </c>
      <c r="H147" s="134">
        <f t="shared" si="12"/>
        <v>0</v>
      </c>
      <c r="I147" s="134">
        <f t="shared" si="12"/>
        <v>0</v>
      </c>
      <c r="J147" s="134">
        <f t="shared" si="12"/>
        <v>1</v>
      </c>
      <c r="K147" s="134">
        <f t="shared" si="12"/>
        <v>1</v>
      </c>
      <c r="L147" s="134">
        <f t="shared" si="12"/>
        <v>1</v>
      </c>
      <c r="M147" s="134">
        <f t="shared" si="12"/>
        <v>1</v>
      </c>
      <c r="N147" s="134">
        <f t="shared" si="12"/>
        <v>1</v>
      </c>
      <c r="O147" s="134">
        <f t="shared" si="12"/>
        <v>1</v>
      </c>
      <c r="P147" s="134">
        <f t="shared" si="12"/>
        <v>1</v>
      </c>
    </row>
    <row r="148" spans="1:16" ht="16.8" x14ac:dyDescent="0.3">
      <c r="A148" s="185"/>
      <c r="B148" s="185"/>
      <c r="C148" s="185" t="s">
        <v>757</v>
      </c>
      <c r="E148" s="11">
        <v>50</v>
      </c>
      <c r="F148" s="11">
        <v>50</v>
      </c>
      <c r="G148" s="11">
        <v>100</v>
      </c>
      <c r="H148" s="11">
        <v>100</v>
      </c>
      <c r="I148" s="11">
        <v>80</v>
      </c>
      <c r="J148" s="11">
        <v>80</v>
      </c>
      <c r="K148" s="11">
        <v>90</v>
      </c>
      <c r="L148" s="11">
        <v>90</v>
      </c>
      <c r="M148" s="11">
        <v>100</v>
      </c>
      <c r="N148" s="11">
        <v>120</v>
      </c>
      <c r="O148" s="11">
        <v>150</v>
      </c>
      <c r="P148" s="11">
        <v>120</v>
      </c>
    </row>
    <row r="149" spans="1:16" ht="16.8" x14ac:dyDescent="0.3">
      <c r="A149" s="185"/>
      <c r="B149" s="185"/>
      <c r="C149" s="185" t="s">
        <v>758</v>
      </c>
      <c r="E149" s="134">
        <f>E147 * E148</f>
        <v>0</v>
      </c>
      <c r="F149" s="134">
        <f t="shared" ref="F149:P149" si="13">F147 * F148</f>
        <v>0</v>
      </c>
      <c r="G149" s="134">
        <f t="shared" si="13"/>
        <v>0</v>
      </c>
      <c r="H149" s="134">
        <f t="shared" si="13"/>
        <v>0</v>
      </c>
      <c r="I149" s="134">
        <f t="shared" si="13"/>
        <v>0</v>
      </c>
      <c r="J149" s="134">
        <f t="shared" si="13"/>
        <v>80</v>
      </c>
      <c r="K149" s="134">
        <f t="shared" si="13"/>
        <v>90</v>
      </c>
      <c r="L149" s="134">
        <f t="shared" si="13"/>
        <v>90</v>
      </c>
      <c r="M149" s="134">
        <f t="shared" si="13"/>
        <v>100</v>
      </c>
      <c r="N149" s="134">
        <f t="shared" si="13"/>
        <v>120</v>
      </c>
      <c r="O149" s="134">
        <f t="shared" si="13"/>
        <v>150</v>
      </c>
      <c r="P149" s="134">
        <f t="shared" si="13"/>
        <v>120</v>
      </c>
    </row>
    <row r="150" spans="1:16" ht="16.8" x14ac:dyDescent="0.3">
      <c r="A150" s="185"/>
      <c r="B150" s="185"/>
      <c r="C150" s="185"/>
    </row>
    <row r="151" spans="1:16" ht="16.8" x14ac:dyDescent="0.3">
      <c r="A151" s="185"/>
      <c r="B151" s="185"/>
      <c r="C151" s="185"/>
    </row>
    <row r="152" spans="1:16" ht="16.8" x14ac:dyDescent="0.3">
      <c r="A152" s="185"/>
      <c r="B152" s="185"/>
      <c r="C152" s="185"/>
    </row>
    <row r="153" spans="1:16" ht="16.8" x14ac:dyDescent="0.3">
      <c r="A153" s="185"/>
      <c r="B153" s="185"/>
      <c r="C153" s="185"/>
    </row>
  </sheetData>
  <mergeCells count="3">
    <mergeCell ref="C17:E17"/>
    <mergeCell ref="G17:I17"/>
    <mergeCell ref="K17:N17"/>
  </mergeCells>
  <dataValidations disablePrompts="1" count="2">
    <dataValidation type="list" allowBlank="1" showInputMessage="1" showErrorMessage="1" sqref="C84:C97" xr:uid="{6B87697B-8463-45DA-8103-C3CD97D597D9}">
      <formula1>"Monday, Tuesday, Wednesday, Thursday, Friday, Saturday, Sunday"</formula1>
    </dataValidation>
    <dataValidation type="list" allowBlank="1" showInputMessage="1" showErrorMessage="1" sqref="D84:D97" xr:uid="{538A661A-9F03-42F0-9B0F-1493A0ED2246}">
      <formula1>"Sunny, Grey, Rainy"</formula1>
    </dataValidation>
  </dataValidation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7B8DC-F75F-9A47-AB85-91E3C6735C3C}">
  <sheetPr>
    <pageSetUpPr fitToPage="1"/>
  </sheetPr>
  <dimension ref="A1:V179"/>
  <sheetViews>
    <sheetView showGridLines="0" zoomScaleNormal="100" workbookViewId="0">
      <pane ySplit="1" topLeftCell="A2" activePane="bottomLeft" state="frozen"/>
      <selection activeCell="C202" sqref="C202:F214"/>
      <selection pane="bottomLeft"/>
    </sheetView>
  </sheetViews>
  <sheetFormatPr defaultColWidth="0" defaultRowHeight="16.8" x14ac:dyDescent="0.3"/>
  <cols>
    <col min="1" max="1" width="3.6640625" style="21" customWidth="1"/>
    <col min="2" max="2" width="4.77734375" style="21" customWidth="1"/>
    <col min="3" max="3" width="14.109375" style="21" customWidth="1"/>
    <col min="4" max="4" width="16.44140625" style="21" customWidth="1"/>
    <col min="5" max="8" width="16.109375" style="21" customWidth="1"/>
    <col min="9" max="20" width="16.44140625" style="21" customWidth="1"/>
    <col min="21" max="21" width="10" style="21" hidden="1" customWidth="1"/>
    <col min="22" max="22" width="10.44140625" style="21" hidden="1" customWidth="1"/>
    <col min="23" max="16384" width="8.77734375" style="21" hidden="1"/>
  </cols>
  <sheetData>
    <row r="1" spans="1:20" s="52" customFormat="1" ht="49.95" customHeight="1" x14ac:dyDescent="0.3">
      <c r="A1" s="49"/>
      <c r="B1" s="50" t="s">
        <v>1347</v>
      </c>
      <c r="C1" s="49"/>
      <c r="D1" s="49"/>
      <c r="E1" s="49"/>
      <c r="F1" s="51"/>
      <c r="G1" s="51"/>
      <c r="H1" s="51"/>
      <c r="I1" s="51"/>
      <c r="J1" s="51"/>
      <c r="K1" s="51"/>
      <c r="L1" s="51"/>
      <c r="M1" s="51"/>
      <c r="N1" s="51"/>
      <c r="O1" s="51"/>
      <c r="P1" s="51"/>
      <c r="Q1" s="51"/>
      <c r="R1" s="51"/>
      <c r="S1" s="51"/>
      <c r="T1" s="51"/>
    </row>
    <row r="2" spans="1:20" ht="12" customHeight="1" x14ac:dyDescent="0.3"/>
    <row r="3" spans="1:20" s="52" customFormat="1" ht="21" x14ac:dyDescent="0.5">
      <c r="A3" s="55"/>
      <c r="B3" s="56" t="s">
        <v>1183</v>
      </c>
      <c r="C3" s="55"/>
      <c r="D3" s="55"/>
      <c r="E3" s="55"/>
      <c r="F3" s="57"/>
      <c r="G3" s="57"/>
      <c r="H3" s="57"/>
      <c r="I3" s="57"/>
      <c r="J3" s="57"/>
      <c r="K3" s="57"/>
      <c r="L3" s="57"/>
      <c r="M3" s="57"/>
      <c r="N3" s="57"/>
      <c r="O3" s="57"/>
      <c r="P3" s="57"/>
      <c r="Q3" s="57"/>
      <c r="R3" s="57"/>
      <c r="S3" s="57"/>
      <c r="T3" s="57"/>
    </row>
    <row r="4" spans="1:20" x14ac:dyDescent="0.3">
      <c r="C4" s="21" t="s">
        <v>1184</v>
      </c>
    </row>
    <row r="5" spans="1:20" x14ac:dyDescent="0.3">
      <c r="C5" s="21" t="s">
        <v>1340</v>
      </c>
    </row>
    <row r="6" spans="1:20" x14ac:dyDescent="0.3">
      <c r="C6" s="21" t="s">
        <v>1185</v>
      </c>
    </row>
    <row r="8" spans="1:20" s="52" customFormat="1" ht="21" x14ac:dyDescent="0.5">
      <c r="A8" s="55"/>
      <c r="B8" s="56" t="s">
        <v>1186</v>
      </c>
      <c r="C8" s="55"/>
      <c r="D8" s="55"/>
      <c r="E8" s="55"/>
      <c r="F8" s="57"/>
      <c r="G8" s="57"/>
      <c r="H8" s="57"/>
      <c r="I8" s="57"/>
      <c r="J8" s="57"/>
      <c r="K8" s="57"/>
      <c r="L8" s="57"/>
      <c r="M8" s="57"/>
      <c r="N8" s="57"/>
      <c r="O8" s="57"/>
      <c r="P8" s="57"/>
      <c r="Q8" s="57"/>
      <c r="R8" s="57"/>
      <c r="S8" s="57"/>
      <c r="T8" s="57"/>
    </row>
    <row r="10" spans="1:20" x14ac:dyDescent="0.3">
      <c r="C10" s="21" t="s">
        <v>1187</v>
      </c>
    </row>
    <row r="12" spans="1:20" x14ac:dyDescent="0.3">
      <c r="C12" s="21" t="s">
        <v>1188</v>
      </c>
    </row>
    <row r="14" spans="1:20" x14ac:dyDescent="0.3">
      <c r="B14" s="37" t="s">
        <v>1192</v>
      </c>
      <c r="C14" s="37" t="s">
        <v>1193</v>
      </c>
      <c r="D14" s="109" t="s">
        <v>1194</v>
      </c>
    </row>
    <row r="15" spans="1:20" ht="24" customHeight="1" x14ac:dyDescent="0.5">
      <c r="C15" s="199" t="s">
        <v>1179</v>
      </c>
      <c r="D15" s="21">
        <v>10</v>
      </c>
    </row>
    <row r="16" spans="1:20" ht="24" customHeight="1" x14ac:dyDescent="0.5">
      <c r="C16" s="200" t="s">
        <v>1180</v>
      </c>
      <c r="D16" s="21">
        <v>20</v>
      </c>
    </row>
    <row r="17" spans="1:10" ht="24" customHeight="1" x14ac:dyDescent="0.5">
      <c r="C17" s="199" t="s">
        <v>1181</v>
      </c>
      <c r="D17" s="21">
        <v>30</v>
      </c>
    </row>
    <row r="18" spans="1:10" ht="24" customHeight="1" x14ac:dyDescent="0.5">
      <c r="C18" s="200" t="s">
        <v>1182</v>
      </c>
      <c r="D18" s="21">
        <v>40</v>
      </c>
    </row>
    <row r="20" spans="1:10" x14ac:dyDescent="0.3">
      <c r="C20" s="37" t="s">
        <v>1189</v>
      </c>
    </row>
    <row r="21" spans="1:10" x14ac:dyDescent="0.3">
      <c r="C21" s="37"/>
    </row>
    <row r="22" spans="1:10" x14ac:dyDescent="0.3">
      <c r="C22" s="207" t="s">
        <v>1170</v>
      </c>
      <c r="D22" s="207" t="s">
        <v>1171</v>
      </c>
      <c r="E22" s="207" t="s">
        <v>1172</v>
      </c>
      <c r="F22" s="207" t="s">
        <v>1173</v>
      </c>
      <c r="G22" s="207" t="s">
        <v>1174</v>
      </c>
      <c r="H22" s="207" t="s">
        <v>1175</v>
      </c>
      <c r="I22" s="207" t="s">
        <v>1176</v>
      </c>
      <c r="J22" s="207" t="s">
        <v>1177</v>
      </c>
    </row>
    <row r="23" spans="1:10" ht="7.95" customHeight="1" x14ac:dyDescent="0.3">
      <c r="C23" s="196"/>
      <c r="D23" s="196"/>
      <c r="E23" s="196"/>
      <c r="F23" s="196"/>
      <c r="G23" s="196"/>
      <c r="H23" s="196"/>
      <c r="I23" s="196"/>
      <c r="J23" s="196"/>
    </row>
    <row r="24" spans="1:10" ht="7.95" customHeight="1" x14ac:dyDescent="0.3">
      <c r="C24" s="196"/>
      <c r="D24" s="196"/>
      <c r="E24" s="196"/>
      <c r="F24" s="196"/>
      <c r="G24" s="196"/>
      <c r="H24" s="196"/>
      <c r="I24" s="196"/>
      <c r="J24" s="196"/>
    </row>
    <row r="25" spans="1:10" ht="21" customHeight="1" x14ac:dyDescent="0.5">
      <c r="A25" s="208">
        <v>1</v>
      </c>
      <c r="C25" s="202" t="s">
        <v>1180</v>
      </c>
      <c r="D25" s="202" t="s">
        <v>1182</v>
      </c>
      <c r="E25" s="201" t="s">
        <v>1181</v>
      </c>
      <c r="F25" s="201" t="s">
        <v>1179</v>
      </c>
      <c r="G25" s="202" t="s">
        <v>1180</v>
      </c>
      <c r="H25" s="202" t="s">
        <v>1182</v>
      </c>
      <c r="I25" s="202" t="s">
        <v>1180</v>
      </c>
      <c r="J25" s="201" t="s">
        <v>1181</v>
      </c>
    </row>
    <row r="26" spans="1:10" ht="21" customHeight="1" x14ac:dyDescent="0.5">
      <c r="A26" s="208">
        <v>2</v>
      </c>
      <c r="C26" s="201" t="s">
        <v>1179</v>
      </c>
      <c r="D26" s="201" t="s">
        <v>1179</v>
      </c>
      <c r="E26" s="202" t="s">
        <v>1182</v>
      </c>
      <c r="F26" s="201" t="s">
        <v>1179</v>
      </c>
      <c r="G26" s="202" t="s">
        <v>1182</v>
      </c>
      <c r="H26" s="201" t="s">
        <v>1181</v>
      </c>
      <c r="I26" s="201" t="s">
        <v>1181</v>
      </c>
      <c r="J26" s="201" t="s">
        <v>1179</v>
      </c>
    </row>
    <row r="27" spans="1:10" ht="21" customHeight="1" x14ac:dyDescent="0.5">
      <c r="A27" s="208">
        <v>3</v>
      </c>
      <c r="C27" s="201" t="s">
        <v>1181</v>
      </c>
      <c r="D27" s="201" t="s">
        <v>1181</v>
      </c>
      <c r="E27" s="201" t="s">
        <v>1181</v>
      </c>
      <c r="F27" s="201" t="s">
        <v>1181</v>
      </c>
      <c r="G27" s="202" t="s">
        <v>1180</v>
      </c>
      <c r="H27" s="201" t="s">
        <v>1179</v>
      </c>
      <c r="I27" s="202" t="s">
        <v>1182</v>
      </c>
      <c r="J27" s="202" t="s">
        <v>1182</v>
      </c>
    </row>
    <row r="28" spans="1:10" ht="21" customHeight="1" x14ac:dyDescent="0.5">
      <c r="A28" s="208">
        <v>4</v>
      </c>
      <c r="C28" s="202" t="s">
        <v>1182</v>
      </c>
      <c r="D28" s="202" t="s">
        <v>1180</v>
      </c>
      <c r="E28" s="202" t="s">
        <v>1182</v>
      </c>
      <c r="F28" s="202" t="s">
        <v>1180</v>
      </c>
      <c r="G28" s="202" t="s">
        <v>1182</v>
      </c>
      <c r="H28" s="201" t="s">
        <v>1179</v>
      </c>
      <c r="I28" s="201" t="s">
        <v>1181</v>
      </c>
      <c r="J28" s="201" t="s">
        <v>1179</v>
      </c>
    </row>
    <row r="29" spans="1:10" ht="21" customHeight="1" x14ac:dyDescent="0.5">
      <c r="A29" s="208">
        <v>5</v>
      </c>
      <c r="C29" s="201" t="s">
        <v>1179</v>
      </c>
      <c r="D29" s="201" t="s">
        <v>1181</v>
      </c>
      <c r="E29" s="201" t="s">
        <v>1179</v>
      </c>
      <c r="F29" s="201" t="s">
        <v>1179</v>
      </c>
      <c r="G29" s="201" t="s">
        <v>1181</v>
      </c>
      <c r="H29" s="201" t="s">
        <v>1181</v>
      </c>
      <c r="I29" s="202" t="s">
        <v>1180</v>
      </c>
      <c r="J29" s="202" t="s">
        <v>1182</v>
      </c>
    </row>
    <row r="30" spans="1:10" ht="21" customHeight="1" x14ac:dyDescent="0.5">
      <c r="A30" s="208">
        <v>6</v>
      </c>
      <c r="C30" s="202" t="s">
        <v>1182</v>
      </c>
      <c r="D30" s="202" t="s">
        <v>1182</v>
      </c>
      <c r="E30" s="201" t="s">
        <v>1181</v>
      </c>
      <c r="F30" s="202" t="s">
        <v>1180</v>
      </c>
      <c r="G30" s="201" t="s">
        <v>1181</v>
      </c>
      <c r="H30" s="201" t="s">
        <v>1179</v>
      </c>
      <c r="I30" s="202" t="s">
        <v>1180</v>
      </c>
      <c r="J30" s="201" t="s">
        <v>1181</v>
      </c>
    </row>
    <row r="31" spans="1:10" ht="21" customHeight="1" x14ac:dyDescent="0.5">
      <c r="A31" s="208">
        <v>7</v>
      </c>
      <c r="C31" s="202" t="s">
        <v>1180</v>
      </c>
      <c r="D31" s="201" t="s">
        <v>1181</v>
      </c>
      <c r="E31" s="201" t="s">
        <v>1181</v>
      </c>
      <c r="F31" s="202" t="s">
        <v>1182</v>
      </c>
      <c r="G31" s="202" t="s">
        <v>1182</v>
      </c>
      <c r="H31" s="201" t="s">
        <v>1179</v>
      </c>
      <c r="I31" s="201" t="s">
        <v>1181</v>
      </c>
      <c r="J31" s="202" t="s">
        <v>1182</v>
      </c>
    </row>
    <row r="32" spans="1:10" ht="21" customHeight="1" x14ac:dyDescent="0.5">
      <c r="A32" s="208">
        <v>8</v>
      </c>
      <c r="C32" s="202" t="s">
        <v>1182</v>
      </c>
      <c r="D32" s="202" t="s">
        <v>1180</v>
      </c>
      <c r="E32" s="202" t="s">
        <v>1180</v>
      </c>
      <c r="F32" s="201" t="s">
        <v>1179</v>
      </c>
      <c r="G32" s="201" t="s">
        <v>1179</v>
      </c>
      <c r="H32" s="202" t="s">
        <v>1182</v>
      </c>
      <c r="I32" s="202" t="s">
        <v>1180</v>
      </c>
      <c r="J32" s="201" t="s">
        <v>1179</v>
      </c>
    </row>
    <row r="33" spans="3:9" x14ac:dyDescent="0.3">
      <c r="C33" s="78"/>
      <c r="D33" s="78"/>
      <c r="E33" s="78"/>
      <c r="F33" s="78"/>
      <c r="G33" s="78"/>
    </row>
    <row r="34" spans="3:9" x14ac:dyDescent="0.3">
      <c r="C34" s="78"/>
      <c r="D34" s="78"/>
      <c r="E34" s="78"/>
      <c r="F34" s="78"/>
      <c r="G34" s="78"/>
    </row>
    <row r="35" spans="3:9" x14ac:dyDescent="0.3">
      <c r="C35" s="78"/>
      <c r="D35" s="78"/>
      <c r="E35" s="78"/>
      <c r="F35" s="78"/>
      <c r="G35" s="78"/>
    </row>
    <row r="36" spans="3:9" ht="21" customHeight="1" x14ac:dyDescent="0.3">
      <c r="C36" s="21" t="s">
        <v>1178</v>
      </c>
    </row>
    <row r="37" spans="3:9" ht="21" customHeight="1" x14ac:dyDescent="0.3">
      <c r="C37" s="21" t="s">
        <v>1190</v>
      </c>
    </row>
    <row r="38" spans="3:9" ht="21" customHeight="1" x14ac:dyDescent="0.3">
      <c r="C38" s="21" t="s">
        <v>1191</v>
      </c>
    </row>
    <row r="39" spans="3:9" ht="21" customHeight="1" x14ac:dyDescent="0.3"/>
    <row r="40" spans="3:9" x14ac:dyDescent="0.3">
      <c r="C40" s="37" t="s">
        <v>1195</v>
      </c>
    </row>
    <row r="41" spans="3:9" x14ac:dyDescent="0.3">
      <c r="C41" s="21" t="s">
        <v>1341</v>
      </c>
    </row>
    <row r="43" spans="3:9" ht="28.2" x14ac:dyDescent="0.5">
      <c r="C43" s="37" t="s">
        <v>1209</v>
      </c>
      <c r="D43" s="203" t="s">
        <v>1179</v>
      </c>
      <c r="E43" s="204" t="s">
        <v>1180</v>
      </c>
      <c r="F43" s="203" t="s">
        <v>1181</v>
      </c>
      <c r="G43" s="204" t="s">
        <v>1182</v>
      </c>
    </row>
    <row r="44" spans="3:9" x14ac:dyDescent="0.3">
      <c r="C44" s="205" t="s">
        <v>1196</v>
      </c>
      <c r="D44" s="186" cm="1">
        <f t="array" ref="D44:G44">COUNTIFS($C$27:$E$29, D$43:$G$43)</f>
        <v>2</v>
      </c>
      <c r="E44" s="78">
        <v>1</v>
      </c>
      <c r="F44" s="78">
        <v>4</v>
      </c>
      <c r="G44" s="78">
        <v>2</v>
      </c>
      <c r="I44" s="21" t="str">
        <f ca="1">_xlfn.FORMULATEXT(D44)</f>
        <v>=COUNTIFS($C$27:$E$29, D$43:$G$43)</v>
      </c>
    </row>
    <row r="45" spans="3:9" x14ac:dyDescent="0.3">
      <c r="C45" s="205" t="s">
        <v>1197</v>
      </c>
      <c r="D45" s="186" cm="1">
        <f t="array" ref="D45:G45">COUNTIFS($F$30:$H$32, D$43:$G$43)</f>
        <v>4</v>
      </c>
      <c r="E45" s="78">
        <v>1</v>
      </c>
      <c r="F45" s="78">
        <v>1</v>
      </c>
      <c r="G45" s="78">
        <v>3</v>
      </c>
      <c r="I45" s="21" t="str">
        <f ca="1">_xlfn.FORMULATEXT(D45)</f>
        <v>=COUNTIFS($F$30:$H$32, D$43:$G$43)</v>
      </c>
    </row>
    <row r="46" spans="3:9" x14ac:dyDescent="0.3">
      <c r="C46" s="205" t="s">
        <v>1198</v>
      </c>
      <c r="D46" s="186" cm="1">
        <f t="array" ref="D46:G46">COUNTIFS($I$22:$K$26, D$43:$G$43)</f>
        <v>1</v>
      </c>
      <c r="E46" s="78">
        <v>1</v>
      </c>
      <c r="F46" s="78">
        <v>2</v>
      </c>
      <c r="G46" s="78">
        <v>0</v>
      </c>
      <c r="I46" s="21" t="str">
        <f ca="1">_xlfn.FORMULATEXT(D46)</f>
        <v>=COUNTIFS($I$22:$K$26, D$43:$G$43)</v>
      </c>
    </row>
    <row r="48" spans="3:9" x14ac:dyDescent="0.3">
      <c r="C48" s="21" t="s">
        <v>1342</v>
      </c>
    </row>
    <row r="49" spans="1:10" x14ac:dyDescent="0.3">
      <c r="C49" s="21" t="s">
        <v>1199</v>
      </c>
    </row>
    <row r="50" spans="1:10" x14ac:dyDescent="0.3">
      <c r="C50" s="21" t="s">
        <v>1343</v>
      </c>
    </row>
    <row r="52" spans="1:10" x14ac:dyDescent="0.3">
      <c r="C52" s="21" t="s">
        <v>1344</v>
      </c>
    </row>
    <row r="53" spans="1:10" x14ac:dyDescent="0.3">
      <c r="C53" s="21" t="s">
        <v>1345</v>
      </c>
    </row>
    <row r="55" spans="1:10" x14ac:dyDescent="0.3">
      <c r="C55" s="21" t="s">
        <v>1200</v>
      </c>
    </row>
    <row r="58" spans="1:10" x14ac:dyDescent="0.3">
      <c r="C58" s="37" t="s">
        <v>1201</v>
      </c>
    </row>
    <row r="59" spans="1:10" x14ac:dyDescent="0.3">
      <c r="C59" s="37"/>
    </row>
    <row r="60" spans="1:10" x14ac:dyDescent="0.3">
      <c r="C60" s="207" t="s">
        <v>1170</v>
      </c>
      <c r="D60" s="207" t="s">
        <v>1171</v>
      </c>
      <c r="E60" s="207" t="s">
        <v>1172</v>
      </c>
      <c r="F60" s="207" t="s">
        <v>1173</v>
      </c>
      <c r="G60" s="207" t="s">
        <v>1174</v>
      </c>
      <c r="H60" s="207" t="s">
        <v>1175</v>
      </c>
      <c r="I60" s="207" t="s">
        <v>1176</v>
      </c>
      <c r="J60" s="207" t="s">
        <v>1177</v>
      </c>
    </row>
    <row r="61" spans="1:10" ht="7.05" customHeight="1" x14ac:dyDescent="0.3">
      <c r="C61" s="196"/>
      <c r="D61" s="196"/>
      <c r="E61" s="196"/>
      <c r="F61" s="196"/>
      <c r="G61" s="196"/>
      <c r="H61" s="196"/>
      <c r="I61" s="196"/>
      <c r="J61" s="196"/>
    </row>
    <row r="62" spans="1:10" ht="7.05" customHeight="1" x14ac:dyDescent="0.3">
      <c r="C62" s="196"/>
      <c r="D62" s="196"/>
      <c r="E62" s="196"/>
      <c r="F62" s="196"/>
      <c r="G62" s="196"/>
      <c r="H62" s="196"/>
      <c r="I62" s="196"/>
      <c r="J62" s="196"/>
    </row>
    <row r="63" spans="1:10" ht="22.95" customHeight="1" x14ac:dyDescent="0.35">
      <c r="A63" s="208">
        <v>1</v>
      </c>
      <c r="C63" s="206">
        <f t="shared" ref="C63:J70" si="0">_xlfn.XLOOKUP(C25, $C$15:$C$18, $D$15:$D$18)</f>
        <v>20</v>
      </c>
      <c r="D63" s="206">
        <f t="shared" si="0"/>
        <v>40</v>
      </c>
      <c r="E63" s="206">
        <f t="shared" si="0"/>
        <v>30</v>
      </c>
      <c r="F63" s="206">
        <f t="shared" si="0"/>
        <v>10</v>
      </c>
      <c r="G63" s="206">
        <f t="shared" si="0"/>
        <v>20</v>
      </c>
      <c r="H63" s="206">
        <f t="shared" si="0"/>
        <v>40</v>
      </c>
      <c r="I63" s="206">
        <f t="shared" si="0"/>
        <v>20</v>
      </c>
      <c r="J63" s="206">
        <f t="shared" si="0"/>
        <v>30</v>
      </c>
    </row>
    <row r="64" spans="1:10" ht="22.95" customHeight="1" x14ac:dyDescent="0.35">
      <c r="A64" s="208">
        <v>2</v>
      </c>
      <c r="C64" s="206">
        <f t="shared" si="0"/>
        <v>10</v>
      </c>
      <c r="D64" s="206">
        <f t="shared" si="0"/>
        <v>10</v>
      </c>
      <c r="E64" s="206">
        <f t="shared" si="0"/>
        <v>40</v>
      </c>
      <c r="F64" s="206">
        <f t="shared" si="0"/>
        <v>10</v>
      </c>
      <c r="G64" s="206">
        <f t="shared" si="0"/>
        <v>40</v>
      </c>
      <c r="H64" s="206">
        <f t="shared" si="0"/>
        <v>30</v>
      </c>
      <c r="I64" s="206">
        <f t="shared" si="0"/>
        <v>30</v>
      </c>
      <c r="J64" s="206">
        <f t="shared" si="0"/>
        <v>10</v>
      </c>
    </row>
    <row r="65" spans="1:10" ht="22.95" customHeight="1" x14ac:dyDescent="0.35">
      <c r="A65" s="208">
        <v>3</v>
      </c>
      <c r="C65" s="206">
        <f t="shared" si="0"/>
        <v>30</v>
      </c>
      <c r="D65" s="206">
        <f t="shared" si="0"/>
        <v>30</v>
      </c>
      <c r="E65" s="206">
        <f t="shared" si="0"/>
        <v>30</v>
      </c>
      <c r="F65" s="206">
        <f t="shared" si="0"/>
        <v>30</v>
      </c>
      <c r="G65" s="206">
        <f t="shared" si="0"/>
        <v>20</v>
      </c>
      <c r="H65" s="206">
        <f t="shared" si="0"/>
        <v>10</v>
      </c>
      <c r="I65" s="206">
        <f t="shared" si="0"/>
        <v>40</v>
      </c>
      <c r="J65" s="206">
        <f t="shared" si="0"/>
        <v>40</v>
      </c>
    </row>
    <row r="66" spans="1:10" ht="22.95" customHeight="1" x14ac:dyDescent="0.35">
      <c r="A66" s="208">
        <v>4</v>
      </c>
      <c r="C66" s="206">
        <f t="shared" si="0"/>
        <v>40</v>
      </c>
      <c r="D66" s="206">
        <f t="shared" si="0"/>
        <v>20</v>
      </c>
      <c r="E66" s="206">
        <f t="shared" si="0"/>
        <v>40</v>
      </c>
      <c r="F66" s="206">
        <f t="shared" si="0"/>
        <v>20</v>
      </c>
      <c r="G66" s="206">
        <f t="shared" si="0"/>
        <v>40</v>
      </c>
      <c r="H66" s="206">
        <f t="shared" si="0"/>
        <v>10</v>
      </c>
      <c r="I66" s="206">
        <f t="shared" si="0"/>
        <v>30</v>
      </c>
      <c r="J66" s="206">
        <f t="shared" si="0"/>
        <v>10</v>
      </c>
    </row>
    <row r="67" spans="1:10" ht="22.95" customHeight="1" x14ac:dyDescent="0.35">
      <c r="A67" s="208">
        <v>5</v>
      </c>
      <c r="C67" s="206">
        <f t="shared" si="0"/>
        <v>10</v>
      </c>
      <c r="D67" s="206">
        <f t="shared" si="0"/>
        <v>30</v>
      </c>
      <c r="E67" s="206">
        <f t="shared" si="0"/>
        <v>10</v>
      </c>
      <c r="F67" s="206">
        <f t="shared" si="0"/>
        <v>10</v>
      </c>
      <c r="G67" s="206">
        <f t="shared" si="0"/>
        <v>30</v>
      </c>
      <c r="H67" s="206">
        <f t="shared" si="0"/>
        <v>30</v>
      </c>
      <c r="I67" s="206">
        <f t="shared" si="0"/>
        <v>20</v>
      </c>
      <c r="J67" s="206">
        <f t="shared" si="0"/>
        <v>40</v>
      </c>
    </row>
    <row r="68" spans="1:10" ht="22.95" customHeight="1" x14ac:dyDescent="0.35">
      <c r="A68" s="208">
        <v>6</v>
      </c>
      <c r="C68" s="206">
        <f t="shared" si="0"/>
        <v>40</v>
      </c>
      <c r="D68" s="206">
        <f t="shared" si="0"/>
        <v>40</v>
      </c>
      <c r="E68" s="206">
        <f t="shared" si="0"/>
        <v>30</v>
      </c>
      <c r="F68" s="206">
        <f t="shared" si="0"/>
        <v>20</v>
      </c>
      <c r="G68" s="206">
        <f t="shared" si="0"/>
        <v>30</v>
      </c>
      <c r="H68" s="206">
        <f t="shared" si="0"/>
        <v>10</v>
      </c>
      <c r="I68" s="206">
        <f t="shared" si="0"/>
        <v>20</v>
      </c>
      <c r="J68" s="206">
        <f t="shared" si="0"/>
        <v>30</v>
      </c>
    </row>
    <row r="69" spans="1:10" ht="22.95" customHeight="1" x14ac:dyDescent="0.35">
      <c r="A69" s="208">
        <v>7</v>
      </c>
      <c r="C69" s="206">
        <f t="shared" si="0"/>
        <v>20</v>
      </c>
      <c r="D69" s="206">
        <f t="shared" si="0"/>
        <v>30</v>
      </c>
      <c r="E69" s="206">
        <f t="shared" si="0"/>
        <v>30</v>
      </c>
      <c r="F69" s="206">
        <f t="shared" si="0"/>
        <v>40</v>
      </c>
      <c r="G69" s="206">
        <f t="shared" si="0"/>
        <v>40</v>
      </c>
      <c r="H69" s="206">
        <f t="shared" si="0"/>
        <v>10</v>
      </c>
      <c r="I69" s="206">
        <f t="shared" si="0"/>
        <v>30</v>
      </c>
      <c r="J69" s="206">
        <f t="shared" si="0"/>
        <v>40</v>
      </c>
    </row>
    <row r="70" spans="1:10" ht="22.95" customHeight="1" x14ac:dyDescent="0.35">
      <c r="A70" s="208">
        <v>8</v>
      </c>
      <c r="C70" s="206">
        <f t="shared" si="0"/>
        <v>40</v>
      </c>
      <c r="D70" s="206">
        <f t="shared" si="0"/>
        <v>20</v>
      </c>
      <c r="E70" s="206">
        <f t="shared" si="0"/>
        <v>20</v>
      </c>
      <c r="F70" s="206">
        <f t="shared" si="0"/>
        <v>10</v>
      </c>
      <c r="G70" s="206">
        <f t="shared" si="0"/>
        <v>10</v>
      </c>
      <c r="H70" s="206">
        <f t="shared" si="0"/>
        <v>40</v>
      </c>
      <c r="I70" s="206">
        <f t="shared" si="0"/>
        <v>20</v>
      </c>
      <c r="J70" s="206">
        <f t="shared" si="0"/>
        <v>10</v>
      </c>
    </row>
    <row r="71" spans="1:10" x14ac:dyDescent="0.3">
      <c r="C71" s="78"/>
      <c r="D71" s="78"/>
      <c r="E71" s="78"/>
      <c r="F71" s="78"/>
      <c r="G71" s="78"/>
    </row>
    <row r="73" spans="1:10" x14ac:dyDescent="0.3">
      <c r="C73" s="21" t="s">
        <v>1202</v>
      </c>
    </row>
    <row r="75" spans="1:10" x14ac:dyDescent="0.3">
      <c r="C75" s="21" t="s">
        <v>1203</v>
      </c>
    </row>
    <row r="76" spans="1:10" ht="28.2" x14ac:dyDescent="0.5">
      <c r="D76" s="203" t="s">
        <v>1179</v>
      </c>
      <c r="E76" s="204" t="s">
        <v>1180</v>
      </c>
      <c r="F76" s="203" t="s">
        <v>1181</v>
      </c>
      <c r="G76" s="204" t="s">
        <v>1182</v>
      </c>
      <c r="H76" s="109" t="s">
        <v>416</v>
      </c>
    </row>
    <row r="77" spans="1:10" x14ac:dyDescent="0.3">
      <c r="C77" s="205" t="s">
        <v>1196</v>
      </c>
      <c r="D77" s="186" cm="1">
        <f t="array" ref="D77">SUM(($C$27:$E$29 = D$76) * $C$65:$E$67)</f>
        <v>20</v>
      </c>
      <c r="E77" s="186" cm="1">
        <f t="array" ref="E77">SUM(($C$27:$E$29 = E$76) * $C$65:$E$67)</f>
        <v>20</v>
      </c>
      <c r="F77" s="186" cm="1">
        <f t="array" ref="F77">SUM(($C$27:$E$29 = F$76) * $C$65:$E$67)</f>
        <v>120</v>
      </c>
      <c r="G77" s="186" cm="1">
        <f t="array" ref="G77">SUM(($C$27:$E$29 = G$76) * $C$65:$E$67)</f>
        <v>80</v>
      </c>
      <c r="H77" s="37">
        <f>SUM(D77:G77)</f>
        <v>240</v>
      </c>
      <c r="J77" s="21" t="str">
        <f ca="1">_xlfn.FORMULATEXT(D77)</f>
        <v>=SUM(($C$27:$E$29 = D$76) * $C$65:$E$67)</v>
      </c>
    </row>
    <row r="78" spans="1:10" x14ac:dyDescent="0.3">
      <c r="C78" s="205" t="s">
        <v>1197</v>
      </c>
      <c r="D78" s="186" cm="1">
        <f t="array" ref="D78">SUM(($C$27:$E$29 = D$76) * $F$68:$H$70)</f>
        <v>50</v>
      </c>
      <c r="E78" s="186" cm="1">
        <f t="array" ref="E78">SUM(($C$27:$E$29 = E$76) * $F$68:$H$70)</f>
        <v>40</v>
      </c>
      <c r="F78" s="186" cm="1">
        <f t="array" ref="F78">SUM(($C$27:$E$29 = F$76) * $F$68:$H$70)</f>
        <v>70</v>
      </c>
      <c r="G78" s="186" cm="1">
        <f t="array" ref="G78">SUM(($C$27:$E$29 = G$76) * $F$68:$H$70)</f>
        <v>50</v>
      </c>
      <c r="H78" s="37">
        <f>SUM(D78:G78)</f>
        <v>210</v>
      </c>
      <c r="J78" s="21" t="str">
        <f ca="1">_xlfn.FORMULATEXT(D78)</f>
        <v>=SUM(($C$27:$E$29 = D$76) * $F$68:$H$70)</v>
      </c>
    </row>
    <row r="79" spans="1:10" x14ac:dyDescent="0.3">
      <c r="C79" s="205" t="s">
        <v>1198</v>
      </c>
      <c r="D79" s="186" cm="1">
        <f t="array" ref="D79">SUM(($C$27:$E$29 = D$76) * $I$62:$K$64)</f>
        <v>30</v>
      </c>
      <c r="E79" s="186" cm="1">
        <f t="array" ref="E79">SUM(($C$27:$E$29 = E$76) * $I$62:$K$64)</f>
        <v>30</v>
      </c>
      <c r="F79" s="186" cm="1">
        <f t="array" ref="F79">SUM(($C$27:$E$29 = F$76) * $I$62:$K$64)</f>
        <v>10</v>
      </c>
      <c r="G79" s="186" cm="1">
        <f t="array" ref="G79">SUM(($C$27:$E$29 = G$76) * $I$62:$K$64)</f>
        <v>20</v>
      </c>
      <c r="H79" s="37">
        <f>SUM(D79:G79)</f>
        <v>90</v>
      </c>
      <c r="J79" s="21" t="str">
        <f ca="1">_xlfn.FORMULATEXT(D79)</f>
        <v>=SUM(($C$27:$E$29 = D$76) * $I$62:$K$64)</v>
      </c>
    </row>
    <row r="81" spans="3:12" x14ac:dyDescent="0.3">
      <c r="C81" s="21" t="s">
        <v>1204</v>
      </c>
    </row>
    <row r="84" spans="3:12" ht="28.2" x14ac:dyDescent="0.5">
      <c r="D84" s="203" t="s">
        <v>1179</v>
      </c>
      <c r="E84" s="204" t="s">
        <v>1180</v>
      </c>
      <c r="F84" s="203" t="s">
        <v>1181</v>
      </c>
      <c r="G84" s="204" t="s">
        <v>1182</v>
      </c>
      <c r="H84" s="109" t="s">
        <v>416</v>
      </c>
    </row>
    <row r="85" spans="3:12" x14ac:dyDescent="0.3">
      <c r="C85" s="205" t="s">
        <v>1196</v>
      </c>
      <c r="D85" s="186">
        <f t="shared" ref="D85:G87" si="1">_xlfn.XLOOKUP(D$84, $C$15:$C$18, $D$15:$D$18) * D44</f>
        <v>20</v>
      </c>
      <c r="E85" s="186">
        <f t="shared" si="1"/>
        <v>20</v>
      </c>
      <c r="F85" s="186">
        <f t="shared" si="1"/>
        <v>120</v>
      </c>
      <c r="G85" s="186">
        <f t="shared" si="1"/>
        <v>80</v>
      </c>
      <c r="H85" s="37">
        <f>SUM(D85:G85)</f>
        <v>240</v>
      </c>
    </row>
    <row r="86" spans="3:12" x14ac:dyDescent="0.3">
      <c r="C86" s="205" t="s">
        <v>1197</v>
      </c>
      <c r="D86" s="186">
        <f t="shared" si="1"/>
        <v>40</v>
      </c>
      <c r="E86" s="186">
        <f t="shared" si="1"/>
        <v>20</v>
      </c>
      <c r="F86" s="186">
        <f t="shared" si="1"/>
        <v>30</v>
      </c>
      <c r="G86" s="186">
        <f t="shared" si="1"/>
        <v>120</v>
      </c>
      <c r="H86" s="37">
        <f>SUM(D86:G86)</f>
        <v>210</v>
      </c>
    </row>
    <row r="87" spans="3:12" x14ac:dyDescent="0.3">
      <c r="C87" s="205" t="s">
        <v>1198</v>
      </c>
      <c r="D87" s="186">
        <f t="shared" si="1"/>
        <v>10</v>
      </c>
      <c r="E87" s="186">
        <f t="shared" si="1"/>
        <v>20</v>
      </c>
      <c r="F87" s="186">
        <f t="shared" si="1"/>
        <v>60</v>
      </c>
      <c r="G87" s="186">
        <f t="shared" si="1"/>
        <v>0</v>
      </c>
      <c r="H87" s="37">
        <f>SUM(D87:G87)</f>
        <v>90</v>
      </c>
    </row>
    <row r="90" spans="3:12" x14ac:dyDescent="0.3">
      <c r="C90" s="21" t="s">
        <v>1205</v>
      </c>
    </row>
    <row r="91" spans="3:12" x14ac:dyDescent="0.3">
      <c r="C91" s="21" t="s">
        <v>1346</v>
      </c>
    </row>
    <row r="93" spans="3:12" x14ac:dyDescent="0.3">
      <c r="C93" s="21" t="s">
        <v>1206</v>
      </c>
    </row>
    <row r="94" spans="3:12" x14ac:dyDescent="0.3">
      <c r="C94" s="21" t="s">
        <v>1207</v>
      </c>
    </row>
    <row r="96" spans="3:12" x14ac:dyDescent="0.3">
      <c r="C96" s="96" t="str" cm="1">
        <f t="array" ref="C96:J103">C22:J22 &amp; A25:A32</f>
        <v>A1</v>
      </c>
      <c r="D96" s="21" t="str">
        <v>B1</v>
      </c>
      <c r="E96" s="21" t="str">
        <v>C1</v>
      </c>
      <c r="F96" s="21" t="str">
        <v>D1</v>
      </c>
      <c r="G96" s="21" t="str">
        <v>E1</v>
      </c>
      <c r="H96" s="21" t="str">
        <v>F1</v>
      </c>
      <c r="I96" s="21" t="str">
        <v>G1</v>
      </c>
      <c r="J96" s="21" t="str">
        <v>H1</v>
      </c>
      <c r="L96" s="21" t="str">
        <f ca="1">_xlfn.FORMULATEXT(C96)</f>
        <v>=C22:J22 &amp; A25:A32</v>
      </c>
    </row>
    <row r="97" spans="3:19" x14ac:dyDescent="0.3">
      <c r="C97" s="21" t="str">
        <v>A2</v>
      </c>
      <c r="D97" s="21" t="str">
        <v>B2</v>
      </c>
      <c r="E97" s="21" t="str">
        <v>C2</v>
      </c>
      <c r="F97" s="21" t="str">
        <v>D2</v>
      </c>
      <c r="G97" s="21" t="str">
        <v>E2</v>
      </c>
      <c r="H97" s="21" t="str">
        <v>F2</v>
      </c>
      <c r="I97" s="21" t="str">
        <v>G2</v>
      </c>
      <c r="J97" s="21" t="str">
        <v>H2</v>
      </c>
    </row>
    <row r="98" spans="3:19" x14ac:dyDescent="0.3">
      <c r="C98" s="21" t="str">
        <v>A3</v>
      </c>
      <c r="D98" s="21" t="str">
        <v>B3</v>
      </c>
      <c r="E98" s="21" t="str">
        <v>C3</v>
      </c>
      <c r="F98" s="21" t="str">
        <v>D3</v>
      </c>
      <c r="G98" s="21" t="str">
        <v>E3</v>
      </c>
      <c r="H98" s="21" t="str">
        <v>F3</v>
      </c>
      <c r="I98" s="21" t="str">
        <v>G3</v>
      </c>
      <c r="J98" s="21" t="str">
        <v>H3</v>
      </c>
    </row>
    <row r="99" spans="3:19" x14ac:dyDescent="0.3">
      <c r="C99" s="21" t="str">
        <v>A4</v>
      </c>
      <c r="D99" s="21" t="str">
        <v>B4</v>
      </c>
      <c r="E99" s="21" t="str">
        <v>C4</v>
      </c>
      <c r="F99" s="21" t="str">
        <v>D4</v>
      </c>
      <c r="G99" s="21" t="str">
        <v>E4</v>
      </c>
      <c r="H99" s="21" t="str">
        <v>F4</v>
      </c>
      <c r="I99" s="21" t="str">
        <v>G4</v>
      </c>
      <c r="J99" s="21" t="str">
        <v>H4</v>
      </c>
    </row>
    <row r="100" spans="3:19" x14ac:dyDescent="0.3">
      <c r="C100" s="21" t="str">
        <v>A5</v>
      </c>
      <c r="D100" s="21" t="str">
        <v>B5</v>
      </c>
      <c r="E100" s="21" t="str">
        <v>C5</v>
      </c>
      <c r="F100" s="21" t="str">
        <v>D5</v>
      </c>
      <c r="G100" s="21" t="str">
        <v>E5</v>
      </c>
      <c r="H100" s="21" t="str">
        <v>F5</v>
      </c>
      <c r="I100" s="21" t="str">
        <v>G5</v>
      </c>
      <c r="J100" s="21" t="str">
        <v>H5</v>
      </c>
    </row>
    <row r="101" spans="3:19" x14ac:dyDescent="0.3">
      <c r="C101" s="21" t="str">
        <v>A6</v>
      </c>
      <c r="D101" s="21" t="str">
        <v>B6</v>
      </c>
      <c r="E101" s="21" t="str">
        <v>C6</v>
      </c>
      <c r="F101" s="21" t="str">
        <v>D6</v>
      </c>
      <c r="G101" s="21" t="str">
        <v>E6</v>
      </c>
      <c r="H101" s="21" t="str">
        <v>F6</v>
      </c>
      <c r="I101" s="21" t="str">
        <v>G6</v>
      </c>
      <c r="J101" s="21" t="str">
        <v>H6</v>
      </c>
    </row>
    <row r="102" spans="3:19" x14ac:dyDescent="0.3">
      <c r="C102" s="21" t="str">
        <v>A7</v>
      </c>
      <c r="D102" s="21" t="str">
        <v>B7</v>
      </c>
      <c r="E102" s="21" t="str">
        <v>C7</v>
      </c>
      <c r="F102" s="21" t="str">
        <v>D7</v>
      </c>
      <c r="G102" s="21" t="str">
        <v>E7</v>
      </c>
      <c r="H102" s="21" t="str">
        <v>F7</v>
      </c>
      <c r="I102" s="21" t="str">
        <v>G7</v>
      </c>
      <c r="J102" s="21" t="str">
        <v>H7</v>
      </c>
    </row>
    <row r="103" spans="3:19" x14ac:dyDescent="0.3">
      <c r="C103" s="21" t="str">
        <v>A8</v>
      </c>
      <c r="D103" s="21" t="str">
        <v>B8</v>
      </c>
      <c r="E103" s="21" t="str">
        <v>C8</v>
      </c>
      <c r="F103" s="21" t="str">
        <v>D8</v>
      </c>
      <c r="G103" s="21" t="str">
        <v>E8</v>
      </c>
      <c r="H103" s="21" t="str">
        <v>F8</v>
      </c>
      <c r="I103" s="21" t="str">
        <v>G8</v>
      </c>
      <c r="J103" s="21" t="str">
        <v>H8</v>
      </c>
    </row>
    <row r="105" spans="3:19" x14ac:dyDescent="0.3">
      <c r="C105" s="21" t="s">
        <v>1208</v>
      </c>
    </row>
    <row r="107" spans="3:19" x14ac:dyDescent="0.3">
      <c r="H107" s="235">
        <v>2</v>
      </c>
      <c r="I107" s="235">
        <v>24</v>
      </c>
      <c r="K107" s="109" t="s">
        <v>1217</v>
      </c>
      <c r="L107" s="109" t="s">
        <v>1217</v>
      </c>
      <c r="M107" s="109" t="s">
        <v>1217</v>
      </c>
      <c r="N107" s="109" t="s">
        <v>1217</v>
      </c>
      <c r="O107" s="109" t="s">
        <v>1194</v>
      </c>
      <c r="P107" s="109" t="s">
        <v>1194</v>
      </c>
      <c r="Q107" s="109" t="s">
        <v>1194</v>
      </c>
      <c r="R107" s="109" t="s">
        <v>1194</v>
      </c>
      <c r="S107" s="137"/>
    </row>
    <row r="108" spans="3:19" ht="36" x14ac:dyDescent="0.5">
      <c r="C108" s="209" t="s">
        <v>1209</v>
      </c>
      <c r="D108" s="209" t="s">
        <v>1210</v>
      </c>
      <c r="E108" s="209" t="s">
        <v>1211</v>
      </c>
      <c r="F108" s="209" t="s">
        <v>1212</v>
      </c>
      <c r="G108" s="209" t="s">
        <v>1213</v>
      </c>
      <c r="H108" s="209" t="s">
        <v>1216</v>
      </c>
      <c r="I108" s="209" t="s">
        <v>1215</v>
      </c>
      <c r="J108" s="209" t="s">
        <v>1214</v>
      </c>
      <c r="K108" s="210" t="s">
        <v>1179</v>
      </c>
      <c r="L108" s="211" t="s">
        <v>1180</v>
      </c>
      <c r="M108" s="210" t="s">
        <v>1181</v>
      </c>
      <c r="N108" s="211" t="s">
        <v>1182</v>
      </c>
      <c r="O108" s="210" t="s">
        <v>1179</v>
      </c>
      <c r="P108" s="211" t="s">
        <v>1180</v>
      </c>
      <c r="Q108" s="210" t="s">
        <v>1181</v>
      </c>
      <c r="R108" s="211" t="s">
        <v>1182</v>
      </c>
      <c r="S108" s="212" t="s">
        <v>416</v>
      </c>
    </row>
    <row r="109" spans="3:19" ht="20.399999999999999" x14ac:dyDescent="0.35">
      <c r="C109" s="234" t="str" cm="1">
        <f t="array" ref="C109:C172">_xlfn.TOCOL(C22:J22 &amp; A25:A32)</f>
        <v>A1</v>
      </c>
      <c r="D109" s="234" t="str" cm="1">
        <f t="array" ref="D109:D172">_xlfn.TOCOL(C25:J32)</f>
        <v>♥</v>
      </c>
      <c r="E109" s="234" t="str" cm="1">
        <f t="array" ref="E109:E172">LEFT(_xlfn.ANCHORARRAY(C109), 1)</f>
        <v>A</v>
      </c>
      <c r="F109" s="234" t="str" cm="1">
        <f t="array" ref="F109:F172">RIGHT(_xlfn.ANCHORARRAY(C109), 1)</f>
        <v>1</v>
      </c>
      <c r="G109" s="234" cm="1">
        <f t="array" ref="G109:G172">CODE(_xlfn.ANCHORARRAY(E109))</f>
        <v>65</v>
      </c>
      <c r="H109" s="234" t="str" cm="1">
        <f t="array" ref="H109:H172">CHAR(_xlfn.ANCHORARRAY(G109) + $H$107)</f>
        <v>C</v>
      </c>
      <c r="I109" s="234" cm="1">
        <f t="array" ref="I109:I172">_xlfn.ANCHORARRAY(F109) + $I$107</f>
        <v>25</v>
      </c>
      <c r="J109" s="234" t="str" cm="1">
        <f t="array" ref="J109:J172">_xlfn.ANCHORARRAY(H109) &amp;_xlfn.ANCHORARRAY( I109)</f>
        <v>C25</v>
      </c>
      <c r="K109" s="234" cm="1">
        <f t="array" aca="1" ref="K109:K172" ca="1">COUNTIFS(OFFSET(INDIRECT(_xlfn.ANCHORARRAY($J109)),-1,-1, 3, 3), K$108)</f>
        <v>2</v>
      </c>
      <c r="L109" s="234" cm="1">
        <f t="array" aca="1" ref="L109:L172" ca="1">COUNTIFS(OFFSET(INDIRECT(_xlfn.ANCHORARRAY($J109)),-1,-1, 3, 3), L$108)</f>
        <v>1</v>
      </c>
      <c r="M109" s="234" cm="1">
        <f t="array" aca="1" ref="M109:M172" ca="1">COUNTIFS(OFFSET(INDIRECT(_xlfn.ANCHORARRAY($J109)),-1,-1, 3, 3), M$108)</f>
        <v>0</v>
      </c>
      <c r="N109" s="234" cm="1">
        <f t="array" aca="1" ref="N109:N172" ca="1">COUNTIFS(OFFSET(INDIRECT(_xlfn.ANCHORARRAY($J109)),-1,-1, 3, 3), N$108)</f>
        <v>1</v>
      </c>
      <c r="O109" s="234" cm="1">
        <f t="array" aca="1" ref="O109:O172" ca="1">_xlfn.XLOOKUP(O$108, $C$15:$C$18, $D$15:$D$18) *_xlfn.ANCHORARRAY( K109)</f>
        <v>20</v>
      </c>
      <c r="P109" s="234" cm="1">
        <f t="array" aca="1" ref="P109:P172" ca="1">_xlfn.XLOOKUP(P$108, $C$15:$C$18, $D$15:$D$18) *_xlfn.ANCHORARRAY( L109)</f>
        <v>20</v>
      </c>
      <c r="Q109" s="234" cm="1">
        <f t="array" aca="1" ref="Q109:Q172" ca="1">_xlfn.XLOOKUP(Q$108, $C$15:$C$18, $D$15:$D$18) *_xlfn.ANCHORARRAY( M109)</f>
        <v>0</v>
      </c>
      <c r="R109" s="234" cm="1">
        <f t="array" aca="1" ref="R109:R172" ca="1">_xlfn.XLOOKUP(R$108, $C$15:$C$18, $D$15:$D$18) *_xlfn.ANCHORARRAY( N109)</f>
        <v>40</v>
      </c>
      <c r="S109" s="234" cm="1">
        <f t="array" aca="1" ref="S109:S172" ca="1">_xlfn.BYROW(_xlfn.ANCHORARRAY(O109):R109, _xlfn.LAMBDA(_xlpm.row,SUM(_xlpm.row)))</f>
        <v>80</v>
      </c>
    </row>
    <row r="110" spans="3:19" ht="20.399999999999999" x14ac:dyDescent="0.35">
      <c r="C110" s="197" t="str">
        <v>B1</v>
      </c>
      <c r="D110" s="197" t="str">
        <v>♦</v>
      </c>
      <c r="E110" s="197" t="str">
        <v>B</v>
      </c>
      <c r="F110" s="197" t="str">
        <v>1</v>
      </c>
      <c r="G110" s="197">
        <v>66</v>
      </c>
      <c r="H110" s="197" t="str">
        <v>D</v>
      </c>
      <c r="I110" s="197">
        <v>25</v>
      </c>
      <c r="J110" s="197" t="str">
        <v>D25</v>
      </c>
      <c r="K110" s="197">
        <f ca="1"/>
        <v>2</v>
      </c>
      <c r="L110" s="197">
        <f ca="1"/>
        <v>1</v>
      </c>
      <c r="M110" s="197">
        <f ca="1"/>
        <v>1</v>
      </c>
      <c r="N110" s="197">
        <f ca="1"/>
        <v>2</v>
      </c>
      <c r="O110" s="197">
        <f ca="1"/>
        <v>20</v>
      </c>
      <c r="P110" s="197">
        <f ca="1"/>
        <v>20</v>
      </c>
      <c r="Q110" s="197">
        <f ca="1"/>
        <v>30</v>
      </c>
      <c r="R110" s="197">
        <f ca="1"/>
        <v>80</v>
      </c>
      <c r="S110" s="197">
        <f ca="1"/>
        <v>150</v>
      </c>
    </row>
    <row r="111" spans="3:19" ht="20.399999999999999" x14ac:dyDescent="0.35">
      <c r="C111" s="197" t="str">
        <v>C1</v>
      </c>
      <c r="D111" s="197" t="str">
        <v>♠</v>
      </c>
      <c r="E111" s="197" t="str">
        <v>C</v>
      </c>
      <c r="F111" s="197" t="str">
        <v>1</v>
      </c>
      <c r="G111" s="197">
        <v>67</v>
      </c>
      <c r="H111" s="197" t="str">
        <v>E</v>
      </c>
      <c r="I111" s="197">
        <v>25</v>
      </c>
      <c r="J111" s="197" t="str">
        <v>E25</v>
      </c>
      <c r="K111" s="197">
        <f ca="1"/>
        <v>3</v>
      </c>
      <c r="L111" s="197">
        <f ca="1"/>
        <v>0</v>
      </c>
      <c r="M111" s="197">
        <f ca="1"/>
        <v>1</v>
      </c>
      <c r="N111" s="197">
        <f ca="1"/>
        <v>2</v>
      </c>
      <c r="O111" s="197">
        <f ca="1"/>
        <v>30</v>
      </c>
      <c r="P111" s="197">
        <f ca="1"/>
        <v>0</v>
      </c>
      <c r="Q111" s="197">
        <f ca="1"/>
        <v>30</v>
      </c>
      <c r="R111" s="197">
        <f ca="1"/>
        <v>80</v>
      </c>
      <c r="S111" s="197">
        <f ca="1"/>
        <v>140</v>
      </c>
    </row>
    <row r="112" spans="3:19" ht="20.399999999999999" x14ac:dyDescent="0.35">
      <c r="C112" s="197" t="str">
        <v>D1</v>
      </c>
      <c r="D112" s="197" t="str">
        <v>♣</v>
      </c>
      <c r="E112" s="197" t="str">
        <v>D</v>
      </c>
      <c r="F112" s="197" t="str">
        <v>1</v>
      </c>
      <c r="G112" s="197">
        <v>68</v>
      </c>
      <c r="H112" s="197" t="str">
        <v>F</v>
      </c>
      <c r="I112" s="197">
        <v>25</v>
      </c>
      <c r="J112" s="197" t="str">
        <v>F25</v>
      </c>
      <c r="K112" s="197">
        <f ca="1"/>
        <v>2</v>
      </c>
      <c r="L112" s="197">
        <f ca="1"/>
        <v>1</v>
      </c>
      <c r="M112" s="197">
        <f ca="1"/>
        <v>1</v>
      </c>
      <c r="N112" s="197">
        <f ca="1"/>
        <v>2</v>
      </c>
      <c r="O112" s="197">
        <f ca="1"/>
        <v>20</v>
      </c>
      <c r="P112" s="197">
        <f ca="1"/>
        <v>20</v>
      </c>
      <c r="Q112" s="197">
        <f ca="1"/>
        <v>30</v>
      </c>
      <c r="R112" s="197">
        <f ca="1"/>
        <v>80</v>
      </c>
      <c r="S112" s="197">
        <f ca="1"/>
        <v>150</v>
      </c>
    </row>
    <row r="113" spans="3:19" ht="20.399999999999999" x14ac:dyDescent="0.35">
      <c r="C113" s="197" t="str">
        <v>E1</v>
      </c>
      <c r="D113" s="197" t="str">
        <v>♥</v>
      </c>
      <c r="E113" s="197" t="str">
        <v>E</v>
      </c>
      <c r="F113" s="197" t="str">
        <v>1</v>
      </c>
      <c r="G113" s="197">
        <v>69</v>
      </c>
      <c r="H113" s="197" t="str">
        <v>G</v>
      </c>
      <c r="I113" s="197">
        <v>25</v>
      </c>
      <c r="J113" s="197" t="str">
        <v>G25</v>
      </c>
      <c r="K113" s="197">
        <f ca="1"/>
        <v>2</v>
      </c>
      <c r="L113" s="197">
        <f ca="1"/>
        <v>1</v>
      </c>
      <c r="M113" s="197">
        <f ca="1"/>
        <v>1</v>
      </c>
      <c r="N113" s="197">
        <f ca="1"/>
        <v>2</v>
      </c>
      <c r="O113" s="197">
        <f ca="1"/>
        <v>20</v>
      </c>
      <c r="P113" s="197">
        <f ca="1"/>
        <v>20</v>
      </c>
      <c r="Q113" s="197">
        <f ca="1"/>
        <v>30</v>
      </c>
      <c r="R113" s="197">
        <f ca="1"/>
        <v>80</v>
      </c>
      <c r="S113" s="197">
        <f ca="1"/>
        <v>150</v>
      </c>
    </row>
    <row r="114" spans="3:19" ht="20.399999999999999" x14ac:dyDescent="0.35">
      <c r="C114" s="197" t="str">
        <v>F1</v>
      </c>
      <c r="D114" s="197" t="str">
        <v>♦</v>
      </c>
      <c r="E114" s="197" t="str">
        <v>F</v>
      </c>
      <c r="F114" s="197" t="str">
        <v>1</v>
      </c>
      <c r="G114" s="197">
        <v>70</v>
      </c>
      <c r="H114" s="197" t="str">
        <v>H</v>
      </c>
      <c r="I114" s="197">
        <v>25</v>
      </c>
      <c r="J114" s="197" t="str">
        <v>H25</v>
      </c>
      <c r="K114" s="197">
        <f ca="1"/>
        <v>0</v>
      </c>
      <c r="L114" s="197">
        <f ca="1"/>
        <v>2</v>
      </c>
      <c r="M114" s="197">
        <f ca="1"/>
        <v>2</v>
      </c>
      <c r="N114" s="197">
        <f ca="1"/>
        <v>2</v>
      </c>
      <c r="O114" s="197">
        <f ca="1"/>
        <v>0</v>
      </c>
      <c r="P114" s="197">
        <f ca="1"/>
        <v>40</v>
      </c>
      <c r="Q114" s="197">
        <f ca="1"/>
        <v>60</v>
      </c>
      <c r="R114" s="197">
        <f ca="1"/>
        <v>80</v>
      </c>
      <c r="S114" s="197">
        <f ca="1"/>
        <v>180</v>
      </c>
    </row>
    <row r="115" spans="3:19" ht="20.399999999999999" x14ac:dyDescent="0.35">
      <c r="C115" s="197" t="str">
        <v>G1</v>
      </c>
      <c r="D115" s="197" t="str">
        <v>♥</v>
      </c>
      <c r="E115" s="197" t="str">
        <v>G</v>
      </c>
      <c r="F115" s="197" t="str">
        <v>1</v>
      </c>
      <c r="G115" s="197">
        <v>71</v>
      </c>
      <c r="H115" s="197" t="str">
        <v>I</v>
      </c>
      <c r="I115" s="197">
        <v>25</v>
      </c>
      <c r="J115" s="197" t="str">
        <v>I25</v>
      </c>
      <c r="K115" s="197">
        <f ca="1"/>
        <v>1</v>
      </c>
      <c r="L115" s="197">
        <f ca="1"/>
        <v>1</v>
      </c>
      <c r="M115" s="197">
        <f ca="1"/>
        <v>3</v>
      </c>
      <c r="N115" s="197">
        <f ca="1"/>
        <v>1</v>
      </c>
      <c r="O115" s="197">
        <f ca="1"/>
        <v>10</v>
      </c>
      <c r="P115" s="197">
        <f ca="1"/>
        <v>20</v>
      </c>
      <c r="Q115" s="197">
        <f ca="1"/>
        <v>90</v>
      </c>
      <c r="R115" s="197">
        <f ca="1"/>
        <v>40</v>
      </c>
      <c r="S115" s="197">
        <f ca="1"/>
        <v>160</v>
      </c>
    </row>
    <row r="116" spans="3:19" ht="20.399999999999999" x14ac:dyDescent="0.35">
      <c r="C116" s="197" t="str">
        <v>H1</v>
      </c>
      <c r="D116" s="197" t="str">
        <v>♠</v>
      </c>
      <c r="E116" s="197" t="str">
        <v>H</v>
      </c>
      <c r="F116" s="197" t="str">
        <v>1</v>
      </c>
      <c r="G116" s="197">
        <v>72</v>
      </c>
      <c r="H116" s="197" t="str">
        <v>J</v>
      </c>
      <c r="I116" s="197">
        <v>25</v>
      </c>
      <c r="J116" s="197" t="str">
        <v>J25</v>
      </c>
      <c r="K116" s="197">
        <f ca="1"/>
        <v>1</v>
      </c>
      <c r="L116" s="197">
        <f ca="1"/>
        <v>1</v>
      </c>
      <c r="M116" s="197">
        <f ca="1"/>
        <v>2</v>
      </c>
      <c r="N116" s="197">
        <f ca="1"/>
        <v>0</v>
      </c>
      <c r="O116" s="197">
        <f ca="1"/>
        <v>10</v>
      </c>
      <c r="P116" s="197">
        <f ca="1"/>
        <v>20</v>
      </c>
      <c r="Q116" s="197">
        <f ca="1"/>
        <v>60</v>
      </c>
      <c r="R116" s="197">
        <f ca="1"/>
        <v>0</v>
      </c>
      <c r="S116" s="197">
        <f ca="1"/>
        <v>90</v>
      </c>
    </row>
    <row r="117" spans="3:19" ht="20.399999999999999" x14ac:dyDescent="0.35">
      <c r="C117" s="197" t="str">
        <v>A2</v>
      </c>
      <c r="D117" s="197" t="str">
        <v>♣</v>
      </c>
      <c r="E117" s="197" t="str">
        <v>A</v>
      </c>
      <c r="F117" s="197" t="str">
        <v>2</v>
      </c>
      <c r="G117" s="197">
        <v>65</v>
      </c>
      <c r="H117" s="197" t="str">
        <v>C</v>
      </c>
      <c r="I117" s="197">
        <v>26</v>
      </c>
      <c r="J117" s="197" t="str">
        <v>C26</v>
      </c>
      <c r="K117" s="197">
        <f ca="1"/>
        <v>2</v>
      </c>
      <c r="L117" s="197">
        <f ca="1"/>
        <v>1</v>
      </c>
      <c r="M117" s="197">
        <f ca="1"/>
        <v>2</v>
      </c>
      <c r="N117" s="197">
        <f ca="1"/>
        <v>1</v>
      </c>
      <c r="O117" s="197">
        <f ca="1"/>
        <v>20</v>
      </c>
      <c r="P117" s="197">
        <f ca="1"/>
        <v>20</v>
      </c>
      <c r="Q117" s="197">
        <f ca="1"/>
        <v>60</v>
      </c>
      <c r="R117" s="197">
        <f ca="1"/>
        <v>40</v>
      </c>
      <c r="S117" s="197">
        <f ca="1"/>
        <v>140</v>
      </c>
    </row>
    <row r="118" spans="3:19" ht="20.399999999999999" x14ac:dyDescent="0.35">
      <c r="C118" s="197" t="str">
        <v>B2</v>
      </c>
      <c r="D118" s="197" t="str">
        <v>♣</v>
      </c>
      <c r="E118" s="197" t="str">
        <v>B</v>
      </c>
      <c r="F118" s="197" t="str">
        <v>2</v>
      </c>
      <c r="G118" s="197">
        <v>66</v>
      </c>
      <c r="H118" s="197" t="str">
        <v>D</v>
      </c>
      <c r="I118" s="197">
        <v>26</v>
      </c>
      <c r="J118" s="197" t="str">
        <v>D26</v>
      </c>
      <c r="K118" s="197">
        <f ca="1"/>
        <v>2</v>
      </c>
      <c r="L118" s="197">
        <f ca="1"/>
        <v>1</v>
      </c>
      <c r="M118" s="197">
        <f ca="1"/>
        <v>4</v>
      </c>
      <c r="N118" s="197">
        <f ca="1"/>
        <v>2</v>
      </c>
      <c r="O118" s="197">
        <f ca="1"/>
        <v>20</v>
      </c>
      <c r="P118" s="197">
        <f ca="1"/>
        <v>20</v>
      </c>
      <c r="Q118" s="197">
        <f ca="1"/>
        <v>120</v>
      </c>
      <c r="R118" s="197">
        <f ca="1"/>
        <v>80</v>
      </c>
      <c r="S118" s="197">
        <f ca="1"/>
        <v>240</v>
      </c>
    </row>
    <row r="119" spans="3:19" ht="20.399999999999999" x14ac:dyDescent="0.35">
      <c r="C119" s="197" t="str">
        <v>C2</v>
      </c>
      <c r="D119" s="197" t="str">
        <v>♦</v>
      </c>
      <c r="E119" s="197" t="str">
        <v>C</v>
      </c>
      <c r="F119" s="197" t="str">
        <v>2</v>
      </c>
      <c r="G119" s="197">
        <v>67</v>
      </c>
      <c r="H119" s="197" t="str">
        <v>E</v>
      </c>
      <c r="I119" s="197">
        <v>26</v>
      </c>
      <c r="J119" s="197" t="str">
        <v>E26</v>
      </c>
      <c r="K119" s="197">
        <f ca="1"/>
        <v>3</v>
      </c>
      <c r="L119" s="197">
        <f ca="1"/>
        <v>0</v>
      </c>
      <c r="M119" s="197">
        <f ca="1"/>
        <v>4</v>
      </c>
      <c r="N119" s="197">
        <f ca="1"/>
        <v>2</v>
      </c>
      <c r="O119" s="197">
        <f ca="1"/>
        <v>30</v>
      </c>
      <c r="P119" s="197">
        <f ca="1"/>
        <v>0</v>
      </c>
      <c r="Q119" s="197">
        <f ca="1"/>
        <v>120</v>
      </c>
      <c r="R119" s="197">
        <f ca="1"/>
        <v>80</v>
      </c>
      <c r="S119" s="197">
        <f ca="1"/>
        <v>230</v>
      </c>
    </row>
    <row r="120" spans="3:19" ht="20.399999999999999" x14ac:dyDescent="0.35">
      <c r="C120" s="197" t="str">
        <v>D2</v>
      </c>
      <c r="D120" s="197" t="str">
        <v>♣</v>
      </c>
      <c r="E120" s="197" t="str">
        <v>D</v>
      </c>
      <c r="F120" s="197" t="str">
        <v>2</v>
      </c>
      <c r="G120" s="197">
        <v>68</v>
      </c>
      <c r="H120" s="197" t="str">
        <v>F</v>
      </c>
      <c r="I120" s="197">
        <v>26</v>
      </c>
      <c r="J120" s="197" t="str">
        <v>F26</v>
      </c>
      <c r="K120" s="197">
        <f ca="1"/>
        <v>2</v>
      </c>
      <c r="L120" s="197">
        <f ca="1"/>
        <v>2</v>
      </c>
      <c r="M120" s="197">
        <f ca="1"/>
        <v>3</v>
      </c>
      <c r="N120" s="197">
        <f ca="1"/>
        <v>2</v>
      </c>
      <c r="O120" s="197">
        <f ca="1"/>
        <v>20</v>
      </c>
      <c r="P120" s="197">
        <f ca="1"/>
        <v>40</v>
      </c>
      <c r="Q120" s="197">
        <f ca="1"/>
        <v>90</v>
      </c>
      <c r="R120" s="197">
        <f ca="1"/>
        <v>80</v>
      </c>
      <c r="S120" s="197">
        <f ca="1"/>
        <v>230</v>
      </c>
    </row>
    <row r="121" spans="3:19" ht="20.399999999999999" x14ac:dyDescent="0.35">
      <c r="C121" s="197" t="str">
        <v>E2</v>
      </c>
      <c r="D121" s="197" t="str">
        <v>♦</v>
      </c>
      <c r="E121" s="197" t="str">
        <v>E</v>
      </c>
      <c r="F121" s="197" t="str">
        <v>2</v>
      </c>
      <c r="G121" s="197">
        <v>69</v>
      </c>
      <c r="H121" s="197" t="str">
        <v>G</v>
      </c>
      <c r="I121" s="197">
        <v>26</v>
      </c>
      <c r="J121" s="197" t="str">
        <v>G26</v>
      </c>
      <c r="K121" s="197">
        <f ca="1"/>
        <v>3</v>
      </c>
      <c r="L121" s="197">
        <f ca="1"/>
        <v>2</v>
      </c>
      <c r="M121" s="197">
        <f ca="1"/>
        <v>2</v>
      </c>
      <c r="N121" s="197">
        <f ca="1"/>
        <v>2</v>
      </c>
      <c r="O121" s="197">
        <f ca="1"/>
        <v>30</v>
      </c>
      <c r="P121" s="197">
        <f ca="1"/>
        <v>40</v>
      </c>
      <c r="Q121" s="197">
        <f ca="1"/>
        <v>60</v>
      </c>
      <c r="R121" s="197">
        <f ca="1"/>
        <v>80</v>
      </c>
      <c r="S121" s="197">
        <f ca="1"/>
        <v>210</v>
      </c>
    </row>
    <row r="122" spans="3:19" ht="20.399999999999999" x14ac:dyDescent="0.35">
      <c r="C122" s="197" t="str">
        <v>F2</v>
      </c>
      <c r="D122" s="197" t="str">
        <v>♠</v>
      </c>
      <c r="E122" s="197" t="str">
        <v>F</v>
      </c>
      <c r="F122" s="197" t="str">
        <v>2</v>
      </c>
      <c r="G122" s="197">
        <v>70</v>
      </c>
      <c r="H122" s="197" t="str">
        <v>H</v>
      </c>
      <c r="I122" s="197">
        <v>26</v>
      </c>
      <c r="J122" s="197" t="str">
        <v>H26</v>
      </c>
      <c r="K122" s="197">
        <f ca="1"/>
        <v>1</v>
      </c>
      <c r="L122" s="197">
        <f ca="1"/>
        <v>3</v>
      </c>
      <c r="M122" s="197">
        <f ca="1"/>
        <v>2</v>
      </c>
      <c r="N122" s="197">
        <f ca="1"/>
        <v>3</v>
      </c>
      <c r="O122" s="197">
        <f ca="1"/>
        <v>10</v>
      </c>
      <c r="P122" s="197">
        <f ca="1"/>
        <v>60</v>
      </c>
      <c r="Q122" s="197">
        <f ca="1"/>
        <v>60</v>
      </c>
      <c r="R122" s="197">
        <f ca="1"/>
        <v>120</v>
      </c>
      <c r="S122" s="197">
        <f ca="1"/>
        <v>250</v>
      </c>
    </row>
    <row r="123" spans="3:19" ht="20.399999999999999" x14ac:dyDescent="0.35">
      <c r="C123" s="197" t="str">
        <v>G2</v>
      </c>
      <c r="D123" s="197" t="str">
        <v>♠</v>
      </c>
      <c r="E123" s="197" t="str">
        <v>G</v>
      </c>
      <c r="F123" s="197" t="str">
        <v>2</v>
      </c>
      <c r="G123" s="197">
        <v>71</v>
      </c>
      <c r="H123" s="197" t="str">
        <v>I</v>
      </c>
      <c r="I123" s="197">
        <v>26</v>
      </c>
      <c r="J123" s="197" t="str">
        <v>I26</v>
      </c>
      <c r="K123" s="197">
        <f ca="1"/>
        <v>2</v>
      </c>
      <c r="L123" s="197">
        <f ca="1"/>
        <v>1</v>
      </c>
      <c r="M123" s="197">
        <f ca="1"/>
        <v>3</v>
      </c>
      <c r="N123" s="197">
        <f ca="1"/>
        <v>3</v>
      </c>
      <c r="O123" s="197">
        <f ca="1"/>
        <v>20</v>
      </c>
      <c r="P123" s="197">
        <f ca="1"/>
        <v>20</v>
      </c>
      <c r="Q123" s="197">
        <f ca="1"/>
        <v>90</v>
      </c>
      <c r="R123" s="197">
        <f ca="1"/>
        <v>120</v>
      </c>
      <c r="S123" s="197">
        <f ca="1"/>
        <v>250</v>
      </c>
    </row>
    <row r="124" spans="3:19" ht="20.399999999999999" x14ac:dyDescent="0.35">
      <c r="C124" s="197" t="str">
        <v>H2</v>
      </c>
      <c r="D124" s="197" t="str">
        <v>♣</v>
      </c>
      <c r="E124" s="197" t="str">
        <v>H</v>
      </c>
      <c r="F124" s="197" t="str">
        <v>2</v>
      </c>
      <c r="G124" s="197">
        <v>72</v>
      </c>
      <c r="H124" s="197" t="str">
        <v>J</v>
      </c>
      <c r="I124" s="197">
        <v>26</v>
      </c>
      <c r="J124" s="197" t="str">
        <v>J26</v>
      </c>
      <c r="K124" s="197">
        <f ca="1"/>
        <v>1</v>
      </c>
      <c r="L124" s="197">
        <f ca="1"/>
        <v>1</v>
      </c>
      <c r="M124" s="197">
        <f ca="1"/>
        <v>2</v>
      </c>
      <c r="N124" s="197">
        <f ca="1"/>
        <v>2</v>
      </c>
      <c r="O124" s="197">
        <f ca="1"/>
        <v>10</v>
      </c>
      <c r="P124" s="197">
        <f ca="1"/>
        <v>20</v>
      </c>
      <c r="Q124" s="197">
        <f ca="1"/>
        <v>60</v>
      </c>
      <c r="R124" s="197">
        <f ca="1"/>
        <v>80</v>
      </c>
      <c r="S124" s="197">
        <f ca="1"/>
        <v>170</v>
      </c>
    </row>
    <row r="125" spans="3:19" ht="20.399999999999999" x14ac:dyDescent="0.35">
      <c r="C125" s="197" t="str">
        <v>A3</v>
      </c>
      <c r="D125" s="197" t="str">
        <v>♠</v>
      </c>
      <c r="E125" s="197" t="str">
        <v>A</v>
      </c>
      <c r="F125" s="197" t="str">
        <v>3</v>
      </c>
      <c r="G125" s="197">
        <v>65</v>
      </c>
      <c r="H125" s="197" t="str">
        <v>C</v>
      </c>
      <c r="I125" s="197">
        <v>27</v>
      </c>
      <c r="J125" s="197" t="str">
        <v>C27</v>
      </c>
      <c r="K125" s="197">
        <f ca="1"/>
        <v>2</v>
      </c>
      <c r="L125" s="197">
        <f ca="1"/>
        <v>1</v>
      </c>
      <c r="M125" s="197">
        <f ca="1"/>
        <v>2</v>
      </c>
      <c r="N125" s="197">
        <f ca="1"/>
        <v>1</v>
      </c>
      <c r="O125" s="197">
        <f ca="1"/>
        <v>20</v>
      </c>
      <c r="P125" s="197">
        <f ca="1"/>
        <v>20</v>
      </c>
      <c r="Q125" s="197">
        <f ca="1"/>
        <v>60</v>
      </c>
      <c r="R125" s="197">
        <f ca="1"/>
        <v>40</v>
      </c>
      <c r="S125" s="197">
        <f ca="1"/>
        <v>140</v>
      </c>
    </row>
    <row r="126" spans="3:19" ht="20.399999999999999" x14ac:dyDescent="0.35">
      <c r="C126" s="197" t="str">
        <v>B3</v>
      </c>
      <c r="D126" s="197" t="str">
        <v>♠</v>
      </c>
      <c r="E126" s="197" t="str">
        <v>B</v>
      </c>
      <c r="F126" s="197" t="str">
        <v>3</v>
      </c>
      <c r="G126" s="197">
        <v>66</v>
      </c>
      <c r="H126" s="197" t="str">
        <v>D</v>
      </c>
      <c r="I126" s="197">
        <v>27</v>
      </c>
      <c r="J126" s="197" t="str">
        <v>D27</v>
      </c>
      <c r="K126" s="197">
        <f ca="1"/>
        <v>2</v>
      </c>
      <c r="L126" s="197">
        <f ca="1"/>
        <v>1</v>
      </c>
      <c r="M126" s="197">
        <f ca="1"/>
        <v>3</v>
      </c>
      <c r="N126" s="197">
        <f ca="1"/>
        <v>3</v>
      </c>
      <c r="O126" s="197">
        <f ca="1"/>
        <v>20</v>
      </c>
      <c r="P126" s="197">
        <f ca="1"/>
        <v>20</v>
      </c>
      <c r="Q126" s="197">
        <f ca="1"/>
        <v>90</v>
      </c>
      <c r="R126" s="197">
        <f ca="1"/>
        <v>120</v>
      </c>
      <c r="S126" s="197">
        <f ca="1"/>
        <v>250</v>
      </c>
    </row>
    <row r="127" spans="3:19" ht="20.399999999999999" x14ac:dyDescent="0.35">
      <c r="C127" s="197" t="str">
        <v>C3</v>
      </c>
      <c r="D127" s="197" t="str">
        <v>♠</v>
      </c>
      <c r="E127" s="197" t="str">
        <v>C</v>
      </c>
      <c r="F127" s="197" t="str">
        <v>3</v>
      </c>
      <c r="G127" s="197">
        <v>67</v>
      </c>
      <c r="H127" s="197" t="str">
        <v>E</v>
      </c>
      <c r="I127" s="197">
        <v>27</v>
      </c>
      <c r="J127" s="197" t="str">
        <v>E27</v>
      </c>
      <c r="K127" s="197">
        <f ca="1"/>
        <v>2</v>
      </c>
      <c r="L127" s="197">
        <f ca="1"/>
        <v>2</v>
      </c>
      <c r="M127" s="197">
        <f ca="1"/>
        <v>3</v>
      </c>
      <c r="N127" s="197">
        <f ca="1"/>
        <v>2</v>
      </c>
      <c r="O127" s="197">
        <f ca="1"/>
        <v>20</v>
      </c>
      <c r="P127" s="197">
        <f ca="1"/>
        <v>40</v>
      </c>
      <c r="Q127" s="197">
        <f ca="1"/>
        <v>90</v>
      </c>
      <c r="R127" s="197">
        <f ca="1"/>
        <v>80</v>
      </c>
      <c r="S127" s="197">
        <f ca="1"/>
        <v>230</v>
      </c>
    </row>
    <row r="128" spans="3:19" ht="20.399999999999999" x14ac:dyDescent="0.35">
      <c r="C128" s="197" t="str">
        <v>D3</v>
      </c>
      <c r="D128" s="197" t="str">
        <v>♠</v>
      </c>
      <c r="E128" s="197" t="str">
        <v>D</v>
      </c>
      <c r="F128" s="197" t="str">
        <v>3</v>
      </c>
      <c r="G128" s="197">
        <v>68</v>
      </c>
      <c r="H128" s="197" t="str">
        <v>F</v>
      </c>
      <c r="I128" s="197">
        <v>27</v>
      </c>
      <c r="J128" s="197" t="str">
        <v>F27</v>
      </c>
      <c r="K128" s="197">
        <f ca="1"/>
        <v>1</v>
      </c>
      <c r="L128" s="197">
        <f ca="1"/>
        <v>2</v>
      </c>
      <c r="M128" s="197">
        <f ca="1"/>
        <v>2</v>
      </c>
      <c r="N128" s="197">
        <f ca="1"/>
        <v>4</v>
      </c>
      <c r="O128" s="197">
        <f ca="1"/>
        <v>10</v>
      </c>
      <c r="P128" s="197">
        <f ca="1"/>
        <v>40</v>
      </c>
      <c r="Q128" s="197">
        <f ca="1"/>
        <v>60</v>
      </c>
      <c r="R128" s="197">
        <f ca="1"/>
        <v>160</v>
      </c>
      <c r="S128" s="197">
        <f ca="1"/>
        <v>270</v>
      </c>
    </row>
    <row r="129" spans="3:19" ht="20.399999999999999" x14ac:dyDescent="0.35">
      <c r="C129" s="197" t="str">
        <v>E3</v>
      </c>
      <c r="D129" s="197" t="str">
        <v>♥</v>
      </c>
      <c r="E129" s="197" t="str">
        <v>E</v>
      </c>
      <c r="F129" s="197" t="str">
        <v>3</v>
      </c>
      <c r="G129" s="197">
        <v>69</v>
      </c>
      <c r="H129" s="197" t="str">
        <v>G</v>
      </c>
      <c r="I129" s="197">
        <v>27</v>
      </c>
      <c r="J129" s="197" t="str">
        <v>G27</v>
      </c>
      <c r="K129" s="197">
        <f ca="1"/>
        <v>3</v>
      </c>
      <c r="L129" s="197">
        <f ca="1"/>
        <v>2</v>
      </c>
      <c r="M129" s="197">
        <f ca="1"/>
        <v>2</v>
      </c>
      <c r="N129" s="197">
        <f ca="1"/>
        <v>2</v>
      </c>
      <c r="O129" s="197">
        <f ca="1"/>
        <v>30</v>
      </c>
      <c r="P129" s="197">
        <f ca="1"/>
        <v>40</v>
      </c>
      <c r="Q129" s="197">
        <f ca="1"/>
        <v>60</v>
      </c>
      <c r="R129" s="197">
        <f ca="1"/>
        <v>80</v>
      </c>
      <c r="S129" s="197">
        <f ca="1"/>
        <v>210</v>
      </c>
    </row>
    <row r="130" spans="3:19" ht="20.399999999999999" x14ac:dyDescent="0.35">
      <c r="C130" s="197" t="str">
        <v>F3</v>
      </c>
      <c r="D130" s="197" t="str">
        <v>♣</v>
      </c>
      <c r="E130" s="197" t="str">
        <v>F</v>
      </c>
      <c r="F130" s="197" t="str">
        <v>3</v>
      </c>
      <c r="G130" s="197">
        <v>70</v>
      </c>
      <c r="H130" s="197" t="str">
        <v>H</v>
      </c>
      <c r="I130" s="197">
        <v>27</v>
      </c>
      <c r="J130" s="197" t="str">
        <v>H27</v>
      </c>
      <c r="K130" s="197">
        <f ca="1"/>
        <v>2</v>
      </c>
      <c r="L130" s="197">
        <f ca="1"/>
        <v>1</v>
      </c>
      <c r="M130" s="197">
        <f ca="1"/>
        <v>3</v>
      </c>
      <c r="N130" s="197">
        <f ca="1"/>
        <v>3</v>
      </c>
      <c r="O130" s="197">
        <f ca="1"/>
        <v>20</v>
      </c>
      <c r="P130" s="197">
        <f ca="1"/>
        <v>20</v>
      </c>
      <c r="Q130" s="197">
        <f ca="1"/>
        <v>90</v>
      </c>
      <c r="R130" s="197">
        <f ca="1"/>
        <v>120</v>
      </c>
      <c r="S130" s="197">
        <f ca="1"/>
        <v>250</v>
      </c>
    </row>
    <row r="131" spans="3:19" ht="20.399999999999999" x14ac:dyDescent="0.35">
      <c r="C131" s="197" t="str">
        <v>G3</v>
      </c>
      <c r="D131" s="197" t="str">
        <v>♦</v>
      </c>
      <c r="E131" s="197" t="str">
        <v>G</v>
      </c>
      <c r="F131" s="197" t="str">
        <v>3</v>
      </c>
      <c r="G131" s="197">
        <v>71</v>
      </c>
      <c r="H131" s="197" t="str">
        <v>I</v>
      </c>
      <c r="I131" s="197">
        <v>27</v>
      </c>
      <c r="J131" s="197" t="str">
        <v>I27</v>
      </c>
      <c r="K131" s="197">
        <f ca="1"/>
        <v>4</v>
      </c>
      <c r="L131" s="197">
        <f ca="1"/>
        <v>0</v>
      </c>
      <c r="M131" s="197">
        <f ca="1"/>
        <v>3</v>
      </c>
      <c r="N131" s="197">
        <f ca="1"/>
        <v>2</v>
      </c>
      <c r="O131" s="197">
        <f ca="1"/>
        <v>40</v>
      </c>
      <c r="P131" s="197">
        <f ca="1"/>
        <v>0</v>
      </c>
      <c r="Q131" s="197">
        <f ca="1"/>
        <v>90</v>
      </c>
      <c r="R131" s="197">
        <f ca="1"/>
        <v>80</v>
      </c>
      <c r="S131" s="197">
        <f ca="1"/>
        <v>210</v>
      </c>
    </row>
    <row r="132" spans="3:19" ht="20.399999999999999" x14ac:dyDescent="0.35">
      <c r="C132" s="197" t="str">
        <v>H3</v>
      </c>
      <c r="D132" s="197" t="str">
        <v>♦</v>
      </c>
      <c r="E132" s="197" t="str">
        <v>H</v>
      </c>
      <c r="F132" s="197" t="str">
        <v>3</v>
      </c>
      <c r="G132" s="197">
        <v>72</v>
      </c>
      <c r="H132" s="197" t="str">
        <v>J</v>
      </c>
      <c r="I132" s="197">
        <v>27</v>
      </c>
      <c r="J132" s="197" t="str">
        <v>J27</v>
      </c>
      <c r="K132" s="197">
        <f ca="1"/>
        <v>2</v>
      </c>
      <c r="L132" s="197">
        <f ca="1"/>
        <v>0</v>
      </c>
      <c r="M132" s="197">
        <f ca="1"/>
        <v>2</v>
      </c>
      <c r="N132" s="197">
        <f ca="1"/>
        <v>2</v>
      </c>
      <c r="O132" s="197">
        <f ca="1"/>
        <v>20</v>
      </c>
      <c r="P132" s="197">
        <f ca="1"/>
        <v>0</v>
      </c>
      <c r="Q132" s="197">
        <f ca="1"/>
        <v>60</v>
      </c>
      <c r="R132" s="197">
        <f ca="1"/>
        <v>80</v>
      </c>
      <c r="S132" s="197">
        <f ca="1"/>
        <v>160</v>
      </c>
    </row>
    <row r="133" spans="3:19" ht="20.399999999999999" x14ac:dyDescent="0.35">
      <c r="C133" s="197" t="str">
        <v>A4</v>
      </c>
      <c r="D133" s="197" t="str">
        <v>♦</v>
      </c>
      <c r="E133" s="197" t="str">
        <v>A</v>
      </c>
      <c r="F133" s="197" t="str">
        <v>4</v>
      </c>
      <c r="G133" s="197">
        <v>65</v>
      </c>
      <c r="H133" s="197" t="str">
        <v>C</v>
      </c>
      <c r="I133" s="197">
        <v>28</v>
      </c>
      <c r="J133" s="197" t="str">
        <v>C28</v>
      </c>
      <c r="K133" s="197">
        <f ca="1"/>
        <v>1</v>
      </c>
      <c r="L133" s="197">
        <f ca="1"/>
        <v>1</v>
      </c>
      <c r="M133" s="197">
        <f ca="1"/>
        <v>3</v>
      </c>
      <c r="N133" s="197">
        <f ca="1"/>
        <v>1</v>
      </c>
      <c r="O133" s="197">
        <f ca="1"/>
        <v>10</v>
      </c>
      <c r="P133" s="197">
        <f ca="1"/>
        <v>20</v>
      </c>
      <c r="Q133" s="197">
        <f ca="1"/>
        <v>90</v>
      </c>
      <c r="R133" s="197">
        <f ca="1"/>
        <v>40</v>
      </c>
      <c r="S133" s="197">
        <f ca="1"/>
        <v>160</v>
      </c>
    </row>
    <row r="134" spans="3:19" ht="20.399999999999999" x14ac:dyDescent="0.35">
      <c r="C134" s="197" t="str">
        <v>B4</v>
      </c>
      <c r="D134" s="197" t="str">
        <v>♥</v>
      </c>
      <c r="E134" s="197" t="str">
        <v>B</v>
      </c>
      <c r="F134" s="197" t="str">
        <v>4</v>
      </c>
      <c r="G134" s="197">
        <v>66</v>
      </c>
      <c r="H134" s="197" t="str">
        <v>D</v>
      </c>
      <c r="I134" s="197">
        <v>28</v>
      </c>
      <c r="J134" s="197" t="str">
        <v>D28</v>
      </c>
      <c r="K134" s="197">
        <f ca="1"/>
        <v>2</v>
      </c>
      <c r="L134" s="197">
        <f ca="1"/>
        <v>1</v>
      </c>
      <c r="M134" s="197">
        <f ca="1"/>
        <v>4</v>
      </c>
      <c r="N134" s="197">
        <f ca="1"/>
        <v>2</v>
      </c>
      <c r="O134" s="197">
        <f ca="1"/>
        <v>20</v>
      </c>
      <c r="P134" s="197">
        <f ca="1"/>
        <v>20</v>
      </c>
      <c r="Q134" s="197">
        <f ca="1"/>
        <v>120</v>
      </c>
      <c r="R134" s="197">
        <f ca="1"/>
        <v>80</v>
      </c>
      <c r="S134" s="197">
        <f ca="1"/>
        <v>240</v>
      </c>
    </row>
    <row r="135" spans="3:19" ht="20.399999999999999" x14ac:dyDescent="0.35">
      <c r="C135" s="197" t="str">
        <v>C4</v>
      </c>
      <c r="D135" s="197" t="str">
        <v>♦</v>
      </c>
      <c r="E135" s="197" t="str">
        <v>C</v>
      </c>
      <c r="F135" s="197" t="str">
        <v>4</v>
      </c>
      <c r="G135" s="197">
        <v>67</v>
      </c>
      <c r="H135" s="197" t="str">
        <v>E</v>
      </c>
      <c r="I135" s="197">
        <v>28</v>
      </c>
      <c r="J135" s="197" t="str">
        <v>E28</v>
      </c>
      <c r="K135" s="197">
        <f ca="1"/>
        <v>2</v>
      </c>
      <c r="L135" s="197">
        <f ca="1"/>
        <v>2</v>
      </c>
      <c r="M135" s="197">
        <f ca="1"/>
        <v>4</v>
      </c>
      <c r="N135" s="197">
        <f ca="1"/>
        <v>1</v>
      </c>
      <c r="O135" s="197">
        <f ca="1"/>
        <v>20</v>
      </c>
      <c r="P135" s="197">
        <f ca="1"/>
        <v>40</v>
      </c>
      <c r="Q135" s="197">
        <f ca="1"/>
        <v>120</v>
      </c>
      <c r="R135" s="197">
        <f ca="1"/>
        <v>40</v>
      </c>
      <c r="S135" s="197">
        <f ca="1"/>
        <v>220</v>
      </c>
    </row>
    <row r="136" spans="3:19" ht="20.399999999999999" x14ac:dyDescent="0.35">
      <c r="C136" s="197" t="str">
        <v>D4</v>
      </c>
      <c r="D136" s="197" t="str">
        <v>♥</v>
      </c>
      <c r="E136" s="197" t="str">
        <v>D</v>
      </c>
      <c r="F136" s="197" t="str">
        <v>4</v>
      </c>
      <c r="G136" s="197">
        <v>68</v>
      </c>
      <c r="H136" s="197" t="str">
        <v>F</v>
      </c>
      <c r="I136" s="197">
        <v>28</v>
      </c>
      <c r="J136" s="197" t="str">
        <v>F28</v>
      </c>
      <c r="K136" s="197">
        <f ca="1"/>
        <v>2</v>
      </c>
      <c r="L136" s="197">
        <f ca="1"/>
        <v>2</v>
      </c>
      <c r="M136" s="197">
        <f ca="1"/>
        <v>3</v>
      </c>
      <c r="N136" s="197">
        <f ca="1"/>
        <v>2</v>
      </c>
      <c r="O136" s="197">
        <f ca="1"/>
        <v>20</v>
      </c>
      <c r="P136" s="197">
        <f ca="1"/>
        <v>40</v>
      </c>
      <c r="Q136" s="197">
        <f ca="1"/>
        <v>90</v>
      </c>
      <c r="R136" s="197">
        <f ca="1"/>
        <v>80</v>
      </c>
      <c r="S136" s="197">
        <f ca="1"/>
        <v>230</v>
      </c>
    </row>
    <row r="137" spans="3:19" ht="20.399999999999999" x14ac:dyDescent="0.35">
      <c r="C137" s="197" t="str">
        <v>E4</v>
      </c>
      <c r="D137" s="197" t="str">
        <v>♦</v>
      </c>
      <c r="E137" s="197" t="str">
        <v>E</v>
      </c>
      <c r="F137" s="197" t="str">
        <v>4</v>
      </c>
      <c r="G137" s="197">
        <v>69</v>
      </c>
      <c r="H137" s="197" t="str">
        <v>G</v>
      </c>
      <c r="I137" s="197">
        <v>28</v>
      </c>
      <c r="J137" s="197" t="str">
        <v>G28</v>
      </c>
      <c r="K137" s="197">
        <f ca="1"/>
        <v>3</v>
      </c>
      <c r="L137" s="197">
        <f ca="1"/>
        <v>2</v>
      </c>
      <c r="M137" s="197">
        <f ca="1"/>
        <v>3</v>
      </c>
      <c r="N137" s="197">
        <f ca="1"/>
        <v>1</v>
      </c>
      <c r="O137" s="197">
        <f ca="1"/>
        <v>30</v>
      </c>
      <c r="P137" s="197">
        <f ca="1"/>
        <v>40</v>
      </c>
      <c r="Q137" s="197">
        <f ca="1"/>
        <v>90</v>
      </c>
      <c r="R137" s="197">
        <f ca="1"/>
        <v>40</v>
      </c>
      <c r="S137" s="197">
        <f ca="1"/>
        <v>200</v>
      </c>
    </row>
    <row r="138" spans="3:19" ht="20.399999999999999" x14ac:dyDescent="0.35">
      <c r="C138" s="197" t="str">
        <v>F4</v>
      </c>
      <c r="D138" s="197" t="str">
        <v>♣</v>
      </c>
      <c r="E138" s="197" t="str">
        <v>F</v>
      </c>
      <c r="F138" s="197" t="str">
        <v>4</v>
      </c>
      <c r="G138" s="197">
        <v>70</v>
      </c>
      <c r="H138" s="197" t="str">
        <v>H</v>
      </c>
      <c r="I138" s="197">
        <v>28</v>
      </c>
      <c r="J138" s="197" t="str">
        <v>H28</v>
      </c>
      <c r="K138" s="197">
        <f ca="1"/>
        <v>2</v>
      </c>
      <c r="L138" s="197">
        <f ca="1"/>
        <v>2</v>
      </c>
      <c r="M138" s="197">
        <f ca="1"/>
        <v>3</v>
      </c>
      <c r="N138" s="197">
        <f ca="1"/>
        <v>2</v>
      </c>
      <c r="O138" s="197">
        <f ca="1"/>
        <v>20</v>
      </c>
      <c r="P138" s="197">
        <f ca="1"/>
        <v>40</v>
      </c>
      <c r="Q138" s="197">
        <f ca="1"/>
        <v>90</v>
      </c>
      <c r="R138" s="197">
        <f ca="1"/>
        <v>80</v>
      </c>
      <c r="S138" s="197">
        <f ca="1"/>
        <v>230</v>
      </c>
    </row>
    <row r="139" spans="3:19" ht="20.399999999999999" x14ac:dyDescent="0.35">
      <c r="C139" s="197" t="str">
        <v>G4</v>
      </c>
      <c r="D139" s="197" t="str">
        <v>♠</v>
      </c>
      <c r="E139" s="197" t="str">
        <v>G</v>
      </c>
      <c r="F139" s="197" t="str">
        <v>4</v>
      </c>
      <c r="G139" s="197">
        <v>71</v>
      </c>
      <c r="H139" s="197" t="str">
        <v>I</v>
      </c>
      <c r="I139" s="197">
        <v>28</v>
      </c>
      <c r="J139" s="197" t="str">
        <v>I28</v>
      </c>
      <c r="K139" s="197">
        <f ca="1"/>
        <v>3</v>
      </c>
      <c r="L139" s="197">
        <f ca="1"/>
        <v>1</v>
      </c>
      <c r="M139" s="197">
        <f ca="1"/>
        <v>2</v>
      </c>
      <c r="N139" s="197">
        <f ca="1"/>
        <v>3</v>
      </c>
      <c r="O139" s="197">
        <f ca="1"/>
        <v>30</v>
      </c>
      <c r="P139" s="197">
        <f ca="1"/>
        <v>20</v>
      </c>
      <c r="Q139" s="197">
        <f ca="1"/>
        <v>60</v>
      </c>
      <c r="R139" s="197">
        <f ca="1"/>
        <v>120</v>
      </c>
      <c r="S139" s="197">
        <f ca="1"/>
        <v>230</v>
      </c>
    </row>
    <row r="140" spans="3:19" ht="20.399999999999999" x14ac:dyDescent="0.35">
      <c r="C140" s="197" t="str">
        <v>H4</v>
      </c>
      <c r="D140" s="197" t="str">
        <v>♣</v>
      </c>
      <c r="E140" s="197" t="str">
        <v>H</v>
      </c>
      <c r="F140" s="197" t="str">
        <v>4</v>
      </c>
      <c r="G140" s="197">
        <v>72</v>
      </c>
      <c r="H140" s="197" t="str">
        <v>J</v>
      </c>
      <c r="I140" s="197">
        <v>28</v>
      </c>
      <c r="J140" s="197" t="str">
        <v>J28</v>
      </c>
      <c r="K140" s="197">
        <f ca="1"/>
        <v>1</v>
      </c>
      <c r="L140" s="197">
        <f ca="1"/>
        <v>1</v>
      </c>
      <c r="M140" s="197">
        <f ca="1"/>
        <v>1</v>
      </c>
      <c r="N140" s="197">
        <f ca="1"/>
        <v>3</v>
      </c>
      <c r="O140" s="197">
        <f ca="1"/>
        <v>10</v>
      </c>
      <c r="P140" s="197">
        <f ca="1"/>
        <v>20</v>
      </c>
      <c r="Q140" s="197">
        <f ca="1"/>
        <v>30</v>
      </c>
      <c r="R140" s="197">
        <f ca="1"/>
        <v>120</v>
      </c>
      <c r="S140" s="197">
        <f ca="1"/>
        <v>180</v>
      </c>
    </row>
    <row r="141" spans="3:19" ht="20.399999999999999" x14ac:dyDescent="0.35">
      <c r="C141" s="197" t="str">
        <v>A5</v>
      </c>
      <c r="D141" s="197" t="str">
        <v>♣</v>
      </c>
      <c r="E141" s="197" t="str">
        <v>A</v>
      </c>
      <c r="F141" s="197" t="str">
        <v>5</v>
      </c>
      <c r="G141" s="197">
        <v>65</v>
      </c>
      <c r="H141" s="197" t="str">
        <v>C</v>
      </c>
      <c r="I141" s="197">
        <v>29</v>
      </c>
      <c r="J141" s="197" t="str">
        <v>C29</v>
      </c>
      <c r="K141" s="197">
        <f ca="1"/>
        <v>1</v>
      </c>
      <c r="L141" s="197">
        <f ca="1"/>
        <v>1</v>
      </c>
      <c r="M141" s="197">
        <f ca="1"/>
        <v>1</v>
      </c>
      <c r="N141" s="197">
        <f ca="1"/>
        <v>3</v>
      </c>
      <c r="O141" s="197">
        <f ca="1"/>
        <v>10</v>
      </c>
      <c r="P141" s="197">
        <f ca="1"/>
        <v>20</v>
      </c>
      <c r="Q141" s="197">
        <f ca="1"/>
        <v>30</v>
      </c>
      <c r="R141" s="197">
        <f ca="1"/>
        <v>120</v>
      </c>
      <c r="S141" s="197">
        <f ca="1"/>
        <v>180</v>
      </c>
    </row>
    <row r="142" spans="3:19" ht="20.399999999999999" x14ac:dyDescent="0.35">
      <c r="C142" s="197" t="str">
        <v>B5</v>
      </c>
      <c r="D142" s="197" t="str">
        <v>♠</v>
      </c>
      <c r="E142" s="197" t="str">
        <v>B</v>
      </c>
      <c r="F142" s="197" t="str">
        <v>5</v>
      </c>
      <c r="G142" s="197">
        <v>66</v>
      </c>
      <c r="H142" s="197" t="str">
        <v>D</v>
      </c>
      <c r="I142" s="197">
        <v>29</v>
      </c>
      <c r="J142" s="197" t="str">
        <v>D29</v>
      </c>
      <c r="K142" s="197">
        <f ca="1"/>
        <v>2</v>
      </c>
      <c r="L142" s="197">
        <f ca="1"/>
        <v>1</v>
      </c>
      <c r="M142" s="197">
        <f ca="1"/>
        <v>2</v>
      </c>
      <c r="N142" s="197">
        <f ca="1"/>
        <v>4</v>
      </c>
      <c r="O142" s="197">
        <f ca="1"/>
        <v>20</v>
      </c>
      <c r="P142" s="197">
        <f ca="1"/>
        <v>20</v>
      </c>
      <c r="Q142" s="197">
        <f ca="1"/>
        <v>60</v>
      </c>
      <c r="R142" s="197">
        <f ca="1"/>
        <v>160</v>
      </c>
      <c r="S142" s="197">
        <f ca="1"/>
        <v>260</v>
      </c>
    </row>
    <row r="143" spans="3:19" ht="20.399999999999999" x14ac:dyDescent="0.35">
      <c r="C143" s="197" t="str">
        <v>C5</v>
      </c>
      <c r="D143" s="197" t="str">
        <v>♣</v>
      </c>
      <c r="E143" s="197" t="str">
        <v>C</v>
      </c>
      <c r="F143" s="197" t="str">
        <v>5</v>
      </c>
      <c r="G143" s="197">
        <v>67</v>
      </c>
      <c r="H143" s="197" t="str">
        <v>E</v>
      </c>
      <c r="I143" s="197">
        <v>29</v>
      </c>
      <c r="J143" s="197" t="str">
        <v>E29</v>
      </c>
      <c r="K143" s="197">
        <f ca="1"/>
        <v>2</v>
      </c>
      <c r="L143" s="197">
        <f ca="1"/>
        <v>3</v>
      </c>
      <c r="M143" s="197">
        <f ca="1"/>
        <v>2</v>
      </c>
      <c r="N143" s="197">
        <f ca="1"/>
        <v>2</v>
      </c>
      <c r="O143" s="197">
        <f ca="1"/>
        <v>20</v>
      </c>
      <c r="P143" s="197">
        <f ca="1"/>
        <v>60</v>
      </c>
      <c r="Q143" s="197">
        <f ca="1"/>
        <v>60</v>
      </c>
      <c r="R143" s="197">
        <f ca="1"/>
        <v>80</v>
      </c>
      <c r="S143" s="197">
        <f ca="1"/>
        <v>220</v>
      </c>
    </row>
    <row r="144" spans="3:19" ht="20.399999999999999" x14ac:dyDescent="0.35">
      <c r="C144" s="197" t="str">
        <v>D5</v>
      </c>
      <c r="D144" s="197" t="str">
        <v>♣</v>
      </c>
      <c r="E144" s="197" t="str">
        <v>D</v>
      </c>
      <c r="F144" s="197" t="str">
        <v>5</v>
      </c>
      <c r="G144" s="197">
        <v>68</v>
      </c>
      <c r="H144" s="197" t="str">
        <v>F</v>
      </c>
      <c r="I144" s="197">
        <v>29</v>
      </c>
      <c r="J144" s="197" t="str">
        <v>F29</v>
      </c>
      <c r="K144" s="197">
        <f ca="1"/>
        <v>2</v>
      </c>
      <c r="L144" s="197">
        <f ca="1"/>
        <v>2</v>
      </c>
      <c r="M144" s="197">
        <f ca="1"/>
        <v>3</v>
      </c>
      <c r="N144" s="197">
        <f ca="1"/>
        <v>2</v>
      </c>
      <c r="O144" s="197">
        <f ca="1"/>
        <v>20</v>
      </c>
      <c r="P144" s="197">
        <f ca="1"/>
        <v>40</v>
      </c>
      <c r="Q144" s="197">
        <f ca="1"/>
        <v>90</v>
      </c>
      <c r="R144" s="197">
        <f ca="1"/>
        <v>80</v>
      </c>
      <c r="S144" s="197">
        <f ca="1"/>
        <v>230</v>
      </c>
    </row>
    <row r="145" spans="3:19" ht="20.399999999999999" x14ac:dyDescent="0.35">
      <c r="C145" s="197" t="str">
        <v>E5</v>
      </c>
      <c r="D145" s="197" t="str">
        <v>♠</v>
      </c>
      <c r="E145" s="197" t="str">
        <v>E</v>
      </c>
      <c r="F145" s="197" t="str">
        <v>5</v>
      </c>
      <c r="G145" s="197">
        <v>69</v>
      </c>
      <c r="H145" s="197" t="str">
        <v>G</v>
      </c>
      <c r="I145" s="197">
        <v>29</v>
      </c>
      <c r="J145" s="197" t="str">
        <v>G29</v>
      </c>
      <c r="K145" s="197">
        <f ca="1"/>
        <v>3</v>
      </c>
      <c r="L145" s="197">
        <f ca="1"/>
        <v>2</v>
      </c>
      <c r="M145" s="197">
        <f ca="1"/>
        <v>3</v>
      </c>
      <c r="N145" s="197">
        <f ca="1"/>
        <v>1</v>
      </c>
      <c r="O145" s="197">
        <f ca="1"/>
        <v>30</v>
      </c>
      <c r="P145" s="197">
        <f ca="1"/>
        <v>40</v>
      </c>
      <c r="Q145" s="197">
        <f ca="1"/>
        <v>90</v>
      </c>
      <c r="R145" s="197">
        <f ca="1"/>
        <v>40</v>
      </c>
      <c r="S145" s="197">
        <f ca="1"/>
        <v>200</v>
      </c>
    </row>
    <row r="146" spans="3:19" ht="20.399999999999999" x14ac:dyDescent="0.35">
      <c r="C146" s="197" t="str">
        <v>F5</v>
      </c>
      <c r="D146" s="197" t="str">
        <v>♠</v>
      </c>
      <c r="E146" s="197" t="str">
        <v>F</v>
      </c>
      <c r="F146" s="197" t="str">
        <v>5</v>
      </c>
      <c r="G146" s="197">
        <v>70</v>
      </c>
      <c r="H146" s="197" t="str">
        <v>H</v>
      </c>
      <c r="I146" s="197">
        <v>29</v>
      </c>
      <c r="J146" s="197" t="str">
        <v>H29</v>
      </c>
      <c r="K146" s="197">
        <f ca="1"/>
        <v>2</v>
      </c>
      <c r="L146" s="197">
        <f ca="1"/>
        <v>2</v>
      </c>
      <c r="M146" s="197">
        <f ca="1"/>
        <v>4</v>
      </c>
      <c r="N146" s="197">
        <f ca="1"/>
        <v>1</v>
      </c>
      <c r="O146" s="197">
        <f ca="1"/>
        <v>20</v>
      </c>
      <c r="P146" s="197">
        <f ca="1"/>
        <v>40</v>
      </c>
      <c r="Q146" s="197">
        <f ca="1"/>
        <v>120</v>
      </c>
      <c r="R146" s="197">
        <f ca="1"/>
        <v>40</v>
      </c>
      <c r="S146" s="197">
        <f ca="1"/>
        <v>220</v>
      </c>
    </row>
    <row r="147" spans="3:19" ht="20.399999999999999" x14ac:dyDescent="0.35">
      <c r="C147" s="197" t="str">
        <v>G5</v>
      </c>
      <c r="D147" s="197" t="str">
        <v>♥</v>
      </c>
      <c r="E147" s="197" t="str">
        <v>G</v>
      </c>
      <c r="F147" s="197" t="str">
        <v>5</v>
      </c>
      <c r="G147" s="197">
        <v>71</v>
      </c>
      <c r="H147" s="197" t="str">
        <v>I</v>
      </c>
      <c r="I147" s="197">
        <v>29</v>
      </c>
      <c r="J147" s="197" t="str">
        <v>I29</v>
      </c>
      <c r="K147" s="197">
        <f ca="1"/>
        <v>3</v>
      </c>
      <c r="L147" s="197">
        <f ca="1"/>
        <v>2</v>
      </c>
      <c r="M147" s="197">
        <f ca="1"/>
        <v>3</v>
      </c>
      <c r="N147" s="197">
        <f ca="1"/>
        <v>1</v>
      </c>
      <c r="O147" s="197">
        <f ca="1"/>
        <v>30</v>
      </c>
      <c r="P147" s="197">
        <f ca="1"/>
        <v>40</v>
      </c>
      <c r="Q147" s="197">
        <f ca="1"/>
        <v>90</v>
      </c>
      <c r="R147" s="197">
        <f ca="1"/>
        <v>40</v>
      </c>
      <c r="S147" s="197">
        <f ca="1"/>
        <v>200</v>
      </c>
    </row>
    <row r="148" spans="3:19" ht="20.399999999999999" x14ac:dyDescent="0.35">
      <c r="C148" s="197" t="str">
        <v>H5</v>
      </c>
      <c r="D148" s="197" t="str">
        <v>♦</v>
      </c>
      <c r="E148" s="197" t="str">
        <v>H</v>
      </c>
      <c r="F148" s="197" t="str">
        <v>5</v>
      </c>
      <c r="G148" s="197">
        <v>72</v>
      </c>
      <c r="H148" s="197" t="str">
        <v>J</v>
      </c>
      <c r="I148" s="197">
        <v>29</v>
      </c>
      <c r="J148" s="197" t="str">
        <v>J29</v>
      </c>
      <c r="K148" s="197">
        <f ca="1"/>
        <v>1</v>
      </c>
      <c r="L148" s="197">
        <f ca="1"/>
        <v>2</v>
      </c>
      <c r="M148" s="197">
        <f ca="1"/>
        <v>2</v>
      </c>
      <c r="N148" s="197">
        <f ca="1"/>
        <v>1</v>
      </c>
      <c r="O148" s="197">
        <f ca="1"/>
        <v>10</v>
      </c>
      <c r="P148" s="197">
        <f ca="1"/>
        <v>40</v>
      </c>
      <c r="Q148" s="197">
        <f ca="1"/>
        <v>60</v>
      </c>
      <c r="R148" s="197">
        <f ca="1"/>
        <v>40</v>
      </c>
      <c r="S148" s="197">
        <f ca="1"/>
        <v>150</v>
      </c>
    </row>
    <row r="149" spans="3:19" ht="20.399999999999999" x14ac:dyDescent="0.35">
      <c r="C149" s="197" t="str">
        <v>A6</v>
      </c>
      <c r="D149" s="197" t="str">
        <v>♦</v>
      </c>
      <c r="E149" s="197" t="str">
        <v>A</v>
      </c>
      <c r="F149" s="197" t="str">
        <v>6</v>
      </c>
      <c r="G149" s="197">
        <v>65</v>
      </c>
      <c r="H149" s="197" t="str">
        <v>C</v>
      </c>
      <c r="I149" s="197">
        <v>30</v>
      </c>
      <c r="J149" s="197" t="str">
        <v>C30</v>
      </c>
      <c r="K149" s="197">
        <f ca="1"/>
        <v>1</v>
      </c>
      <c r="L149" s="197">
        <f ca="1"/>
        <v>1</v>
      </c>
      <c r="M149" s="197">
        <f ca="1"/>
        <v>2</v>
      </c>
      <c r="N149" s="197">
        <f ca="1"/>
        <v>2</v>
      </c>
      <c r="O149" s="197">
        <f ca="1"/>
        <v>10</v>
      </c>
      <c r="P149" s="197">
        <f ca="1"/>
        <v>20</v>
      </c>
      <c r="Q149" s="197">
        <f ca="1"/>
        <v>60</v>
      </c>
      <c r="R149" s="197">
        <f ca="1"/>
        <v>80</v>
      </c>
      <c r="S149" s="197">
        <f ca="1"/>
        <v>170</v>
      </c>
    </row>
    <row r="150" spans="3:19" ht="20.399999999999999" x14ac:dyDescent="0.35">
      <c r="C150" s="197" t="str">
        <v>B6</v>
      </c>
      <c r="D150" s="197" t="str">
        <v>♦</v>
      </c>
      <c r="E150" s="197" t="str">
        <v>B</v>
      </c>
      <c r="F150" s="197" t="str">
        <v>6</v>
      </c>
      <c r="G150" s="197">
        <v>66</v>
      </c>
      <c r="H150" s="197" t="str">
        <v>D</v>
      </c>
      <c r="I150" s="197">
        <v>30</v>
      </c>
      <c r="J150" s="197" t="str">
        <v>D30</v>
      </c>
      <c r="K150" s="197">
        <f ca="1"/>
        <v>2</v>
      </c>
      <c r="L150" s="197">
        <f ca="1"/>
        <v>1</v>
      </c>
      <c r="M150" s="197">
        <f ca="1"/>
        <v>4</v>
      </c>
      <c r="N150" s="197">
        <f ca="1"/>
        <v>2</v>
      </c>
      <c r="O150" s="197">
        <f ca="1"/>
        <v>20</v>
      </c>
      <c r="P150" s="197">
        <f ca="1"/>
        <v>20</v>
      </c>
      <c r="Q150" s="197">
        <f ca="1"/>
        <v>120</v>
      </c>
      <c r="R150" s="197">
        <f ca="1"/>
        <v>80</v>
      </c>
      <c r="S150" s="197">
        <f ca="1"/>
        <v>240</v>
      </c>
    </row>
    <row r="151" spans="3:19" ht="20.399999999999999" x14ac:dyDescent="0.35">
      <c r="C151" s="197" t="str">
        <v>C6</v>
      </c>
      <c r="D151" s="197" t="str">
        <v>♠</v>
      </c>
      <c r="E151" s="197" t="str">
        <v>C</v>
      </c>
      <c r="F151" s="197" t="str">
        <v>6</v>
      </c>
      <c r="G151" s="197">
        <v>67</v>
      </c>
      <c r="H151" s="197" t="str">
        <v>E</v>
      </c>
      <c r="I151" s="197">
        <v>30</v>
      </c>
      <c r="J151" s="197" t="str">
        <v>E30</v>
      </c>
      <c r="K151" s="197">
        <f ca="1"/>
        <v>2</v>
      </c>
      <c r="L151" s="197">
        <f ca="1"/>
        <v>1</v>
      </c>
      <c r="M151" s="197">
        <f ca="1"/>
        <v>4</v>
      </c>
      <c r="N151" s="197">
        <f ca="1"/>
        <v>2</v>
      </c>
      <c r="O151" s="197">
        <f ca="1"/>
        <v>20</v>
      </c>
      <c r="P151" s="197">
        <f ca="1"/>
        <v>20</v>
      </c>
      <c r="Q151" s="197">
        <f ca="1"/>
        <v>120</v>
      </c>
      <c r="R151" s="197">
        <f ca="1"/>
        <v>80</v>
      </c>
      <c r="S151" s="197">
        <f ca="1"/>
        <v>240</v>
      </c>
    </row>
    <row r="152" spans="3:19" ht="20.399999999999999" x14ac:dyDescent="0.35">
      <c r="C152" s="197" t="str">
        <v>D6</v>
      </c>
      <c r="D152" s="197" t="str">
        <v>♥</v>
      </c>
      <c r="E152" s="197" t="str">
        <v>D</v>
      </c>
      <c r="F152" s="197" t="str">
        <v>6</v>
      </c>
      <c r="G152" s="197">
        <v>68</v>
      </c>
      <c r="H152" s="197" t="str">
        <v>F</v>
      </c>
      <c r="I152" s="197">
        <v>30</v>
      </c>
      <c r="J152" s="197" t="str">
        <v>F30</v>
      </c>
      <c r="K152" s="197">
        <f ca="1"/>
        <v>2</v>
      </c>
      <c r="L152" s="197">
        <f ca="1"/>
        <v>1</v>
      </c>
      <c r="M152" s="197">
        <f ca="1"/>
        <v>4</v>
      </c>
      <c r="N152" s="197">
        <f ca="1"/>
        <v>2</v>
      </c>
      <c r="O152" s="197">
        <f ca="1"/>
        <v>20</v>
      </c>
      <c r="P152" s="197">
        <f ca="1"/>
        <v>20</v>
      </c>
      <c r="Q152" s="197">
        <f ca="1"/>
        <v>120</v>
      </c>
      <c r="R152" s="197">
        <f ca="1"/>
        <v>80</v>
      </c>
      <c r="S152" s="197">
        <f ca="1"/>
        <v>240</v>
      </c>
    </row>
    <row r="153" spans="3:19" ht="20.399999999999999" x14ac:dyDescent="0.35">
      <c r="C153" s="197" t="str">
        <v>E6</v>
      </c>
      <c r="D153" s="197" t="str">
        <v>♠</v>
      </c>
      <c r="E153" s="197" t="str">
        <v>E</v>
      </c>
      <c r="F153" s="197" t="str">
        <v>6</v>
      </c>
      <c r="G153" s="197">
        <v>69</v>
      </c>
      <c r="H153" s="197" t="str">
        <v>G</v>
      </c>
      <c r="I153" s="197">
        <v>30</v>
      </c>
      <c r="J153" s="197" t="str">
        <v>G30</v>
      </c>
      <c r="K153" s="197">
        <f ca="1"/>
        <v>3</v>
      </c>
      <c r="L153" s="197">
        <f ca="1"/>
        <v>1</v>
      </c>
      <c r="M153" s="197">
        <f ca="1"/>
        <v>3</v>
      </c>
      <c r="N153" s="197">
        <f ca="1"/>
        <v>2</v>
      </c>
      <c r="O153" s="197">
        <f ca="1"/>
        <v>30</v>
      </c>
      <c r="P153" s="197">
        <f ca="1"/>
        <v>20</v>
      </c>
      <c r="Q153" s="197">
        <f ca="1"/>
        <v>90</v>
      </c>
      <c r="R153" s="197">
        <f ca="1"/>
        <v>80</v>
      </c>
      <c r="S153" s="197">
        <f ca="1"/>
        <v>220</v>
      </c>
    </row>
    <row r="154" spans="3:19" ht="20.399999999999999" x14ac:dyDescent="0.35">
      <c r="C154" s="197" t="str">
        <v>F6</v>
      </c>
      <c r="D154" s="197" t="str">
        <v>♣</v>
      </c>
      <c r="E154" s="197" t="str">
        <v>F</v>
      </c>
      <c r="F154" s="197" t="str">
        <v>6</v>
      </c>
      <c r="G154" s="197">
        <v>70</v>
      </c>
      <c r="H154" s="197" t="str">
        <v>H</v>
      </c>
      <c r="I154" s="197">
        <v>30</v>
      </c>
      <c r="J154" s="197" t="str">
        <v>H30</v>
      </c>
      <c r="K154" s="197">
        <f ca="1"/>
        <v>2</v>
      </c>
      <c r="L154" s="197">
        <f ca="1"/>
        <v>2</v>
      </c>
      <c r="M154" s="197">
        <f ca="1"/>
        <v>4</v>
      </c>
      <c r="N154" s="197">
        <f ca="1"/>
        <v>1</v>
      </c>
      <c r="O154" s="197">
        <f ca="1"/>
        <v>20</v>
      </c>
      <c r="P154" s="197">
        <f ca="1"/>
        <v>40</v>
      </c>
      <c r="Q154" s="197">
        <f ca="1"/>
        <v>120</v>
      </c>
      <c r="R154" s="197">
        <f ca="1"/>
        <v>40</v>
      </c>
      <c r="S154" s="197">
        <f ca="1"/>
        <v>220</v>
      </c>
    </row>
    <row r="155" spans="3:19" ht="20.399999999999999" x14ac:dyDescent="0.35">
      <c r="C155" s="197" t="str">
        <v>G6</v>
      </c>
      <c r="D155" s="197" t="str">
        <v>♥</v>
      </c>
      <c r="E155" s="197" t="str">
        <v>G</v>
      </c>
      <c r="F155" s="197" t="str">
        <v>6</v>
      </c>
      <c r="G155" s="197">
        <v>71</v>
      </c>
      <c r="H155" s="197" t="str">
        <v>I</v>
      </c>
      <c r="I155" s="197">
        <v>30</v>
      </c>
      <c r="J155" s="197" t="str">
        <v>I30</v>
      </c>
      <c r="K155" s="197">
        <f ca="1"/>
        <v>2</v>
      </c>
      <c r="L155" s="197">
        <f ca="1"/>
        <v>2</v>
      </c>
      <c r="M155" s="197">
        <f ca="1"/>
        <v>3</v>
      </c>
      <c r="N155" s="197">
        <f ca="1"/>
        <v>2</v>
      </c>
      <c r="O155" s="197">
        <f ca="1"/>
        <v>20</v>
      </c>
      <c r="P155" s="197">
        <f ca="1"/>
        <v>40</v>
      </c>
      <c r="Q155" s="197">
        <f ca="1"/>
        <v>90</v>
      </c>
      <c r="R155" s="197">
        <f ca="1"/>
        <v>80</v>
      </c>
      <c r="S155" s="197">
        <f ca="1"/>
        <v>230</v>
      </c>
    </row>
    <row r="156" spans="3:19" ht="20.399999999999999" x14ac:dyDescent="0.35">
      <c r="C156" s="197" t="str">
        <v>H6</v>
      </c>
      <c r="D156" s="197" t="str">
        <v>♠</v>
      </c>
      <c r="E156" s="197" t="str">
        <v>H</v>
      </c>
      <c r="F156" s="197" t="str">
        <v>6</v>
      </c>
      <c r="G156" s="197">
        <v>72</v>
      </c>
      <c r="H156" s="197" t="str">
        <v>J</v>
      </c>
      <c r="I156" s="197">
        <v>30</v>
      </c>
      <c r="J156" s="197" t="str">
        <v>J30</v>
      </c>
      <c r="K156" s="197">
        <f ca="1"/>
        <v>0</v>
      </c>
      <c r="L156" s="197">
        <f ca="1"/>
        <v>2</v>
      </c>
      <c r="M156" s="197">
        <f ca="1"/>
        <v>2</v>
      </c>
      <c r="N156" s="197">
        <f ca="1"/>
        <v>2</v>
      </c>
      <c r="O156" s="197">
        <f ca="1"/>
        <v>0</v>
      </c>
      <c r="P156" s="197">
        <f ca="1"/>
        <v>40</v>
      </c>
      <c r="Q156" s="197">
        <f ca="1"/>
        <v>60</v>
      </c>
      <c r="R156" s="197">
        <f ca="1"/>
        <v>80</v>
      </c>
      <c r="S156" s="197">
        <f ca="1"/>
        <v>180</v>
      </c>
    </row>
    <row r="157" spans="3:19" ht="20.399999999999999" x14ac:dyDescent="0.35">
      <c r="C157" s="197" t="str">
        <v>A7</v>
      </c>
      <c r="D157" s="197" t="str">
        <v>♥</v>
      </c>
      <c r="E157" s="197" t="str">
        <v>A</v>
      </c>
      <c r="F157" s="197" t="str">
        <v>7</v>
      </c>
      <c r="G157" s="197">
        <v>65</v>
      </c>
      <c r="H157" s="197" t="str">
        <v>C</v>
      </c>
      <c r="I157" s="197">
        <v>31</v>
      </c>
      <c r="J157" s="197" t="str">
        <v>C31</v>
      </c>
      <c r="K157" s="197">
        <f ca="1"/>
        <v>0</v>
      </c>
      <c r="L157" s="197">
        <f ca="1"/>
        <v>2</v>
      </c>
      <c r="M157" s="197">
        <f ca="1"/>
        <v>1</v>
      </c>
      <c r="N157" s="197">
        <f ca="1"/>
        <v>3</v>
      </c>
      <c r="O157" s="197">
        <f ca="1"/>
        <v>0</v>
      </c>
      <c r="P157" s="197">
        <f ca="1"/>
        <v>40</v>
      </c>
      <c r="Q157" s="197">
        <f ca="1"/>
        <v>30</v>
      </c>
      <c r="R157" s="197">
        <f ca="1"/>
        <v>120</v>
      </c>
      <c r="S157" s="197">
        <f ca="1"/>
        <v>190</v>
      </c>
    </row>
    <row r="158" spans="3:19" ht="20.399999999999999" x14ac:dyDescent="0.35">
      <c r="C158" s="197" t="str">
        <v>B7</v>
      </c>
      <c r="D158" s="197" t="str">
        <v>♠</v>
      </c>
      <c r="E158" s="197" t="str">
        <v>B</v>
      </c>
      <c r="F158" s="197" t="str">
        <v>7</v>
      </c>
      <c r="G158" s="197">
        <v>66</v>
      </c>
      <c r="H158" s="197" t="str">
        <v>D</v>
      </c>
      <c r="I158" s="197">
        <v>31</v>
      </c>
      <c r="J158" s="197" t="str">
        <v>D31</v>
      </c>
      <c r="K158" s="197">
        <f ca="1"/>
        <v>0</v>
      </c>
      <c r="L158" s="197">
        <f ca="1"/>
        <v>3</v>
      </c>
      <c r="M158" s="197">
        <f ca="1"/>
        <v>3</v>
      </c>
      <c r="N158" s="197">
        <f ca="1"/>
        <v>3</v>
      </c>
      <c r="O158" s="197">
        <f ca="1"/>
        <v>0</v>
      </c>
      <c r="P158" s="197">
        <f ca="1"/>
        <v>60</v>
      </c>
      <c r="Q158" s="197">
        <f ca="1"/>
        <v>90</v>
      </c>
      <c r="R158" s="197">
        <f ca="1"/>
        <v>120</v>
      </c>
      <c r="S158" s="197">
        <f ca="1"/>
        <v>270</v>
      </c>
    </row>
    <row r="159" spans="3:19" ht="20.399999999999999" x14ac:dyDescent="0.35">
      <c r="C159" s="197" t="str">
        <v>C7</v>
      </c>
      <c r="D159" s="197" t="str">
        <v>♠</v>
      </c>
      <c r="E159" s="197" t="str">
        <v>C</v>
      </c>
      <c r="F159" s="197" t="str">
        <v>7</v>
      </c>
      <c r="G159" s="197">
        <v>67</v>
      </c>
      <c r="H159" s="197" t="str">
        <v>E</v>
      </c>
      <c r="I159" s="197">
        <v>31</v>
      </c>
      <c r="J159" s="197" t="str">
        <v>E31</v>
      </c>
      <c r="K159" s="197">
        <f ca="1"/>
        <v>1</v>
      </c>
      <c r="L159" s="197">
        <f ca="1"/>
        <v>3</v>
      </c>
      <c r="M159" s="197">
        <f ca="1"/>
        <v>3</v>
      </c>
      <c r="N159" s="197">
        <f ca="1"/>
        <v>2</v>
      </c>
      <c r="O159" s="197">
        <f ca="1"/>
        <v>10</v>
      </c>
      <c r="P159" s="197">
        <f ca="1"/>
        <v>60</v>
      </c>
      <c r="Q159" s="197">
        <f ca="1"/>
        <v>90</v>
      </c>
      <c r="R159" s="197">
        <f ca="1"/>
        <v>80</v>
      </c>
      <c r="S159" s="197">
        <f ca="1"/>
        <v>240</v>
      </c>
    </row>
    <row r="160" spans="3:19" ht="20.399999999999999" x14ac:dyDescent="0.35">
      <c r="C160" s="197" t="str">
        <v>D7</v>
      </c>
      <c r="D160" s="197" t="str">
        <v>♦</v>
      </c>
      <c r="E160" s="197" t="str">
        <v>D</v>
      </c>
      <c r="F160" s="197" t="str">
        <v>7</v>
      </c>
      <c r="G160" s="197">
        <v>68</v>
      </c>
      <c r="H160" s="197" t="str">
        <v>F</v>
      </c>
      <c r="I160" s="197">
        <v>31</v>
      </c>
      <c r="J160" s="197" t="str">
        <v>F31</v>
      </c>
      <c r="K160" s="197">
        <f ca="1"/>
        <v>2</v>
      </c>
      <c r="L160" s="197">
        <f ca="1"/>
        <v>2</v>
      </c>
      <c r="M160" s="197">
        <f ca="1"/>
        <v>3</v>
      </c>
      <c r="N160" s="197">
        <f ca="1"/>
        <v>2</v>
      </c>
      <c r="O160" s="197">
        <f ca="1"/>
        <v>20</v>
      </c>
      <c r="P160" s="197">
        <f ca="1"/>
        <v>40</v>
      </c>
      <c r="Q160" s="197">
        <f ca="1"/>
        <v>90</v>
      </c>
      <c r="R160" s="197">
        <f ca="1"/>
        <v>80</v>
      </c>
      <c r="S160" s="197">
        <f ca="1"/>
        <v>230</v>
      </c>
    </row>
    <row r="161" spans="3:19" ht="20.399999999999999" x14ac:dyDescent="0.35">
      <c r="C161" s="197" t="str">
        <v>E7</v>
      </c>
      <c r="D161" s="197" t="str">
        <v>♦</v>
      </c>
      <c r="E161" s="197" t="str">
        <v>E</v>
      </c>
      <c r="F161" s="197" t="str">
        <v>7</v>
      </c>
      <c r="G161" s="197">
        <v>69</v>
      </c>
      <c r="H161" s="197" t="str">
        <v>G</v>
      </c>
      <c r="I161" s="197">
        <v>31</v>
      </c>
      <c r="J161" s="197" t="str">
        <v>G31</v>
      </c>
      <c r="K161" s="197">
        <f ca="1"/>
        <v>4</v>
      </c>
      <c r="L161" s="197">
        <f ca="1"/>
        <v>1</v>
      </c>
      <c r="M161" s="197">
        <f ca="1"/>
        <v>1</v>
      </c>
      <c r="N161" s="197">
        <f ca="1"/>
        <v>3</v>
      </c>
      <c r="O161" s="197">
        <f ca="1"/>
        <v>40</v>
      </c>
      <c r="P161" s="197">
        <f ca="1"/>
        <v>20</v>
      </c>
      <c r="Q161" s="197">
        <f ca="1"/>
        <v>30</v>
      </c>
      <c r="R161" s="197">
        <f ca="1"/>
        <v>120</v>
      </c>
      <c r="S161" s="197">
        <f ca="1"/>
        <v>210</v>
      </c>
    </row>
    <row r="162" spans="3:19" ht="20.399999999999999" x14ac:dyDescent="0.35">
      <c r="C162" s="197" t="str">
        <v>F7</v>
      </c>
      <c r="D162" s="197" t="str">
        <v>♣</v>
      </c>
      <c r="E162" s="197" t="str">
        <v>F</v>
      </c>
      <c r="F162" s="197" t="str">
        <v>7</v>
      </c>
      <c r="G162" s="197">
        <v>70</v>
      </c>
      <c r="H162" s="197" t="str">
        <v>H</v>
      </c>
      <c r="I162" s="197">
        <v>31</v>
      </c>
      <c r="J162" s="197" t="str">
        <v>H31</v>
      </c>
      <c r="K162" s="197">
        <f ca="1"/>
        <v>3</v>
      </c>
      <c r="L162" s="197">
        <f ca="1"/>
        <v>2</v>
      </c>
      <c r="M162" s="197">
        <f ca="1"/>
        <v>2</v>
      </c>
      <c r="N162" s="197">
        <f ca="1"/>
        <v>2</v>
      </c>
      <c r="O162" s="197">
        <f ca="1"/>
        <v>30</v>
      </c>
      <c r="P162" s="197">
        <f ca="1"/>
        <v>40</v>
      </c>
      <c r="Q162" s="197">
        <f ca="1"/>
        <v>60</v>
      </c>
      <c r="R162" s="197">
        <f ca="1"/>
        <v>80</v>
      </c>
      <c r="S162" s="197">
        <f ca="1"/>
        <v>210</v>
      </c>
    </row>
    <row r="163" spans="3:19" ht="20.399999999999999" x14ac:dyDescent="0.35">
      <c r="C163" s="197" t="str">
        <v>G7</v>
      </c>
      <c r="D163" s="197" t="str">
        <v>♠</v>
      </c>
      <c r="E163" s="197" t="str">
        <v>G</v>
      </c>
      <c r="F163" s="197" t="str">
        <v>7</v>
      </c>
      <c r="G163" s="197">
        <v>71</v>
      </c>
      <c r="H163" s="197" t="str">
        <v>I</v>
      </c>
      <c r="I163" s="197">
        <v>31</v>
      </c>
      <c r="J163" s="197" t="str">
        <v>I31</v>
      </c>
      <c r="K163" s="197">
        <f ca="1"/>
        <v>3</v>
      </c>
      <c r="L163" s="197">
        <f ca="1"/>
        <v>2</v>
      </c>
      <c r="M163" s="197">
        <f ca="1"/>
        <v>2</v>
      </c>
      <c r="N163" s="197">
        <f ca="1"/>
        <v>2</v>
      </c>
      <c r="O163" s="197">
        <f ca="1"/>
        <v>30</v>
      </c>
      <c r="P163" s="197">
        <f ca="1"/>
        <v>40</v>
      </c>
      <c r="Q163" s="197">
        <f ca="1"/>
        <v>60</v>
      </c>
      <c r="R163" s="197">
        <f ca="1"/>
        <v>80</v>
      </c>
      <c r="S163" s="197">
        <f ca="1"/>
        <v>210</v>
      </c>
    </row>
    <row r="164" spans="3:19" ht="20.399999999999999" x14ac:dyDescent="0.35">
      <c r="C164" s="197" t="str">
        <v>H7</v>
      </c>
      <c r="D164" s="197" t="str">
        <v>♦</v>
      </c>
      <c r="E164" s="197" t="str">
        <v>H</v>
      </c>
      <c r="F164" s="197" t="str">
        <v>7</v>
      </c>
      <c r="G164" s="197">
        <v>72</v>
      </c>
      <c r="H164" s="197" t="str">
        <v>J</v>
      </c>
      <c r="I164" s="197">
        <v>31</v>
      </c>
      <c r="J164" s="197" t="str">
        <v>J31</v>
      </c>
      <c r="K164" s="197">
        <f ca="1"/>
        <v>1</v>
      </c>
      <c r="L164" s="197">
        <f ca="1"/>
        <v>2</v>
      </c>
      <c r="M164" s="197">
        <f ca="1"/>
        <v>2</v>
      </c>
      <c r="N164" s="197">
        <f ca="1"/>
        <v>1</v>
      </c>
      <c r="O164" s="197">
        <f ca="1"/>
        <v>10</v>
      </c>
      <c r="P164" s="197">
        <f ca="1"/>
        <v>40</v>
      </c>
      <c r="Q164" s="197">
        <f ca="1"/>
        <v>60</v>
      </c>
      <c r="R164" s="197">
        <f ca="1"/>
        <v>40</v>
      </c>
      <c r="S164" s="197">
        <f ca="1"/>
        <v>150</v>
      </c>
    </row>
    <row r="165" spans="3:19" ht="20.399999999999999" x14ac:dyDescent="0.35">
      <c r="C165" s="197" t="str">
        <v>A8</v>
      </c>
      <c r="D165" s="197" t="str">
        <v>♦</v>
      </c>
      <c r="E165" s="197" t="str">
        <v>A</v>
      </c>
      <c r="F165" s="197" t="str">
        <v>8</v>
      </c>
      <c r="G165" s="197">
        <v>65</v>
      </c>
      <c r="H165" s="197" t="str">
        <v>C</v>
      </c>
      <c r="I165" s="197">
        <v>32</v>
      </c>
      <c r="J165" s="197" t="str">
        <v>C32</v>
      </c>
      <c r="K165" s="197">
        <f ca="1"/>
        <v>0</v>
      </c>
      <c r="L165" s="197">
        <f ca="1"/>
        <v>2</v>
      </c>
      <c r="M165" s="197">
        <f ca="1"/>
        <v>1</v>
      </c>
      <c r="N165" s="197">
        <f ca="1"/>
        <v>1</v>
      </c>
      <c r="O165" s="197">
        <f ca="1"/>
        <v>0</v>
      </c>
      <c r="P165" s="197">
        <f ca="1"/>
        <v>40</v>
      </c>
      <c r="Q165" s="197">
        <f ca="1"/>
        <v>30</v>
      </c>
      <c r="R165" s="197">
        <f ca="1"/>
        <v>40</v>
      </c>
      <c r="S165" s="197">
        <f ca="1"/>
        <v>110</v>
      </c>
    </row>
    <row r="166" spans="3:19" ht="20.399999999999999" x14ac:dyDescent="0.35">
      <c r="C166" s="197" t="str">
        <v>B8</v>
      </c>
      <c r="D166" s="197" t="str">
        <v>♥</v>
      </c>
      <c r="E166" s="197" t="str">
        <v>B</v>
      </c>
      <c r="F166" s="197" t="str">
        <v>8</v>
      </c>
      <c r="G166" s="197">
        <v>66</v>
      </c>
      <c r="H166" s="197" t="str">
        <v>D</v>
      </c>
      <c r="I166" s="197">
        <v>32</v>
      </c>
      <c r="J166" s="197" t="str">
        <v>D32</v>
      </c>
      <c r="K166" s="197">
        <f ca="1"/>
        <v>0</v>
      </c>
      <c r="L166" s="197">
        <f ca="1"/>
        <v>3</v>
      </c>
      <c r="M166" s="197">
        <f ca="1"/>
        <v>2</v>
      </c>
      <c r="N166" s="197">
        <f ca="1"/>
        <v>1</v>
      </c>
      <c r="O166" s="197">
        <f ca="1"/>
        <v>0</v>
      </c>
      <c r="P166" s="197">
        <f ca="1"/>
        <v>60</v>
      </c>
      <c r="Q166" s="197">
        <f ca="1"/>
        <v>60</v>
      </c>
      <c r="R166" s="197">
        <f ca="1"/>
        <v>40</v>
      </c>
      <c r="S166" s="197">
        <f ca="1"/>
        <v>160</v>
      </c>
    </row>
    <row r="167" spans="3:19" ht="20.399999999999999" x14ac:dyDescent="0.35">
      <c r="C167" s="197" t="str">
        <v>C8</v>
      </c>
      <c r="D167" s="197" t="str">
        <v>♥</v>
      </c>
      <c r="E167" s="197" t="str">
        <v>C</v>
      </c>
      <c r="F167" s="197" t="str">
        <v>8</v>
      </c>
      <c r="G167" s="197">
        <v>67</v>
      </c>
      <c r="H167" s="197" t="str">
        <v>E</v>
      </c>
      <c r="I167" s="197">
        <v>32</v>
      </c>
      <c r="J167" s="197" t="str">
        <v>E32</v>
      </c>
      <c r="K167" s="197">
        <f ca="1"/>
        <v>1</v>
      </c>
      <c r="L167" s="197">
        <f ca="1"/>
        <v>2</v>
      </c>
      <c r="M167" s="197">
        <f ca="1"/>
        <v>2</v>
      </c>
      <c r="N167" s="197">
        <f ca="1"/>
        <v>1</v>
      </c>
      <c r="O167" s="197">
        <f ca="1"/>
        <v>10</v>
      </c>
      <c r="P167" s="197">
        <f ca="1"/>
        <v>40</v>
      </c>
      <c r="Q167" s="197">
        <f ca="1"/>
        <v>60</v>
      </c>
      <c r="R167" s="197">
        <f ca="1"/>
        <v>40</v>
      </c>
      <c r="S167" s="197">
        <f ca="1"/>
        <v>150</v>
      </c>
    </row>
    <row r="168" spans="3:19" ht="20.399999999999999" x14ac:dyDescent="0.35">
      <c r="C168" s="197" t="str">
        <v>D8</v>
      </c>
      <c r="D168" s="197" t="str">
        <v>♣</v>
      </c>
      <c r="E168" s="197" t="str">
        <v>D</v>
      </c>
      <c r="F168" s="197" t="str">
        <v>8</v>
      </c>
      <c r="G168" s="197">
        <v>68</v>
      </c>
      <c r="H168" s="197" t="str">
        <v>F</v>
      </c>
      <c r="I168" s="197">
        <v>32</v>
      </c>
      <c r="J168" s="197" t="str">
        <v>F32</v>
      </c>
      <c r="K168" s="197">
        <f ca="1"/>
        <v>2</v>
      </c>
      <c r="L168" s="197">
        <f ca="1"/>
        <v>1</v>
      </c>
      <c r="M168" s="197">
        <f ca="1"/>
        <v>1</v>
      </c>
      <c r="N168" s="197">
        <f ca="1"/>
        <v>2</v>
      </c>
      <c r="O168" s="197">
        <f ca="1"/>
        <v>20</v>
      </c>
      <c r="P168" s="197">
        <f ca="1"/>
        <v>20</v>
      </c>
      <c r="Q168" s="197">
        <f ca="1"/>
        <v>30</v>
      </c>
      <c r="R168" s="197">
        <f ca="1"/>
        <v>80</v>
      </c>
      <c r="S168" s="197">
        <f ca="1"/>
        <v>150</v>
      </c>
    </row>
    <row r="169" spans="3:19" ht="20.399999999999999" x14ac:dyDescent="0.35">
      <c r="C169" s="197" t="str">
        <v>E8</v>
      </c>
      <c r="D169" s="197" t="str">
        <v>♣</v>
      </c>
      <c r="E169" s="197" t="str">
        <v>E</v>
      </c>
      <c r="F169" s="197" t="str">
        <v>8</v>
      </c>
      <c r="G169" s="197">
        <v>69</v>
      </c>
      <c r="H169" s="197" t="str">
        <v>G</v>
      </c>
      <c r="I169" s="197">
        <v>32</v>
      </c>
      <c r="J169" s="197" t="str">
        <v>G32</v>
      </c>
      <c r="K169" s="197">
        <f ca="1"/>
        <v>3</v>
      </c>
      <c r="L169" s="197">
        <f ca="1"/>
        <v>0</v>
      </c>
      <c r="M169" s="197">
        <f ca="1"/>
        <v>0</v>
      </c>
      <c r="N169" s="197">
        <f ca="1"/>
        <v>3</v>
      </c>
      <c r="O169" s="197">
        <f ca="1"/>
        <v>30</v>
      </c>
      <c r="P169" s="197">
        <f ca="1"/>
        <v>0</v>
      </c>
      <c r="Q169" s="197">
        <f ca="1"/>
        <v>0</v>
      </c>
      <c r="R169" s="197">
        <f ca="1"/>
        <v>120</v>
      </c>
      <c r="S169" s="197">
        <f ca="1"/>
        <v>150</v>
      </c>
    </row>
    <row r="170" spans="3:19" ht="20.399999999999999" x14ac:dyDescent="0.35">
      <c r="C170" s="197" t="str">
        <v>F8</v>
      </c>
      <c r="D170" s="197" t="str">
        <v>♦</v>
      </c>
      <c r="E170" s="197" t="str">
        <v>F</v>
      </c>
      <c r="F170" s="197" t="str">
        <v>8</v>
      </c>
      <c r="G170" s="197">
        <v>70</v>
      </c>
      <c r="H170" s="197" t="str">
        <v>H</v>
      </c>
      <c r="I170" s="197">
        <v>32</v>
      </c>
      <c r="J170" s="197" t="str">
        <v>H32</v>
      </c>
      <c r="K170" s="197">
        <f ca="1"/>
        <v>2</v>
      </c>
      <c r="L170" s="197">
        <f ca="1"/>
        <v>1</v>
      </c>
      <c r="M170" s="197">
        <f ca="1"/>
        <v>1</v>
      </c>
      <c r="N170" s="197">
        <f ca="1"/>
        <v>2</v>
      </c>
      <c r="O170" s="197">
        <f ca="1"/>
        <v>20</v>
      </c>
      <c r="P170" s="197">
        <f ca="1"/>
        <v>20</v>
      </c>
      <c r="Q170" s="197">
        <f ca="1"/>
        <v>30</v>
      </c>
      <c r="R170" s="197">
        <f ca="1"/>
        <v>80</v>
      </c>
      <c r="S170" s="197">
        <f ca="1"/>
        <v>150</v>
      </c>
    </row>
    <row r="171" spans="3:19" ht="20.399999999999999" x14ac:dyDescent="0.35">
      <c r="C171" s="197" t="str">
        <v>G8</v>
      </c>
      <c r="D171" s="197" t="str">
        <v>♥</v>
      </c>
      <c r="E171" s="197" t="str">
        <v>G</v>
      </c>
      <c r="F171" s="197" t="str">
        <v>8</v>
      </c>
      <c r="G171" s="197">
        <v>71</v>
      </c>
      <c r="H171" s="197" t="str">
        <v>I</v>
      </c>
      <c r="I171" s="197">
        <v>32</v>
      </c>
      <c r="J171" s="197" t="str">
        <v>I32</v>
      </c>
      <c r="K171" s="197">
        <f ca="1"/>
        <v>2</v>
      </c>
      <c r="L171" s="197">
        <f ca="1"/>
        <v>1</v>
      </c>
      <c r="M171" s="197">
        <f ca="1"/>
        <v>1</v>
      </c>
      <c r="N171" s="197">
        <f ca="1"/>
        <v>2</v>
      </c>
      <c r="O171" s="197">
        <f ca="1"/>
        <v>20</v>
      </c>
      <c r="P171" s="197">
        <f ca="1"/>
        <v>20</v>
      </c>
      <c r="Q171" s="197">
        <f ca="1"/>
        <v>30</v>
      </c>
      <c r="R171" s="197">
        <f ca="1"/>
        <v>80</v>
      </c>
      <c r="S171" s="197">
        <f ca="1"/>
        <v>150</v>
      </c>
    </row>
    <row r="172" spans="3:19" ht="20.399999999999999" x14ac:dyDescent="0.35">
      <c r="C172" s="197" t="str">
        <v>H8</v>
      </c>
      <c r="D172" s="197" t="str">
        <v>♣</v>
      </c>
      <c r="E172" s="197" t="str">
        <v>H</v>
      </c>
      <c r="F172" s="197" t="str">
        <v>8</v>
      </c>
      <c r="G172" s="197">
        <v>72</v>
      </c>
      <c r="H172" s="197" t="str">
        <v>J</v>
      </c>
      <c r="I172" s="197">
        <v>32</v>
      </c>
      <c r="J172" s="197" t="str">
        <v>J32</v>
      </c>
      <c r="K172" s="197">
        <f ca="1"/>
        <v>1</v>
      </c>
      <c r="L172" s="197">
        <f ca="1"/>
        <v>1</v>
      </c>
      <c r="M172" s="197">
        <f ca="1"/>
        <v>1</v>
      </c>
      <c r="N172" s="197">
        <f ca="1"/>
        <v>1</v>
      </c>
      <c r="O172" s="197">
        <f ca="1"/>
        <v>10</v>
      </c>
      <c r="P172" s="197">
        <f ca="1"/>
        <v>20</v>
      </c>
      <c r="Q172" s="197">
        <f ca="1"/>
        <v>30</v>
      </c>
      <c r="R172" s="197">
        <f ca="1"/>
        <v>40</v>
      </c>
      <c r="S172" s="197">
        <f ca="1"/>
        <v>100</v>
      </c>
    </row>
    <row r="173" spans="3:19" ht="20.399999999999999" x14ac:dyDescent="0.35">
      <c r="C173" s="197"/>
      <c r="D173" s="197"/>
      <c r="E173" s="197"/>
      <c r="F173" s="197"/>
      <c r="G173" s="197"/>
      <c r="H173" s="197"/>
      <c r="I173" s="197"/>
      <c r="J173" s="197"/>
      <c r="K173" s="197"/>
      <c r="L173" s="197"/>
      <c r="M173" s="197"/>
      <c r="N173" s="197"/>
      <c r="O173" s="197"/>
      <c r="P173" s="197"/>
      <c r="Q173" s="197"/>
      <c r="R173" s="197"/>
    </row>
    <row r="174" spans="3:19" ht="20.399999999999999" x14ac:dyDescent="0.35">
      <c r="C174" s="197"/>
      <c r="D174" s="197"/>
      <c r="E174" s="197"/>
      <c r="F174" s="197"/>
      <c r="G174" s="197"/>
      <c r="H174" s="197"/>
      <c r="I174" s="197"/>
      <c r="J174" s="197"/>
      <c r="K174" s="197"/>
      <c r="L174" s="197"/>
      <c r="M174" s="197"/>
      <c r="N174" s="197"/>
      <c r="O174" s="197"/>
    </row>
    <row r="175" spans="3:19" ht="20.399999999999999" x14ac:dyDescent="0.35">
      <c r="C175" s="197"/>
      <c r="D175" s="197"/>
      <c r="E175" s="197"/>
      <c r="F175" s="197"/>
      <c r="G175" s="197"/>
      <c r="H175" s="197"/>
      <c r="I175" s="197"/>
      <c r="J175" s="197"/>
      <c r="K175" s="197"/>
      <c r="L175" s="197"/>
      <c r="M175" s="197"/>
      <c r="N175" s="197"/>
      <c r="O175" s="197"/>
    </row>
    <row r="176" spans="3:19" ht="20.399999999999999" x14ac:dyDescent="0.35">
      <c r="C176" s="197"/>
      <c r="D176" s="197"/>
      <c r="E176" s="197"/>
      <c r="F176" s="197"/>
      <c r="G176" s="197"/>
      <c r="H176" s="197"/>
      <c r="I176" s="197"/>
      <c r="J176" s="197"/>
      <c r="K176" s="197"/>
      <c r="L176" s="197"/>
      <c r="M176" s="197"/>
      <c r="N176" s="197"/>
      <c r="O176" s="197"/>
    </row>
    <row r="177" spans="3:15" ht="20.399999999999999" x14ac:dyDescent="0.35">
      <c r="C177" s="197"/>
      <c r="D177" s="197"/>
      <c r="E177" s="197"/>
      <c r="F177" s="197"/>
      <c r="G177" s="197"/>
      <c r="H177" s="197"/>
      <c r="I177" s="197"/>
      <c r="J177" s="197"/>
      <c r="K177" s="197"/>
      <c r="L177" s="197"/>
      <c r="M177" s="197"/>
      <c r="N177" s="197"/>
      <c r="O177" s="197"/>
    </row>
    <row r="178" spans="3:15" ht="20.399999999999999" x14ac:dyDescent="0.35">
      <c r="C178" s="197"/>
      <c r="D178" s="197"/>
      <c r="E178" s="197"/>
      <c r="F178" s="197"/>
      <c r="G178" s="197"/>
      <c r="H178" s="197"/>
      <c r="I178" s="197"/>
      <c r="J178" s="197"/>
      <c r="K178" s="197"/>
      <c r="L178" s="197"/>
      <c r="M178" s="197"/>
      <c r="N178" s="197"/>
      <c r="O178" s="197"/>
    </row>
    <row r="179" spans="3:15" ht="25.2" x14ac:dyDescent="0.45">
      <c r="C179" s="198"/>
      <c r="D179" s="198"/>
      <c r="E179" s="198"/>
      <c r="F179" s="198"/>
      <c r="G179" s="198"/>
      <c r="H179" s="198"/>
      <c r="I179" s="198"/>
      <c r="J179" s="198"/>
      <c r="K179" s="198"/>
    </row>
  </sheetData>
  <printOptions horizontalCentered="1"/>
  <pageMargins left="0.15748031496063" right="0.15748031496063" top="0.78740157480314998" bottom="0.78740157480314998" header="0.511811023622047" footer="0.511811023622047"/>
  <pageSetup paperSize="9" scale="54" orientation="landscape" r:id="rId1"/>
  <headerFooter alignWithMargins="0">
    <oddFooter xml:space="preserve">&amp;CClarity Consultancy Services Ltd   info@clarityconsultancyservices.co.uk
Registered in the UK (6619745). Registered Office:  Suite 6 Bourne Gate, Bourne Valley Rd, Poole, BH12 1DY
</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5107779D9BF50418D828BDB8C12C6B7" ma:contentTypeVersion="12" ma:contentTypeDescription="Create a new document." ma:contentTypeScope="" ma:versionID="cde5360aa70474a78e104a9f2ccf35a9">
  <xsd:schema xmlns:xsd="http://www.w3.org/2001/XMLSchema" xmlns:xs="http://www.w3.org/2001/XMLSchema" xmlns:p="http://schemas.microsoft.com/office/2006/metadata/properties" xmlns:ns2="637ffb07-5122-441a-8187-13b6f8dac2d8" xmlns:ns3="95d2652f-fd1f-45df-9d3f-cd8876bd0df4" targetNamespace="http://schemas.microsoft.com/office/2006/metadata/properties" ma:root="true" ma:fieldsID="2d586c3df5011203580c90f1aacbc9df" ns2:_="" ns3:_="">
    <xsd:import namespace="637ffb07-5122-441a-8187-13b6f8dac2d8"/>
    <xsd:import namespace="95d2652f-fd1f-45df-9d3f-cd8876bd0df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EventHashCode" minOccurs="0"/>
                <xsd:element ref="ns2:MediaServiceGenerationTime" minOccurs="0"/>
                <xsd:element ref="ns2:MediaServiceAutoKeyPoints" minOccurs="0"/>
                <xsd:element ref="ns2:MediaServiceKeyPoints" minOccurs="0"/>
                <xsd:element ref="ns3:SharedWithUsers" minOccurs="0"/>
                <xsd:element ref="ns3:SharedWithDetail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ffb07-5122-441a-8187-13b6f8dac2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d2652f-fd1f-45df-9d3f-cd8876bd0df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E515FF8-1FA2-4AED-8B04-0739178BC3E6}">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637ffb07-5122-441a-8187-13b6f8dac2d8"/>
    <ds:schemaRef ds:uri="http://purl.org/dc/terms/"/>
    <ds:schemaRef ds:uri="http://schemas.openxmlformats.org/package/2006/metadata/core-properties"/>
    <ds:schemaRef ds:uri="95d2652f-fd1f-45df-9d3f-cd8876bd0df4"/>
    <ds:schemaRef ds:uri="http://www.w3.org/XML/1998/namespace"/>
    <ds:schemaRef ds:uri="http://purl.org/dc/dcmitype/"/>
  </ds:schemaRefs>
</ds:datastoreItem>
</file>

<file path=customXml/itemProps2.xml><?xml version="1.0" encoding="utf-8"?>
<ds:datastoreItem xmlns:ds="http://schemas.openxmlformats.org/officeDocument/2006/customXml" ds:itemID="{E7D9E488-2833-4709-B9C7-98AC1F2F2A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7ffb07-5122-441a-8187-13b6f8dac2d8"/>
    <ds:schemaRef ds:uri="95d2652f-fd1f-45df-9d3f-cd8876bd0d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33B8384-AA5C-4CB8-9F03-BFE8887D3EA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46</vt:i4>
      </vt:variant>
      <vt:variant>
        <vt:lpstr>Named Ranges</vt:lpstr>
      </vt:variant>
      <vt:variant>
        <vt:i4>18</vt:i4>
      </vt:variant>
    </vt:vector>
  </HeadingPairs>
  <TitlesOfParts>
    <vt:vector size="64" baseType="lpstr">
      <vt:lpstr>Front</vt:lpstr>
      <vt:lpstr>Version</vt:lpstr>
      <vt:lpstr>Read First</vt:lpstr>
      <vt:lpstr>LEFT</vt:lpstr>
      <vt:lpstr>RIGHT</vt:lpstr>
      <vt:lpstr>LEN</vt:lpstr>
      <vt:lpstr>FIND</vt:lpstr>
      <vt:lpstr>MID</vt:lpstr>
      <vt:lpstr>SUBSTITUTE</vt:lpstr>
      <vt:lpstr>Exercise 1 </vt:lpstr>
      <vt:lpstr>Solution 1 </vt:lpstr>
      <vt:lpstr>TEXTSPLIT</vt:lpstr>
      <vt:lpstr>TEXTBEFORE &amp; TEXTAFTER</vt:lpstr>
      <vt:lpstr>Exercise 2 </vt:lpstr>
      <vt:lpstr>Solution 2 </vt:lpstr>
      <vt:lpstr>XLOOKUP</vt:lpstr>
      <vt:lpstr>Exercise 3 </vt:lpstr>
      <vt:lpstr>Solution 3 </vt:lpstr>
      <vt:lpstr>Exercise 4 </vt:lpstr>
      <vt:lpstr>Solution 4 </vt:lpstr>
      <vt:lpstr>Exercise 5</vt:lpstr>
      <vt:lpstr>Inputs</vt:lpstr>
      <vt:lpstr>Solution 5 </vt:lpstr>
      <vt:lpstr>INDEX</vt:lpstr>
      <vt:lpstr>MATCH</vt:lpstr>
      <vt:lpstr>INDEX MATCH</vt:lpstr>
      <vt:lpstr>INDEX 2D</vt:lpstr>
      <vt:lpstr>INDEX MATCH MATCH</vt:lpstr>
      <vt:lpstr>Exercise 6 </vt:lpstr>
      <vt:lpstr>Inputs_2</vt:lpstr>
      <vt:lpstr>Solution 6 </vt:lpstr>
      <vt:lpstr>SUMIFS</vt:lpstr>
      <vt:lpstr>COUNTIFS</vt:lpstr>
      <vt:lpstr>SUMPRODUCT</vt:lpstr>
      <vt:lpstr>Exercise 7 </vt:lpstr>
      <vt:lpstr>Solution 7</vt:lpstr>
      <vt:lpstr>Exercise 8</vt:lpstr>
      <vt:lpstr>Solution 8</vt:lpstr>
      <vt:lpstr>MOD</vt:lpstr>
      <vt:lpstr>QUOTIENT</vt:lpstr>
      <vt:lpstr>INT</vt:lpstr>
      <vt:lpstr>ROUND+</vt:lpstr>
      <vt:lpstr>OFFSET</vt:lpstr>
      <vt:lpstr>INDIRECT</vt:lpstr>
      <vt:lpstr>Flags</vt:lpstr>
      <vt:lpstr>BATTLE FOCUS</vt:lpstr>
      <vt:lpstr>'ROUND+'!Bakery_1</vt:lpstr>
      <vt:lpstr>Version!Bakery_1</vt:lpstr>
      <vt:lpstr>Bakery_1</vt:lpstr>
      <vt:lpstr>'ROUND+'!Bakery_2</vt:lpstr>
      <vt:lpstr>Version!Bakery_2</vt:lpstr>
      <vt:lpstr>Bakery_2</vt:lpstr>
      <vt:lpstr>'ROUND+'!Bakery_3</vt:lpstr>
      <vt:lpstr>Version!Bakery_3</vt:lpstr>
      <vt:lpstr>Bakery_3</vt:lpstr>
      <vt:lpstr>Bakery_A</vt:lpstr>
      <vt:lpstr>Bakery_B</vt:lpstr>
      <vt:lpstr>Bakery_C</vt:lpstr>
      <vt:lpstr>Bakery_D</vt:lpstr>
      <vt:lpstr>Bakery_E</vt:lpstr>
      <vt:lpstr>Product_1</vt:lpstr>
      <vt:lpstr>Product_2</vt:lpstr>
      <vt:lpstr>Product_3</vt:lpstr>
      <vt:lpstr>Product_4</vt:lpstr>
    </vt:vector>
  </TitlesOfParts>
  <Company>Lloyds TSB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Myles Arnott</dc:creator>
  <cp:lastModifiedBy>Mark Biegert</cp:lastModifiedBy>
  <cp:lastPrinted>2015-03-02T20:23:31Z</cp:lastPrinted>
  <dcterms:created xsi:type="dcterms:W3CDTF">2009-01-15T10:25:48Z</dcterms:created>
  <dcterms:modified xsi:type="dcterms:W3CDTF">2024-01-09T19:02:19Z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0x01010035107779D9BF50418D828BDB8C12C6B7</vt:lpwstr>
  </property>
</Properties>
</file>