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ITEEM\Submodel_Economics\"/>
    </mc:Choice>
  </mc:AlternateContent>
  <xr:revisionPtr revIDLastSave="0" documentId="13_ncr:1_{6DB83CC6-8135-4D0F-A91B-AADB623204CA}" xr6:coauthVersionLast="45" xr6:coauthVersionMax="45" xr10:uidLastSave="{00000000-0000-0000-0000-000000000000}"/>
  <bookViews>
    <workbookView xWindow="28680" yWindow="-120" windowWidth="29040" windowHeight="15840" firstSheet="1" activeTab="4" xr2:uid="{00000000-000D-0000-FFFF-FFFF00000000}"/>
  </bookViews>
  <sheets>
    <sheet name="DWT" sheetId="1" r:id="rId1"/>
    <sheet name="GP" sheetId="3" r:id="rId2"/>
    <sheet name="Crop_corn" sheetId="11" r:id="rId3"/>
    <sheet name="Crop_soybean" sheetId="4" r:id="rId4"/>
    <sheet name="switchgrass" sheetId="13" r:id="rId5"/>
    <sheet name="Alfred PPI" sheetId="8" r:id="rId6"/>
    <sheet name="Example" sheetId="6" r:id="rId7"/>
    <sheet name="CPI_inflation" sheetId="10" r:id="rId8"/>
    <sheet name="Summary" sheetId="7" r:id="rId9"/>
    <sheet name="Inflation" sheetId="9" r:id="rId10"/>
    <sheet name="cost efficiency_nutrient remova" sheetId="12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G63" i="4" l="1"/>
  <c r="G62" i="4"/>
  <c r="G61" i="4"/>
  <c r="G60" i="4"/>
  <c r="G59" i="4"/>
  <c r="G58" i="4"/>
  <c r="G63" i="11"/>
  <c r="E63" i="11"/>
  <c r="G61" i="11"/>
  <c r="E61" i="11"/>
  <c r="G62" i="11"/>
  <c r="E62" i="11"/>
  <c r="G60" i="11"/>
  <c r="E60" i="11"/>
  <c r="G59" i="11"/>
  <c r="E59" i="11"/>
  <c r="G58" i="11"/>
  <c r="E58" i="1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G57" i="4"/>
  <c r="G57" i="11" l="1"/>
  <c r="G2" i="11"/>
  <c r="M16" i="12" l="1"/>
  <c r="L16" i="12"/>
  <c r="J15" i="12" l="1"/>
  <c r="J16" i="12"/>
  <c r="G30" i="4" l="1"/>
  <c r="J21" i="11"/>
  <c r="J22" i="11"/>
  <c r="J23" i="11"/>
  <c r="J24" i="11"/>
  <c r="J20" i="11"/>
  <c r="F56" i="11" l="1"/>
  <c r="F55" i="11"/>
  <c r="F53" i="11"/>
  <c r="F52" i="11"/>
  <c r="F50" i="11"/>
  <c r="F49" i="11"/>
  <c r="F47" i="11"/>
  <c r="F46" i="11"/>
  <c r="F44" i="11"/>
  <c r="F43" i="11"/>
  <c r="F41" i="11"/>
  <c r="F40" i="11"/>
  <c r="F38" i="11"/>
  <c r="G38" i="11" s="1"/>
  <c r="F37" i="11"/>
  <c r="G37" i="11" s="1"/>
  <c r="F35" i="11"/>
  <c r="F34" i="11"/>
  <c r="F32" i="11"/>
  <c r="G32" i="11" s="1"/>
  <c r="F31" i="11"/>
  <c r="G31" i="11" s="1"/>
  <c r="F29" i="11"/>
  <c r="G29" i="11" s="1"/>
  <c r="F28" i="11"/>
  <c r="G28" i="11" s="1"/>
  <c r="F26" i="11"/>
  <c r="F25" i="11"/>
  <c r="G25" i="11" s="1"/>
  <c r="F23" i="11"/>
  <c r="G23" i="11" s="1"/>
  <c r="F22" i="11"/>
  <c r="G22" i="11" s="1"/>
  <c r="F20" i="11"/>
  <c r="F19" i="11"/>
  <c r="F17" i="11"/>
  <c r="F16" i="11"/>
  <c r="F14" i="11"/>
  <c r="F13" i="11"/>
  <c r="G21" i="11"/>
  <c r="G24" i="11"/>
  <c r="G26" i="11"/>
  <c r="G27" i="11"/>
  <c r="G30" i="11"/>
  <c r="G33" i="11"/>
  <c r="G34" i="11"/>
  <c r="G35" i="11"/>
  <c r="G36" i="11"/>
  <c r="F11" i="11"/>
  <c r="F10" i="11"/>
  <c r="F8" i="11"/>
  <c r="F7" i="11"/>
  <c r="F5" i="11"/>
  <c r="F4" i="11"/>
  <c r="F56" i="4"/>
  <c r="G56" i="4" s="1"/>
  <c r="F55" i="4"/>
  <c r="F53" i="4"/>
  <c r="F52" i="4"/>
  <c r="G52" i="4" s="1"/>
  <c r="F50" i="4"/>
  <c r="G50" i="4" s="1"/>
  <c r="F49" i="4"/>
  <c r="G49" i="4" s="1"/>
  <c r="F47" i="4"/>
  <c r="G47" i="4" s="1"/>
  <c r="F46" i="4"/>
  <c r="G46" i="4" s="1"/>
  <c r="F44" i="4"/>
  <c r="F43" i="4"/>
  <c r="F41" i="4"/>
  <c r="F40" i="4"/>
  <c r="G40" i="4" s="1"/>
  <c r="F38" i="4"/>
  <c r="G38" i="4" s="1"/>
  <c r="F37" i="4"/>
  <c r="G37" i="4" s="1"/>
  <c r="F35" i="4"/>
  <c r="F34" i="4"/>
  <c r="F32" i="4"/>
  <c r="G32" i="4" s="1"/>
  <c r="F31" i="4"/>
  <c r="G31" i="4" s="1"/>
  <c r="F29" i="4"/>
  <c r="G29" i="4" s="1"/>
  <c r="F28" i="4"/>
  <c r="G28" i="4" s="1"/>
  <c r="F26" i="4"/>
  <c r="F25" i="4"/>
  <c r="F23" i="4"/>
  <c r="G23" i="4" s="1"/>
  <c r="F22" i="4"/>
  <c r="G22" i="4" s="1"/>
  <c r="F20" i="4"/>
  <c r="G20" i="4" s="1"/>
  <c r="F19" i="4"/>
  <c r="G19" i="4" s="1"/>
  <c r="F17" i="4"/>
  <c r="G17" i="4" s="1"/>
  <c r="F16" i="4"/>
  <c r="F14" i="4"/>
  <c r="F13" i="4"/>
  <c r="G13" i="4" s="1"/>
  <c r="F11" i="4"/>
  <c r="G11" i="4" s="1"/>
  <c r="F10" i="4"/>
  <c r="G10" i="4" s="1"/>
  <c r="F8" i="4"/>
  <c r="G8" i="4" s="1"/>
  <c r="F7" i="4"/>
  <c r="G7" i="4" s="1"/>
  <c r="F5" i="4"/>
  <c r="F4" i="4"/>
  <c r="K8" i="11"/>
  <c r="K10" i="4"/>
  <c r="K12" i="4" s="1"/>
  <c r="G2" i="4"/>
  <c r="G3" i="4"/>
  <c r="G4" i="4"/>
  <c r="G5" i="4"/>
  <c r="G6" i="4"/>
  <c r="G9" i="4"/>
  <c r="G12" i="4"/>
  <c r="G14" i="4"/>
  <c r="G15" i="4"/>
  <c r="G16" i="4"/>
  <c r="G18" i="4"/>
  <c r="G21" i="4"/>
  <c r="G24" i="4"/>
  <c r="G25" i="4"/>
  <c r="G26" i="4"/>
  <c r="G27" i="4"/>
  <c r="G33" i="4"/>
  <c r="G34" i="4"/>
  <c r="G35" i="4"/>
  <c r="G36" i="4"/>
  <c r="G39" i="4"/>
  <c r="G41" i="4"/>
  <c r="G42" i="4"/>
  <c r="G43" i="4"/>
  <c r="G44" i="4"/>
  <c r="G45" i="4"/>
  <c r="G48" i="4"/>
  <c r="G51" i="4"/>
  <c r="G53" i="4"/>
  <c r="G54" i="4"/>
  <c r="G55" i="4"/>
  <c r="K11" i="4" l="1"/>
  <c r="C12" i="4" l="1"/>
  <c r="J3" i="4" l="1"/>
  <c r="J4" i="4" l="1"/>
  <c r="E40" i="11" l="1"/>
  <c r="G40" i="11" s="1"/>
  <c r="E41" i="11"/>
  <c r="G41" i="11" s="1"/>
  <c r="E42" i="11"/>
  <c r="G42" i="11" s="1"/>
  <c r="E43" i="11"/>
  <c r="G43" i="11" s="1"/>
  <c r="E44" i="11"/>
  <c r="G44" i="11" s="1"/>
  <c r="E45" i="11"/>
  <c r="G45" i="11" s="1"/>
  <c r="E46" i="11"/>
  <c r="G46" i="11" s="1"/>
  <c r="E47" i="11"/>
  <c r="G47" i="11" s="1"/>
  <c r="E48" i="11"/>
  <c r="G48" i="11" s="1"/>
  <c r="E49" i="11"/>
  <c r="G49" i="11" s="1"/>
  <c r="E50" i="11"/>
  <c r="G50" i="11" s="1"/>
  <c r="E51" i="11"/>
  <c r="G51" i="11" s="1"/>
  <c r="E52" i="11"/>
  <c r="G52" i="11" s="1"/>
  <c r="E53" i="11"/>
  <c r="G53" i="11" s="1"/>
  <c r="E54" i="11"/>
  <c r="G54" i="11" s="1"/>
  <c r="E55" i="11"/>
  <c r="G55" i="11" s="1"/>
  <c r="E56" i="11"/>
  <c r="G56" i="11" s="1"/>
  <c r="E39" i="11"/>
  <c r="G39" i="11" s="1"/>
  <c r="E3" i="11"/>
  <c r="G3" i="11" s="1"/>
  <c r="E4" i="11"/>
  <c r="G4" i="11" s="1"/>
  <c r="E5" i="11"/>
  <c r="G5" i="11" s="1"/>
  <c r="E6" i="11"/>
  <c r="G6" i="11" s="1"/>
  <c r="E7" i="11"/>
  <c r="G7" i="11" s="1"/>
  <c r="E8" i="11"/>
  <c r="G8" i="11" s="1"/>
  <c r="E9" i="11"/>
  <c r="G9" i="11" s="1"/>
  <c r="E10" i="11"/>
  <c r="G10" i="11" s="1"/>
  <c r="E11" i="11"/>
  <c r="G11" i="11" s="1"/>
  <c r="E12" i="11"/>
  <c r="G12" i="11" s="1"/>
  <c r="E13" i="11"/>
  <c r="G13" i="11" s="1"/>
  <c r="E14" i="11"/>
  <c r="G14" i="11" s="1"/>
  <c r="E15" i="11"/>
  <c r="G15" i="11" s="1"/>
  <c r="E16" i="11"/>
  <c r="G16" i="11" s="1"/>
  <c r="E17" i="11"/>
  <c r="G17" i="11" s="1"/>
  <c r="E18" i="11"/>
  <c r="G18" i="11" s="1"/>
  <c r="E19" i="11"/>
  <c r="G19" i="11" s="1"/>
  <c r="E20" i="11"/>
  <c r="G20" i="11" s="1"/>
  <c r="E2" i="11"/>
  <c r="C56" i="4"/>
  <c r="C55" i="4"/>
  <c r="C54" i="4"/>
  <c r="C53" i="4"/>
  <c r="C52" i="4"/>
  <c r="C51" i="4"/>
  <c r="C50" i="4"/>
  <c r="C49" i="4"/>
  <c r="C48" i="4"/>
  <c r="C38" i="4"/>
  <c r="C37" i="4"/>
  <c r="C36" i="4"/>
  <c r="C35" i="4"/>
  <c r="C34" i="4"/>
  <c r="C33" i="4"/>
  <c r="C32" i="4"/>
  <c r="C31" i="4"/>
  <c r="C30" i="4"/>
  <c r="C13" i="4"/>
  <c r="C14" i="4"/>
  <c r="C15" i="4"/>
  <c r="C16" i="4"/>
  <c r="C17" i="4"/>
  <c r="C18" i="4"/>
  <c r="C19" i="4"/>
  <c r="C20" i="4"/>
  <c r="J6" i="4" l="1"/>
  <c r="J7" i="4" s="1"/>
  <c r="J3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57" i="4" l="1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2" i="3" l="1"/>
  <c r="B3" i="1" l="1"/>
  <c r="B8" i="1" l="1"/>
  <c r="A7" i="3"/>
  <c r="A5" i="3"/>
  <c r="I3" i="1" l="1"/>
  <c r="I4" i="1"/>
  <c r="I5" i="1"/>
  <c r="I6" i="1"/>
  <c r="I2" i="1"/>
  <c r="B38" i="7"/>
  <c r="N23" i="10"/>
  <c r="C3" i="9" l="1"/>
  <c r="C23" i="7"/>
  <c r="E5" i="7"/>
  <c r="C5" i="7"/>
  <c r="C6" i="7" s="1"/>
  <c r="D5" i="7"/>
  <c r="F5" i="7" l="1"/>
  <c r="E17" i="9"/>
  <c r="C17" i="9"/>
  <c r="E16" i="9"/>
  <c r="C16" i="9"/>
  <c r="E15" i="9"/>
  <c r="C15" i="9"/>
  <c r="E14" i="9"/>
  <c r="C14" i="9"/>
  <c r="E13" i="9"/>
  <c r="C13" i="9"/>
  <c r="E12" i="9"/>
  <c r="C12" i="9"/>
  <c r="E11" i="9"/>
  <c r="C11" i="9"/>
  <c r="E10" i="9"/>
  <c r="C10" i="9"/>
  <c r="E9" i="9"/>
  <c r="C9" i="9"/>
  <c r="E8" i="9"/>
  <c r="C8" i="9"/>
  <c r="E7" i="9"/>
  <c r="C7" i="9"/>
  <c r="E6" i="9"/>
  <c r="C6" i="9"/>
  <c r="C18" i="9" s="1"/>
  <c r="E5" i="9"/>
  <c r="C5" i="9"/>
  <c r="E4" i="9"/>
  <c r="C4" i="9"/>
  <c r="E3" i="9"/>
  <c r="C31" i="7"/>
  <c r="F13" i="7" s="1"/>
  <c r="E34" i="7"/>
  <c r="C25" i="7"/>
  <c r="F7" i="7" s="1"/>
  <c r="C24" i="7"/>
  <c r="F6" i="7" s="1"/>
  <c r="E8" i="7"/>
  <c r="E7" i="7"/>
  <c r="E6" i="7"/>
  <c r="E18" i="9" l="1"/>
  <c r="E24" i="7"/>
  <c r="E25" i="7"/>
  <c r="E26" i="7"/>
  <c r="E27" i="7"/>
  <c r="E28" i="7"/>
  <c r="E29" i="7"/>
  <c r="E30" i="7"/>
  <c r="E31" i="7"/>
  <c r="E32" i="7"/>
  <c r="E33" i="7"/>
  <c r="E35" i="7"/>
  <c r="E36" i="7"/>
  <c r="E37" i="7"/>
  <c r="E23" i="7"/>
  <c r="C26" i="7"/>
  <c r="F8" i="7" s="1"/>
  <c r="C27" i="7"/>
  <c r="F9" i="7" s="1"/>
  <c r="C28" i="7"/>
  <c r="F10" i="7" s="1"/>
  <c r="C29" i="7"/>
  <c r="F11" i="7" s="1"/>
  <c r="C30" i="7"/>
  <c r="F12" i="7" s="1"/>
  <c r="C32" i="7"/>
  <c r="F14" i="7" s="1"/>
  <c r="C33" i="7"/>
  <c r="F15" i="7" s="1"/>
  <c r="C34" i="7"/>
  <c r="F16" i="7" s="1"/>
  <c r="C35" i="7"/>
  <c r="F17" i="7" s="1"/>
  <c r="C36" i="7"/>
  <c r="F18" i="7" s="1"/>
  <c r="C37" i="7"/>
  <c r="F19" i="7" s="1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E9" i="7"/>
  <c r="E10" i="7"/>
  <c r="E11" i="7"/>
  <c r="E12" i="7"/>
  <c r="E13" i="7"/>
  <c r="E14" i="7"/>
  <c r="E15" i="7"/>
  <c r="E16" i="7"/>
  <c r="E17" i="7"/>
  <c r="E18" i="7"/>
  <c r="E19" i="7"/>
  <c r="E38" i="7" l="1"/>
  <c r="C38" i="7"/>
  <c r="P35" i="6"/>
  <c r="P34" i="6"/>
  <c r="P31" i="6"/>
  <c r="P30" i="6"/>
  <c r="P29" i="6"/>
  <c r="P26" i="6"/>
  <c r="P25" i="6"/>
  <c r="P22" i="6"/>
  <c r="P21" i="6"/>
  <c r="P20" i="6"/>
  <c r="P17" i="6"/>
  <c r="P16" i="6"/>
  <c r="P13" i="6"/>
  <c r="P12" i="6"/>
  <c r="P11" i="6"/>
  <c r="P8" i="6"/>
  <c r="P7" i="6"/>
  <c r="P6" i="6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7" i="7" l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</calcChain>
</file>

<file path=xl/sharedStrings.xml><?xml version="1.0" encoding="utf-8"?>
<sst xmlns="http://schemas.openxmlformats.org/spreadsheetml/2006/main" count="536" uniqueCount="271">
  <si>
    <t>Example from https://www.homerenergy.com/products/pro/docs/latest/net_present_cost.html</t>
  </si>
  <si>
    <t>Year</t>
  </si>
  <si>
    <t>Discount</t>
  </si>
  <si>
    <t>Nominal Cash Flows</t>
  </si>
  <si>
    <t>Discounted Cash Flows</t>
  </si>
  <si>
    <t>Factor</t>
  </si>
  <si>
    <t>Capital</t>
  </si>
  <si>
    <t>Replace-ment</t>
  </si>
  <si>
    <t>Salvage</t>
  </si>
  <si>
    <t>O&amp;M</t>
  </si>
  <si>
    <t>Fuel</t>
  </si>
  <si>
    <t>Total</t>
  </si>
  <si>
    <t>Capital cost in 2002</t>
  </si>
  <si>
    <t>Annuity factor, A (40, 3%)</t>
  </si>
  <si>
    <t>EAC</t>
  </si>
  <si>
    <t>Step 1. Calculate EAC of capital cost</t>
  </si>
  <si>
    <t>Step 2. Calculate NPV of operational cost</t>
  </si>
  <si>
    <t>Step 3. Calculate EAC of operational cost</t>
  </si>
  <si>
    <t>DWT</t>
  </si>
  <si>
    <t>WWT</t>
  </si>
  <si>
    <t>SWAT</t>
  </si>
  <si>
    <t>-</t>
  </si>
  <si>
    <t>Simulation period: 2003-2018</t>
  </si>
  <si>
    <t>Capital (year, discount factor)</t>
  </si>
  <si>
    <t>BMP cost</t>
  </si>
  <si>
    <t>Cost sources</t>
  </si>
  <si>
    <t>Life span (years)</t>
  </si>
  <si>
    <t>2002, 3%</t>
  </si>
  <si>
    <t>Source of interest rate</t>
  </si>
  <si>
    <t>*Note 1: use discount factor to account for the time value of money</t>
  </si>
  <si>
    <t>Step 1. Use inflation factor to convert capital and operation cost from different years to 2003</t>
  </si>
  <si>
    <t>Step 2. Calculate NPV in 2003 using different interest rates</t>
  </si>
  <si>
    <t>Step 3. Calculate EAC for each cost sources</t>
  </si>
  <si>
    <t>Capital cost</t>
  </si>
  <si>
    <t>Revenue</t>
  </si>
  <si>
    <t>GP-dry grind</t>
  </si>
  <si>
    <t>GP-wet milling</t>
  </si>
  <si>
    <t>Juneja et al., 2020 (Cereal Chemistry)</t>
  </si>
  <si>
    <t>Juneja et al., 2019 (Cereal Chemistry)</t>
  </si>
  <si>
    <t>Inflation factor (US inflation calculator, CPI)</t>
  </si>
  <si>
    <t>Inflation factor (ALFRED, PPI)</t>
  </si>
  <si>
    <t>ALFRED Graph Observations</t>
  </si>
  <si>
    <t>Archival Federal Reserve Economic Data</t>
  </si>
  <si>
    <t>Link: https://alfred.stlouisfed.org</t>
  </si>
  <si>
    <t>Help: https://alfred.stlouisfed.org/help</t>
  </si>
  <si>
    <t>Economic Research Division</t>
  </si>
  <si>
    <t>Federal Reserve Bank of St. Louis</t>
  </si>
  <si>
    <t>PPIACO_20200611</t>
  </si>
  <si>
    <t>Producer Price Index for All Commodities Vintage: 2020-06-11, Index 1982=100, Annual, Not Seasonally Adjusted</t>
  </si>
  <si>
    <t>Frequency: Annual</t>
  </si>
  <si>
    <t>observation_date</t>
  </si>
  <si>
    <t>2019, 7%</t>
  </si>
  <si>
    <t>2014, 3%</t>
  </si>
  <si>
    <t>Unit</t>
  </si>
  <si>
    <t>2017, 7%</t>
  </si>
  <si>
    <t>2014, 7%</t>
  </si>
  <si>
    <t>Assumed</t>
  </si>
  <si>
    <t>Operation cost (year, discount factor)</t>
  </si>
  <si>
    <t>* U.S. EPA’s Water Infrastructure Finance and Innovation Act (WIFIA) program
* Discount rate for annual operating cost was fixed at 7% over</t>
  </si>
  <si>
    <t>Operational cost</t>
  </si>
  <si>
    <t>GP - wet milling</t>
  </si>
  <si>
    <t>GP - dry grind</t>
  </si>
  <si>
    <t>BMP (Crop production)</t>
  </si>
  <si>
    <t>Nominal Cash Flow vs. Real Cash Flow:  https://www.foxbusiness.com/markets/nominal-cash-flow-vs-real-cash-flow</t>
  </si>
  <si>
    <r>
      <t xml:space="preserve">* Nominal Cash Flows:  the actual dollar amount of money that a company expects to take in and pay out, without any adjustment for </t>
    </r>
    <r>
      <rPr>
        <b/>
        <sz val="11"/>
        <color theme="1"/>
        <rFont val="Calibri"/>
        <family val="2"/>
        <scheme val="minor"/>
      </rPr>
      <t xml:space="preserve">TIME VALUE, NOT inflation. </t>
    </r>
  </si>
  <si>
    <t xml:space="preserve">* Discounted cash flow is adjusted for inflation in order to reflect the change in the value of money over time. </t>
  </si>
  <si>
    <t>Nominal discount factor (3%)</t>
  </si>
  <si>
    <t>Nominal discount factor (7%)</t>
  </si>
  <si>
    <t>Real discount factor (3%)</t>
  </si>
  <si>
    <t>Real discount factor (7%)</t>
  </si>
  <si>
    <t>Inflation rate (US inflation calculator, CPI)</t>
  </si>
  <si>
    <t xml:space="preserve">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</si>
  <si>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</si>
  <si>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</si>
  <si>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</si>
  <si>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</si>
  <si>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</si>
  <si>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</si>
  <si>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</si>
  <si>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</si>
  <si>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</si>
  <si>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</si>
  <si>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</si>
  <si>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</si>
  <si>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</si>
  <si>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Ave.</t>
  </si>
  <si>
    <t>discount rate</t>
  </si>
  <si>
    <t>inflation rate</t>
  </si>
  <si>
    <t>real rate</t>
  </si>
  <si>
    <t>Capital cost in 2003</t>
  </si>
  <si>
    <t>Value</t>
  </si>
  <si>
    <t>Overhead cost</t>
  </si>
  <si>
    <t>Electricity cost</t>
  </si>
  <si>
    <t>Natural gas</t>
  </si>
  <si>
    <t>Labor</t>
  </si>
  <si>
    <t>Nitrate chemical</t>
  </si>
  <si>
    <t>year</t>
  </si>
  <si>
    <t>Annuity factor, A (16, 3%)</t>
  </si>
  <si>
    <t>Market price</t>
  </si>
  <si>
    <t>$/bushel yellow dent corn</t>
  </si>
  <si>
    <t>$/gallon ethanol</t>
  </si>
  <si>
    <t>$/kg DDGS</t>
  </si>
  <si>
    <t>$/kg corn oil</t>
  </si>
  <si>
    <t>$/kg phosphorus precipitate (dry)</t>
  </si>
  <si>
    <t>years of lifespan</t>
  </si>
  <si>
    <t>Dry grind</t>
  </si>
  <si>
    <t>$/bushel corn</t>
  </si>
  <si>
    <t>$/kg Starch (wet)</t>
  </si>
  <si>
    <t>$/kg CGF (wet)</t>
  </si>
  <si>
    <t>$/kg CGM (wet)</t>
  </si>
  <si>
    <t>$/kg Germ (wet)</t>
  </si>
  <si>
    <t>$/kg rP complex (wet)</t>
  </si>
  <si>
    <t>Wet milling</t>
  </si>
  <si>
    <t>1 bushel = 25.40 kg corn</t>
  </si>
  <si>
    <t>$/kg yellow dent corn</t>
  </si>
  <si>
    <t>*Note 2: use inflation factor to account inflation</t>
  </si>
  <si>
    <t>BMP combinations</t>
  </si>
  <si>
    <t>Yield (bush/acre)</t>
  </si>
  <si>
    <t>Nitrogen loads reduction (ton/acre)</t>
  </si>
  <si>
    <t>Phosphorus loads reduction (ton/acre)</t>
  </si>
  <si>
    <t>Crop revenue ($/acre) [Yield * market price of crop]</t>
  </si>
  <si>
    <t>Cost efficiency for P ($/ lb P saved)</t>
  </si>
  <si>
    <t>Cost efficiency for N ($/ lb N saved)</t>
  </si>
  <si>
    <t>baseline</t>
  </si>
  <si>
    <t>Rotation ($/acre)</t>
  </si>
  <si>
    <t>Tillage ($/acre)</t>
  </si>
  <si>
    <t>Fertilizer ($/acre)</t>
  </si>
  <si>
    <t>FS/GW ($/acre)</t>
  </si>
  <si>
    <t>α_(i,j)</t>
  </si>
  <si>
    <t>Total ($/ha)</t>
  </si>
  <si>
    <t>BMP0</t>
  </si>
  <si>
    <t>BMP1</t>
  </si>
  <si>
    <t>BMP2</t>
  </si>
  <si>
    <t>BMP3</t>
  </si>
  <si>
    <t>BMP4</t>
  </si>
  <si>
    <t>BMP5</t>
  </si>
  <si>
    <t>BMP6</t>
  </si>
  <si>
    <t>BMP7</t>
  </si>
  <si>
    <t>BMP8</t>
  </si>
  <si>
    <t>BMP9</t>
  </si>
  <si>
    <t>BMP10</t>
  </si>
  <si>
    <t>BMP11</t>
  </si>
  <si>
    <t>BMP12</t>
  </si>
  <si>
    <t>BMP13</t>
  </si>
  <si>
    <t>BMP14</t>
  </si>
  <si>
    <t>BMP15</t>
  </si>
  <si>
    <t>BMP16</t>
  </si>
  <si>
    <t>BMP17</t>
  </si>
  <si>
    <t>BMP18</t>
  </si>
  <si>
    <t>BMP19</t>
  </si>
  <si>
    <t>BMP20</t>
  </si>
  <si>
    <t>BMP21</t>
  </si>
  <si>
    <t>BMP22</t>
  </si>
  <si>
    <t>BMP23</t>
  </si>
  <si>
    <t>BMP24</t>
  </si>
  <si>
    <t>BMP25</t>
  </si>
  <si>
    <t>BMP26</t>
  </si>
  <si>
    <t>BMP27</t>
  </si>
  <si>
    <t>BMP28</t>
  </si>
  <si>
    <t>BMP29</t>
  </si>
  <si>
    <t>BMP30</t>
  </si>
  <si>
    <t>BMP31</t>
  </si>
  <si>
    <t>BMP32</t>
  </si>
  <si>
    <t>BMP33</t>
  </si>
  <si>
    <t>BMP34</t>
  </si>
  <si>
    <t>BMP35</t>
  </si>
  <si>
    <t>BMP36</t>
  </si>
  <si>
    <t>BMP37</t>
  </si>
  <si>
    <t>BMP38</t>
  </si>
  <si>
    <t>BMP39</t>
  </si>
  <si>
    <t>BMP40</t>
  </si>
  <si>
    <t>BMP41</t>
  </si>
  <si>
    <t>BMP42</t>
  </si>
  <si>
    <t>BMP43</t>
  </si>
  <si>
    <t>BMP44</t>
  </si>
  <si>
    <t>BMP45</t>
  </si>
  <si>
    <t>BMP46</t>
  </si>
  <si>
    <t>BMP47</t>
  </si>
  <si>
    <t>BMP48</t>
  </si>
  <si>
    <t>BMP49</t>
  </si>
  <si>
    <t>BMP50</t>
  </si>
  <si>
    <t>BMP51</t>
  </si>
  <si>
    <t>BMP52</t>
  </si>
  <si>
    <t>BMP53</t>
  </si>
  <si>
    <t>BMP54</t>
  </si>
  <si>
    <t>BMP55</t>
  </si>
  <si>
    <t>Farm practice cost</t>
  </si>
  <si>
    <t>Total ag land</t>
  </si>
  <si>
    <t>ha</t>
  </si>
  <si>
    <t>$/yr</t>
  </si>
  <si>
    <t>Total cost for baseline</t>
  </si>
  <si>
    <t>r</t>
  </si>
  <si>
    <t>n</t>
  </si>
  <si>
    <t>af</t>
  </si>
  <si>
    <t>annualized FS</t>
  </si>
  <si>
    <t>annualized GW</t>
  </si>
  <si>
    <t>noCC_CT_0_NA (baseline)</t>
  </si>
  <si>
    <t>noCC_CT_0_FS</t>
  </si>
  <si>
    <t>noCC_CT_0_GW</t>
  </si>
  <si>
    <t>noCC_RTF_0_NA</t>
  </si>
  <si>
    <t>noCC_RTF_0_FS</t>
  </si>
  <si>
    <t>noCC_RTF_0_GW</t>
  </si>
  <si>
    <t>noCC_RTF+NTS_0_NA</t>
  </si>
  <si>
    <t>noCC_RTF+NTS_0_FS</t>
  </si>
  <si>
    <t>noCC_RTF+NTS_0_GW</t>
  </si>
  <si>
    <t>CC_CT_0_NA</t>
  </si>
  <si>
    <t>CC_CT_0_FS</t>
  </si>
  <si>
    <t>CC_CT_0_GW</t>
  </si>
  <si>
    <t>CC_RTF_0_NA</t>
  </si>
  <si>
    <t>CC_RTF_0_FS</t>
  </si>
  <si>
    <t>CC_RTF_0_GW</t>
  </si>
  <si>
    <t>CC_RTF+NTS_0_NA</t>
  </si>
  <si>
    <t>CC_RTF+NTS_0_FS</t>
  </si>
  <si>
    <t>CC_RTF+NTS_0_GW</t>
  </si>
  <si>
    <t>noCC_CT_15_NA</t>
  </si>
  <si>
    <t>noCC_CT_15_FS</t>
  </si>
  <si>
    <t>noCC_CT_15_GW</t>
  </si>
  <si>
    <t>noCC_RTF_15_NA</t>
  </si>
  <si>
    <t>noCC_RTF_15_FS</t>
  </si>
  <si>
    <t>noCC_RTF_15_GW</t>
  </si>
  <si>
    <t>noCC_RTF+NTS_15_NA</t>
  </si>
  <si>
    <t>noCC_RTF+NTS_15_FS</t>
  </si>
  <si>
    <t>noCC_RTF+NTS_15_GW</t>
  </si>
  <si>
    <t>CC_CT_15_NA</t>
  </si>
  <si>
    <t>CC_CT_15_FS</t>
  </si>
  <si>
    <t>CC_CT_15_GW</t>
  </si>
  <si>
    <t>CC_RTF_15_NA</t>
  </si>
  <si>
    <t>CC_RTF_15_FS</t>
  </si>
  <si>
    <t>CC_RTF_15_GW</t>
  </si>
  <si>
    <t>CC_RTF+NTS_15_NA</t>
  </si>
  <si>
    <t>CC_RTF+NTS_15_FS</t>
  </si>
  <si>
    <t>CC_RTF+NTS_15_GW</t>
  </si>
  <si>
    <t>noCC_CT_30_NA</t>
  </si>
  <si>
    <t>noCC_CT_30_FS</t>
  </si>
  <si>
    <t>noCC_CT_30_GW</t>
  </si>
  <si>
    <t>noCC_RTF_30_NA</t>
  </si>
  <si>
    <t>noCC_RTF_30_FS</t>
  </si>
  <si>
    <t>noCC_RTF_30_GW</t>
  </si>
  <si>
    <t>noCC_RTF+NTS_30_NA</t>
  </si>
  <si>
    <t>noCC_RTF+NTS_30_FS</t>
  </si>
  <si>
    <t>noCC_RTF+NTS_30_GW</t>
  </si>
  <si>
    <t>CC_CT_30_NA</t>
  </si>
  <si>
    <t>CC_CT_30_FS</t>
  </si>
  <si>
    <t>CC_CT_30_GW</t>
  </si>
  <si>
    <t>CC_RTF_30_NA</t>
  </si>
  <si>
    <t>CC_RTF_30_FS</t>
  </si>
  <si>
    <t>CC_RTF_30_GW</t>
  </si>
  <si>
    <t>CC_RTF+NTS_30_NA</t>
  </si>
  <si>
    <t>CC_RTF+NTS_30_FS</t>
  </si>
  <si>
    <t>CC_RTF+NTS_30_GW</t>
  </si>
  <si>
    <t>BMP #</t>
  </si>
  <si>
    <t>Cost ($/kg nitrate removal)</t>
  </si>
  <si>
    <t>Cost ($/kg TP removal)</t>
  </si>
  <si>
    <t>Grain processing</t>
  </si>
  <si>
    <t>Cost ($/yr)</t>
  </si>
  <si>
    <t>Revenue ($/yr)</t>
  </si>
  <si>
    <t>Net profit ($/yr)</t>
  </si>
  <si>
    <t>baseline case</t>
  </si>
  <si>
    <t>with P recovery</t>
  </si>
  <si>
    <t>Cost2, assuming all CGF and DDGS are used in the watershed($/kg TP removal)</t>
  </si>
  <si>
    <t>523 # of feedlots</t>
  </si>
  <si>
    <t>TP from manure (kg/yr)</t>
  </si>
  <si>
    <t>BMP56</t>
  </si>
  <si>
    <t>BMP57</t>
  </si>
  <si>
    <t>BMP58</t>
  </si>
  <si>
    <t>BMP59</t>
  </si>
  <si>
    <t>BMP60</t>
  </si>
  <si>
    <t>BMP61</t>
  </si>
  <si>
    <t>$/acre</t>
  </si>
  <si>
    <t>$/ha</t>
  </si>
  <si>
    <t>$/ha2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</si>
</sst>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"/>
    <numFmt numFmtId="166" formatCode="0.0%"/>
    <numFmt numFmtId="167" formatCode="0.000"/>
    <numFmt numFmtId="168" formatCode="yyyy\-mm\-dd"/>
    <numFmt numFmtId="169" formatCode="0.000%"/>
    <numFmt numFmtId="170" formatCode="0.0000%"/>
    <numFmt numFmtId="171" formatCode="0.0E+00"/>
    <numFmt numFmtId="172" formatCode="0.00000"/>
    <numFmt numFmtId="173" formatCode="_(* #,##0_);_(* \(#,##0\);_(* &quot;-&quot;??_);_(@_)"/>
    <numFmt numFmtId="174" formatCode="_(* #,##0.0_);_(* \(#,##0.0\);_(* &quot;-&quot;??_);_(@_)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2B2B2B"/>
      <name val="Inherit"/>
    </font>
    <font>
      <b/>
      <sz val="9"/>
      <color rgb="FF2B2B2B"/>
      <name val="Inherit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7EC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F2E5FF"/>
        <bgColor indexed="64"/>
      </patternFill>
    </fill>
    <fill>
      <patternFill patternType="solid">
        <fgColor rgb="FFFBF4F4"/>
        <bgColor indexed="64"/>
      </patternFill>
    </fill>
    <fill>
      <patternFill patternType="solid">
        <fgColor rgb="FFDAE9FC"/>
        <bgColor indexed="64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6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9" borderId="0" applyNumberFormat="0" applyBorder="0" applyAlignment="0" applyProtection="0"/>
    <xf numFmtId="43" fontId="4" fillId="0" borderId="0" applyFont="0" applyFill="0" applyBorder="0" applyAlignment="0" applyProtection="0"/>
    <xf numFmtId="0" fontId="12" fillId="12" borderId="0" applyNumberFormat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3" fontId="3" fillId="5" borderId="1" xfId="0" applyNumberFormat="1" applyFont="1" applyFill="1" applyBorder="1" applyAlignment="1">
      <alignment horizontal="left" vertical="center" wrapText="1"/>
    </xf>
    <xf numFmtId="3" fontId="3" fillId="6" borderId="1" xfId="0" applyNumberFormat="1" applyFont="1" applyFill="1" applyBorder="1" applyAlignment="1">
      <alignment horizontal="left" vertical="center" wrapText="1"/>
    </xf>
    <xf numFmtId="3" fontId="2" fillId="7" borderId="1" xfId="0" applyNumberFormat="1" applyFont="1" applyFill="1" applyBorder="1" applyAlignment="1">
      <alignment horizontal="left" vertical="center" wrapText="1"/>
    </xf>
    <xf numFmtId="1" fontId="0" fillId="0" borderId="0" xfId="0" applyNumberFormat="1"/>
    <xf numFmtId="0" fontId="3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164" fontId="0" fillId="0" borderId="0" xfId="1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0" fontId="0" fillId="0" borderId="0" xfId="2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/>
    <xf numFmtId="0" fontId="6" fillId="0" borderId="0" xfId="0" applyFon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3" fontId="3" fillId="5" borderId="1" xfId="0" applyNumberFormat="1" applyFont="1" applyFill="1" applyBorder="1" applyAlignment="1">
      <alignment horizontal="left" vertical="center"/>
    </xf>
    <xf numFmtId="3" fontId="3" fillId="6" borderId="1" xfId="0" applyNumberFormat="1" applyFont="1" applyFill="1" applyBorder="1" applyAlignment="1">
      <alignment horizontal="left" vertical="center"/>
    </xf>
    <xf numFmtId="3" fontId="2" fillId="7" borderId="1" xfId="0" applyNumberFormat="1" applyFont="1" applyFill="1" applyBorder="1" applyAlignment="1">
      <alignment horizontal="left" vertical="center"/>
    </xf>
    <xf numFmtId="166" fontId="0" fillId="0" borderId="0" xfId="2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9" fontId="0" fillId="0" borderId="0" xfId="2" applyNumberFormat="1" applyFont="1" applyAlignment="1">
      <alignment horizontal="center"/>
    </xf>
    <xf numFmtId="0" fontId="7" fillId="0" borderId="0" xfId="0" applyFont="1" applyAlignment="1">
      <alignment horizontal="left"/>
    </xf>
    <xf numFmtId="1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6" fontId="5" fillId="0" borderId="0" xfId="2" applyNumberFormat="1" applyFont="1" applyAlignment="1">
      <alignment horizontal="center"/>
    </xf>
    <xf numFmtId="0" fontId="0" fillId="0" borderId="0" xfId="2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9" fontId="0" fillId="0" borderId="0" xfId="2" applyNumberFormat="1" applyFont="1" applyAlignment="1">
      <alignment horizontal="center"/>
    </xf>
    <xf numFmtId="170" fontId="0" fillId="0" borderId="0" xfId="2" applyNumberFormat="1" applyFont="1" applyAlignment="1">
      <alignment horizontal="center"/>
    </xf>
    <xf numFmtId="0" fontId="8" fillId="8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8" borderId="9" xfId="0" applyFont="1" applyFill="1" applyBorder="1" applyAlignment="1">
      <alignment horizontal="left" vertical="center" wrapText="1"/>
    </xf>
    <xf numFmtId="0" fontId="8" fillId="8" borderId="10" xfId="0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166" fontId="0" fillId="0" borderId="0" xfId="0" applyNumberFormat="1"/>
    <xf numFmtId="0" fontId="6" fillId="0" borderId="0" xfId="0" applyFont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10" fillId="9" borderId="0" xfId="3"/>
    <xf numFmtId="0" fontId="6" fillId="0" borderId="0" xfId="0" applyFont="1" applyAlignment="1"/>
    <xf numFmtId="0" fontId="7" fillId="0" borderId="0" xfId="0" applyFont="1" applyAlignment="1">
      <alignment wrapText="1"/>
    </xf>
    <xf numFmtId="11" fontId="0" fillId="0" borderId="0" xfId="0" applyNumberFormat="1"/>
    <xf numFmtId="171" fontId="0" fillId="0" borderId="0" xfId="0" applyNumberFormat="1"/>
    <xf numFmtId="0" fontId="0" fillId="0" borderId="0" xfId="0" applyFill="1"/>
    <xf numFmtId="172" fontId="0" fillId="0" borderId="0" xfId="0" applyNumberFormat="1"/>
    <xf numFmtId="0" fontId="0" fillId="13" borderId="0" xfId="0" applyFill="1"/>
    <xf numFmtId="165" fontId="0" fillId="0" borderId="0" xfId="0" applyNumberFormat="1" applyFill="1"/>
    <xf numFmtId="0" fontId="12" fillId="12" borderId="0" xfId="5"/>
    <xf numFmtId="173" fontId="0" fillId="0" borderId="0" xfId="4" applyNumberFormat="1" applyFont="1"/>
    <xf numFmtId="173" fontId="0" fillId="0" borderId="0" xfId="0" applyNumberFormat="1"/>
    <xf numFmtId="174" fontId="0" fillId="0" borderId="0" xfId="4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6">
    <cellStyle name="Bad" xfId="3" builtinId="27"/>
    <cellStyle name="Comma" xfId="4" builtinId="3"/>
    <cellStyle name="Currency" xfId="1" builtinId="4"/>
    <cellStyle name="Good" xfId="5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obin/Google%20Drive/Postdoc_Research/Submodel-%20SWAT/BMP_cost_list%20(keep%20updating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MP for subwatersheds"/>
      <sheetName val="BMP for Stone Ridge(dairy) only"/>
      <sheetName val="Breakdown of BMP cost"/>
      <sheetName val="Abbreviations"/>
    </sheetNames>
    <sheetDataSet>
      <sheetData sheetId="0"/>
      <sheetData sheetId="1"/>
      <sheetData sheetId="2"/>
      <sheetData sheetId="3">
        <row r="4">
          <cell r="B4" t="str">
            <v>noCC</v>
          </cell>
          <cell r="C4" t="str">
            <v>CT</v>
          </cell>
          <cell r="D4">
            <v>0</v>
          </cell>
          <cell r="E4" t="str">
            <v>NA</v>
          </cell>
        </row>
        <row r="5">
          <cell r="B5" t="str">
            <v>noCC</v>
          </cell>
          <cell r="C5" t="str">
            <v>CT</v>
          </cell>
          <cell r="D5">
            <v>0</v>
          </cell>
          <cell r="E5" t="str">
            <v>FS</v>
          </cell>
        </row>
        <row r="6">
          <cell r="B6" t="str">
            <v>noCC</v>
          </cell>
          <cell r="C6" t="str">
            <v>CT</v>
          </cell>
          <cell r="D6">
            <v>0</v>
          </cell>
          <cell r="E6" t="str">
            <v>GW</v>
          </cell>
        </row>
        <row r="7">
          <cell r="B7" t="str">
            <v>noCC</v>
          </cell>
          <cell r="C7" t="str">
            <v>RTF</v>
          </cell>
          <cell r="D7">
            <v>0</v>
          </cell>
          <cell r="E7" t="str">
            <v>NA</v>
          </cell>
        </row>
        <row r="8">
          <cell r="B8" t="str">
            <v>noCC</v>
          </cell>
          <cell r="C8" t="str">
            <v>RTF</v>
          </cell>
          <cell r="D8">
            <v>0</v>
          </cell>
          <cell r="E8" t="str">
            <v>FS</v>
          </cell>
        </row>
        <row r="9">
          <cell r="B9" t="str">
            <v>noCC</v>
          </cell>
          <cell r="C9" t="str">
            <v>RTF</v>
          </cell>
          <cell r="D9">
            <v>0</v>
          </cell>
          <cell r="E9" t="str">
            <v>GW</v>
          </cell>
        </row>
        <row r="10">
          <cell r="B10" t="str">
            <v>noCC</v>
          </cell>
          <cell r="C10" t="str">
            <v>RTF+NTS</v>
          </cell>
          <cell r="D10">
            <v>0</v>
          </cell>
          <cell r="E10" t="str">
            <v>NA</v>
          </cell>
        </row>
        <row r="11">
          <cell r="B11" t="str">
            <v>noCC</v>
          </cell>
          <cell r="C11" t="str">
            <v>RTF+NTS</v>
          </cell>
          <cell r="D11">
            <v>0</v>
          </cell>
          <cell r="E11" t="str">
            <v>FS</v>
          </cell>
        </row>
        <row r="12">
          <cell r="B12" t="str">
            <v>noCC</v>
          </cell>
          <cell r="C12" t="str">
            <v>RTF+NTS</v>
          </cell>
          <cell r="D12">
            <v>0</v>
          </cell>
          <cell r="E12" t="str">
            <v>GW</v>
          </cell>
        </row>
        <row r="13">
          <cell r="B13" t="str">
            <v>CC</v>
          </cell>
          <cell r="C13" t="str">
            <v>CT</v>
          </cell>
          <cell r="D13">
            <v>0</v>
          </cell>
          <cell r="E13" t="str">
            <v>NA</v>
          </cell>
        </row>
        <row r="14">
          <cell r="B14" t="str">
            <v>CC</v>
          </cell>
          <cell r="C14" t="str">
            <v>CT</v>
          </cell>
          <cell r="D14">
            <v>0</v>
          </cell>
          <cell r="E14" t="str">
            <v>FS</v>
          </cell>
        </row>
        <row r="15">
          <cell r="B15" t="str">
            <v>CC</v>
          </cell>
          <cell r="C15" t="str">
            <v>CT</v>
          </cell>
          <cell r="D15">
            <v>0</v>
          </cell>
          <cell r="E15" t="str">
            <v>GW</v>
          </cell>
        </row>
        <row r="16">
          <cell r="B16" t="str">
            <v>CC</v>
          </cell>
          <cell r="C16" t="str">
            <v>RTF</v>
          </cell>
          <cell r="D16">
            <v>0</v>
          </cell>
          <cell r="E16" t="str">
            <v>NA</v>
          </cell>
        </row>
        <row r="17">
          <cell r="B17" t="str">
            <v>CC</v>
          </cell>
          <cell r="C17" t="str">
            <v>RTF</v>
          </cell>
          <cell r="D17">
            <v>0</v>
          </cell>
          <cell r="E17" t="str">
            <v>FS</v>
          </cell>
        </row>
        <row r="18">
          <cell r="B18" t="str">
            <v>CC</v>
          </cell>
          <cell r="C18" t="str">
            <v>RTF</v>
          </cell>
          <cell r="D18">
            <v>0</v>
          </cell>
          <cell r="E18" t="str">
            <v>GW</v>
          </cell>
        </row>
        <row r="19">
          <cell r="B19" t="str">
            <v>CC</v>
          </cell>
          <cell r="C19" t="str">
            <v>RTF+NTS</v>
          </cell>
          <cell r="D19">
            <v>0</v>
          </cell>
          <cell r="E19" t="str">
            <v>NA</v>
          </cell>
        </row>
        <row r="20">
          <cell r="B20" t="str">
            <v>CC</v>
          </cell>
          <cell r="C20" t="str">
            <v>RTF+NTS</v>
          </cell>
          <cell r="D20">
            <v>0</v>
          </cell>
          <cell r="E20" t="str">
            <v>FS</v>
          </cell>
        </row>
        <row r="21">
          <cell r="B21" t="str">
            <v>CC</v>
          </cell>
          <cell r="C21" t="str">
            <v>RTF+NTS</v>
          </cell>
          <cell r="D21">
            <v>0</v>
          </cell>
          <cell r="E21" t="str">
            <v>GW</v>
          </cell>
        </row>
        <row r="22">
          <cell r="B22" t="str">
            <v>noCC</v>
          </cell>
          <cell r="C22" t="str">
            <v>CT</v>
          </cell>
          <cell r="D22">
            <v>15</v>
          </cell>
          <cell r="E22" t="str">
            <v>NA</v>
          </cell>
        </row>
        <row r="23">
          <cell r="B23" t="str">
            <v>noCC</v>
          </cell>
          <cell r="C23" t="str">
            <v>CT</v>
          </cell>
          <cell r="D23">
            <v>15</v>
          </cell>
          <cell r="E23" t="str">
            <v>FS</v>
          </cell>
        </row>
        <row r="24">
          <cell r="B24" t="str">
            <v>noCC</v>
          </cell>
          <cell r="C24" t="str">
            <v>CT</v>
          </cell>
          <cell r="D24">
            <v>15</v>
          </cell>
          <cell r="E24" t="str">
            <v>GW</v>
          </cell>
        </row>
        <row r="25">
          <cell r="B25" t="str">
            <v>noCC</v>
          </cell>
          <cell r="C25" t="str">
            <v>RTF</v>
          </cell>
          <cell r="D25">
            <v>15</v>
          </cell>
          <cell r="E25" t="str">
            <v>NA</v>
          </cell>
        </row>
        <row r="26">
          <cell r="B26" t="str">
            <v>noCC</v>
          </cell>
          <cell r="C26" t="str">
            <v>RTF</v>
          </cell>
          <cell r="D26">
            <v>15</v>
          </cell>
          <cell r="E26" t="str">
            <v>FS</v>
          </cell>
        </row>
        <row r="27">
          <cell r="B27" t="str">
            <v>noCC</v>
          </cell>
          <cell r="C27" t="str">
            <v>RTF</v>
          </cell>
          <cell r="D27">
            <v>15</v>
          </cell>
          <cell r="E27" t="str">
            <v>GW</v>
          </cell>
        </row>
        <row r="28">
          <cell r="B28" t="str">
            <v>noCC</v>
          </cell>
          <cell r="C28" t="str">
            <v>RTF+NTS</v>
          </cell>
          <cell r="D28">
            <v>15</v>
          </cell>
          <cell r="E28" t="str">
            <v>NA</v>
          </cell>
        </row>
        <row r="29">
          <cell r="B29" t="str">
            <v>noCC</v>
          </cell>
          <cell r="C29" t="str">
            <v>RTF+NTS</v>
          </cell>
          <cell r="D29">
            <v>15</v>
          </cell>
          <cell r="E29" t="str">
            <v>FS</v>
          </cell>
        </row>
        <row r="30">
          <cell r="B30" t="str">
            <v>noCC</v>
          </cell>
          <cell r="C30" t="str">
            <v>RTF+NTS</v>
          </cell>
          <cell r="D30">
            <v>15</v>
          </cell>
          <cell r="E30" t="str">
            <v>GW</v>
          </cell>
        </row>
        <row r="31">
          <cell r="B31" t="str">
            <v>CC</v>
          </cell>
          <cell r="C31" t="str">
            <v>CT</v>
          </cell>
          <cell r="D31">
            <v>15</v>
          </cell>
          <cell r="E31" t="str">
            <v>NA</v>
          </cell>
        </row>
        <row r="32">
          <cell r="B32" t="str">
            <v>CC</v>
          </cell>
          <cell r="C32" t="str">
            <v>CT</v>
          </cell>
          <cell r="D32">
            <v>15</v>
          </cell>
          <cell r="E32" t="str">
            <v>FS</v>
          </cell>
        </row>
        <row r="33">
          <cell r="B33" t="str">
            <v>CC</v>
          </cell>
          <cell r="C33" t="str">
            <v>CT</v>
          </cell>
          <cell r="D33">
            <v>15</v>
          </cell>
          <cell r="E33" t="str">
            <v>GW</v>
          </cell>
        </row>
        <row r="34">
          <cell r="B34" t="str">
            <v>CC</v>
          </cell>
          <cell r="C34" t="str">
            <v>RTF</v>
          </cell>
          <cell r="D34">
            <v>15</v>
          </cell>
          <cell r="E34" t="str">
            <v>NA</v>
          </cell>
        </row>
        <row r="35">
          <cell r="B35" t="str">
            <v>CC</v>
          </cell>
          <cell r="C35" t="str">
            <v>RTF</v>
          </cell>
          <cell r="D35">
            <v>15</v>
          </cell>
          <cell r="E35" t="str">
            <v>FS</v>
          </cell>
        </row>
        <row r="36">
          <cell r="B36" t="str">
            <v>CC</v>
          </cell>
          <cell r="C36" t="str">
            <v>RTF</v>
          </cell>
          <cell r="D36">
            <v>15</v>
          </cell>
          <cell r="E36" t="str">
            <v>GW</v>
          </cell>
        </row>
        <row r="37">
          <cell r="B37" t="str">
            <v>CC</v>
          </cell>
          <cell r="C37" t="str">
            <v>RTF+NTS</v>
          </cell>
          <cell r="D37">
            <v>15</v>
          </cell>
          <cell r="E37" t="str">
            <v>NA</v>
          </cell>
        </row>
        <row r="38">
          <cell r="B38" t="str">
            <v>CC</v>
          </cell>
          <cell r="C38" t="str">
            <v>RTF+NTS</v>
          </cell>
          <cell r="D38">
            <v>15</v>
          </cell>
          <cell r="E38" t="str">
            <v>FS</v>
          </cell>
        </row>
        <row r="39">
          <cell r="B39" t="str">
            <v>CC</v>
          </cell>
          <cell r="C39" t="str">
            <v>RTF+NTS</v>
          </cell>
          <cell r="D39">
            <v>15</v>
          </cell>
          <cell r="E39" t="str">
            <v>GW</v>
          </cell>
        </row>
        <row r="40">
          <cell r="B40" t="str">
            <v>noCC</v>
          </cell>
          <cell r="C40" t="str">
            <v>CT</v>
          </cell>
          <cell r="D40">
            <v>30</v>
          </cell>
          <cell r="E40" t="str">
            <v>NA</v>
          </cell>
        </row>
        <row r="41">
          <cell r="B41" t="str">
            <v>noCC</v>
          </cell>
          <cell r="C41" t="str">
            <v>CT</v>
          </cell>
          <cell r="D41">
            <v>30</v>
          </cell>
          <cell r="E41" t="str">
            <v>FS</v>
          </cell>
        </row>
        <row r="42">
          <cell r="B42" t="str">
            <v>noCC</v>
          </cell>
          <cell r="C42" t="str">
            <v>CT</v>
          </cell>
          <cell r="D42">
            <v>30</v>
          </cell>
          <cell r="E42" t="str">
            <v>GW</v>
          </cell>
        </row>
        <row r="43">
          <cell r="B43" t="str">
            <v>noCC</v>
          </cell>
          <cell r="C43" t="str">
            <v>RTF</v>
          </cell>
          <cell r="D43">
            <v>30</v>
          </cell>
          <cell r="E43" t="str">
            <v>NA</v>
          </cell>
        </row>
        <row r="44">
          <cell r="B44" t="str">
            <v>noCC</v>
          </cell>
          <cell r="C44" t="str">
            <v>RTF</v>
          </cell>
          <cell r="D44">
            <v>30</v>
          </cell>
          <cell r="E44" t="str">
            <v>FS</v>
          </cell>
        </row>
        <row r="45">
          <cell r="B45" t="str">
            <v>noCC</v>
          </cell>
          <cell r="C45" t="str">
            <v>RTF</v>
          </cell>
          <cell r="D45">
            <v>30</v>
          </cell>
          <cell r="E45" t="str">
            <v>GW</v>
          </cell>
        </row>
        <row r="46">
          <cell r="B46" t="str">
            <v>noCC</v>
          </cell>
          <cell r="C46" t="str">
            <v>RTF+NTS</v>
          </cell>
          <cell r="D46">
            <v>30</v>
          </cell>
          <cell r="E46" t="str">
            <v>NA</v>
          </cell>
        </row>
        <row r="47">
          <cell r="B47" t="str">
            <v>noCC</v>
          </cell>
          <cell r="C47" t="str">
            <v>RTF+NTS</v>
          </cell>
          <cell r="D47">
            <v>30</v>
          </cell>
          <cell r="E47" t="str">
            <v>FS</v>
          </cell>
        </row>
        <row r="48">
          <cell r="B48" t="str">
            <v>noCC</v>
          </cell>
          <cell r="C48" t="str">
            <v>RTF+NTS</v>
          </cell>
          <cell r="D48">
            <v>30</v>
          </cell>
          <cell r="E48" t="str">
            <v>GW</v>
          </cell>
        </row>
        <row r="49">
          <cell r="B49" t="str">
            <v>CC</v>
          </cell>
          <cell r="C49" t="str">
            <v>CT</v>
          </cell>
          <cell r="D49">
            <v>30</v>
          </cell>
          <cell r="E49" t="str">
            <v>NA</v>
          </cell>
        </row>
        <row r="50">
          <cell r="B50" t="str">
            <v>CC</v>
          </cell>
          <cell r="C50" t="str">
            <v>CT</v>
          </cell>
          <cell r="D50">
            <v>30</v>
          </cell>
          <cell r="E50" t="str">
            <v>FS</v>
          </cell>
        </row>
        <row r="51">
          <cell r="B51" t="str">
            <v>CC</v>
          </cell>
          <cell r="C51" t="str">
            <v>CT</v>
          </cell>
          <cell r="D51">
            <v>30</v>
          </cell>
          <cell r="E51" t="str">
            <v>GW</v>
          </cell>
        </row>
        <row r="52">
          <cell r="B52" t="str">
            <v>CC</v>
          </cell>
          <cell r="C52" t="str">
            <v>RTF</v>
          </cell>
          <cell r="D52">
            <v>30</v>
          </cell>
          <cell r="E52" t="str">
            <v>NA</v>
          </cell>
        </row>
        <row r="53">
          <cell r="B53" t="str">
            <v>CC</v>
          </cell>
          <cell r="C53" t="str">
            <v>RTF</v>
          </cell>
          <cell r="D53">
            <v>30</v>
          </cell>
          <cell r="E53" t="str">
            <v>FS</v>
          </cell>
        </row>
        <row r="54">
          <cell r="B54" t="str">
            <v>CC</v>
          </cell>
          <cell r="C54" t="str">
            <v>RTF</v>
          </cell>
          <cell r="D54">
            <v>30</v>
          </cell>
          <cell r="E54" t="str">
            <v>GW</v>
          </cell>
        </row>
        <row r="55">
          <cell r="B55" t="str">
            <v>CC</v>
          </cell>
          <cell r="C55" t="str">
            <v>RTF+NTS</v>
          </cell>
          <cell r="D55">
            <v>30</v>
          </cell>
          <cell r="E55" t="str">
            <v>NA</v>
          </cell>
        </row>
        <row r="56">
          <cell r="B56" t="str">
            <v>CC</v>
          </cell>
          <cell r="C56" t="str">
            <v>RTF+NTS</v>
          </cell>
          <cell r="D56">
            <v>30</v>
          </cell>
          <cell r="E56" t="str">
            <v>FS</v>
          </cell>
        </row>
        <row r="57">
          <cell r="B57" t="str">
            <v>CC</v>
          </cell>
          <cell r="C57" t="str">
            <v>RTF+NTS</v>
          </cell>
          <cell r="D57">
            <v>30</v>
          </cell>
          <cell r="E57" t="str">
            <v>GW</v>
          </cell>
        </row>
        <row r="58">
          <cell r="B58" t="str">
            <v>PG</v>
          </cell>
          <cell r="C58" t="str">
            <v>NT</v>
          </cell>
          <cell r="D58" t="str">
            <v>NA</v>
          </cell>
          <cell r="E58" t="str">
            <v>NA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A27" sqref="A27"/>
    </sheetView>
  </sheetViews>
  <sheetFormatPr defaultRowHeight="15"/>
  <cols>
    <col min="1" max="1" width="37.7109375" bestFit="1" customWidth="1"/>
    <col min="2" max="2" width="12.5703125" bestFit="1" customWidth="1"/>
    <col min="3" max="3" width="17" bestFit="1" customWidth="1"/>
    <col min="4" max="4" width="15.7109375" bestFit="1" customWidth="1"/>
  </cols>
  <sheetData>
    <row r="1" spans="1:10">
      <c r="B1" t="s">
        <v>90</v>
      </c>
      <c r="E1" t="s">
        <v>90</v>
      </c>
      <c r="F1" t="s">
        <v>96</v>
      </c>
      <c r="I1" t="s">
        <v>90</v>
      </c>
      <c r="J1" t="s">
        <v>96</v>
      </c>
    </row>
    <row r="2" spans="1:10">
      <c r="A2" t="s">
        <v>12</v>
      </c>
      <c r="B2" s="12">
        <v>7595955</v>
      </c>
      <c r="C2" s="13"/>
      <c r="D2" t="s">
        <v>91</v>
      </c>
      <c r="E2">
        <v>100</v>
      </c>
      <c r="F2">
        <v>2019</v>
      </c>
      <c r="H2" t="s">
        <v>91</v>
      </c>
      <c r="I2" s="9">
        <f>E2/((1+$B$5)^16)</f>
        <v>71.711387686053484</v>
      </c>
      <c r="J2">
        <v>2003</v>
      </c>
    </row>
    <row r="3" spans="1:10">
      <c r="A3" t="s">
        <v>89</v>
      </c>
      <c r="B3" s="12">
        <f>B2*(1+0.021)</f>
        <v>7755470.0549999997</v>
      </c>
      <c r="C3" s="13"/>
      <c r="D3" t="s">
        <v>92</v>
      </c>
      <c r="E3">
        <v>825</v>
      </c>
      <c r="F3">
        <v>2019</v>
      </c>
      <c r="H3" t="s">
        <v>92</v>
      </c>
      <c r="I3" s="9">
        <f>E3/((1+$B$5)^16)</f>
        <v>591.61894840994125</v>
      </c>
      <c r="J3">
        <v>2003</v>
      </c>
    </row>
    <row r="4" spans="1:10">
      <c r="A4" t="s">
        <v>86</v>
      </c>
      <c r="B4" s="35">
        <v>0.03</v>
      </c>
      <c r="C4" s="13"/>
      <c r="D4" t="s">
        <v>93</v>
      </c>
      <c r="E4">
        <v>75</v>
      </c>
      <c r="F4">
        <v>2019</v>
      </c>
      <c r="H4" t="s">
        <v>93</v>
      </c>
      <c r="I4" s="9">
        <f>E4/((1+$B$5)^16)</f>
        <v>53.783540764540113</v>
      </c>
      <c r="J4">
        <v>2003</v>
      </c>
    </row>
    <row r="5" spans="1:10">
      <c r="A5" t="s">
        <v>87</v>
      </c>
      <c r="B5" s="35">
        <v>2.1000000000000001E-2</v>
      </c>
      <c r="C5" s="13"/>
      <c r="D5" t="s">
        <v>94</v>
      </c>
      <c r="E5">
        <v>333</v>
      </c>
      <c r="F5">
        <v>2019</v>
      </c>
      <c r="H5" t="s">
        <v>94</v>
      </c>
      <c r="I5" s="9">
        <f>E5/((1+$B$5)^16)</f>
        <v>238.7989209945581</v>
      </c>
      <c r="J5">
        <v>2003</v>
      </c>
    </row>
    <row r="6" spans="1:10">
      <c r="A6" t="s">
        <v>88</v>
      </c>
      <c r="B6" s="36">
        <v>8.8148873653280998E-3</v>
      </c>
      <c r="C6" s="13"/>
      <c r="D6" t="s">
        <v>95</v>
      </c>
      <c r="E6">
        <v>0.124</v>
      </c>
      <c r="F6">
        <v>2019</v>
      </c>
      <c r="H6" t="s">
        <v>95</v>
      </c>
      <c r="I6" s="22">
        <f>E6/((1+$B$5)^16)</f>
        <v>8.8922120730706322E-2</v>
      </c>
      <c r="J6">
        <v>2003</v>
      </c>
    </row>
    <row r="7" spans="1:10">
      <c r="A7" t="s">
        <v>13</v>
      </c>
      <c r="B7" s="15">
        <v>33.585433358059497</v>
      </c>
      <c r="C7" s="15"/>
    </row>
    <row r="8" spans="1:10">
      <c r="A8" t="s">
        <v>14</v>
      </c>
      <c r="B8" s="62">
        <f>B3/B7/365</f>
        <v>632.65115378613132</v>
      </c>
    </row>
    <row r="9" spans="1:10">
      <c r="A9" t="s">
        <v>97</v>
      </c>
      <c r="B9" s="15">
        <v>14.8620163293076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6" spans="1:10">
      <c r="A16" s="18"/>
    </row>
    <row r="17" spans="1:5">
      <c r="A17" s="18"/>
      <c r="C17" s="9"/>
    </row>
    <row r="18" spans="1:5">
      <c r="A18" s="18"/>
    </row>
    <row r="28" spans="1:5">
      <c r="E2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FC53-7721-4597-B374-9844699BD0C8}">
  <dimension ref="A1:G12"/>
  <sheetViews>
    <sheetView workbookViewId="0">
      <selection activeCell="A12" sqref="A12"/>
    </sheetView>
  </sheetViews>
  <sheetFormatPr defaultRowHeight="15"/>
  <cols>
    <col min="1" max="1" width="12.28515625" bestFit="1" customWidth="1"/>
    <col min="2" max="2" width="30.85546875" customWidth="1"/>
    <col min="5" max="5" width="12.28515625" bestFit="1" customWidth="1"/>
    <col min="6" max="6" width="20.5703125" customWidth="1"/>
  </cols>
  <sheetData>
    <row r="1" spans="1:7" s="21" customFormat="1">
      <c r="A1" s="21" t="s">
        <v>105</v>
      </c>
      <c r="E1" s="21" t="s">
        <v>112</v>
      </c>
    </row>
    <row r="2" spans="1:7">
      <c r="A2" s="21" t="s">
        <v>98</v>
      </c>
      <c r="B2" s="25" t="s">
        <v>53</v>
      </c>
      <c r="C2" s="25" t="s">
        <v>1</v>
      </c>
      <c r="E2" s="21" t="s">
        <v>98</v>
      </c>
      <c r="F2" s="25" t="s">
        <v>53</v>
      </c>
      <c r="G2" s="25" t="s">
        <v>1</v>
      </c>
    </row>
    <row r="3" spans="1:7">
      <c r="A3" s="59">
        <v>3.46</v>
      </c>
      <c r="B3" t="s">
        <v>99</v>
      </c>
      <c r="C3" s="60">
        <v>2018</v>
      </c>
      <c r="E3" s="59">
        <v>3.46</v>
      </c>
      <c r="F3" t="s">
        <v>106</v>
      </c>
      <c r="G3" s="81">
        <v>2017</v>
      </c>
    </row>
    <row r="4" spans="1:7">
      <c r="A4">
        <v>1.42</v>
      </c>
      <c r="B4" s="18" t="s">
        <v>100</v>
      </c>
      <c r="C4" s="80">
        <v>2017</v>
      </c>
      <c r="E4" s="59">
        <v>0.32</v>
      </c>
      <c r="F4" s="18" t="s">
        <v>107</v>
      </c>
      <c r="G4" s="81"/>
    </row>
    <row r="5" spans="1:7">
      <c r="A5">
        <f>109.6/1000</f>
        <v>0.10959999999999999</v>
      </c>
      <c r="B5" s="18" t="s">
        <v>101</v>
      </c>
      <c r="C5" s="80"/>
      <c r="E5" s="59">
        <v>9.4E-2</v>
      </c>
      <c r="F5" s="18" t="s">
        <v>108</v>
      </c>
      <c r="G5" s="81"/>
    </row>
    <row r="6" spans="1:7">
      <c r="A6">
        <v>0.75</v>
      </c>
      <c r="B6" t="s">
        <v>102</v>
      </c>
      <c r="C6" s="80"/>
      <c r="E6" s="59">
        <v>0.55000000000000004</v>
      </c>
      <c r="F6" s="18" t="s">
        <v>109</v>
      </c>
      <c r="G6" s="81"/>
    </row>
    <row r="7" spans="1:7">
      <c r="A7" s="59">
        <f>393.4/1000</f>
        <v>0.39339999999999997</v>
      </c>
      <c r="B7" s="18" t="s">
        <v>103</v>
      </c>
      <c r="C7" s="60">
        <v>2018</v>
      </c>
      <c r="E7" s="59">
        <v>0.3</v>
      </c>
      <c r="F7" s="18" t="s">
        <v>110</v>
      </c>
      <c r="G7" s="81"/>
    </row>
    <row r="8" spans="1:7">
      <c r="A8">
        <v>20</v>
      </c>
      <c r="B8" s="18" t="s">
        <v>104</v>
      </c>
      <c r="E8" s="59">
        <v>0.42</v>
      </c>
      <c r="F8" s="18" t="s">
        <v>111</v>
      </c>
      <c r="G8" s="81"/>
    </row>
    <row r="9" spans="1:7">
      <c r="E9" s="59">
        <v>15</v>
      </c>
      <c r="F9" s="18" t="s">
        <v>104</v>
      </c>
    </row>
    <row r="11" spans="1:7">
      <c r="B11" t="s">
        <v>113</v>
      </c>
    </row>
    <row r="12" spans="1:7">
      <c r="A12" s="22">
        <f>3.46/25.4</f>
        <v>0.1362204724409449</v>
      </c>
      <c r="B12" t="s">
        <v>114</v>
      </c>
    </row>
  </sheetData>
  <mergeCells count="2">
    <mergeCell ref="C4:C6"/>
    <mergeCell ref="G3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A147-095B-4976-B415-D58D78033C53}">
  <dimension ref="A1:N75"/>
  <sheetViews>
    <sheetView topLeftCell="A31" workbookViewId="0">
      <selection activeCell="C63" sqref="C63:G63"/>
    </sheetView>
  </sheetViews>
  <sheetFormatPr defaultColWidth="9.140625" defaultRowHeight="15"/>
  <cols>
    <col min="1" max="1" width="22.5703125" bestFit="1" customWidth="1"/>
    <col min="2" max="2" width="17.85546875" bestFit="1" customWidth="1"/>
    <col min="3" max="3" width="16.140625" bestFit="1" customWidth="1"/>
    <col min="4" max="4" width="14.42578125" bestFit="1" customWidth="1"/>
    <col min="5" max="5" width="16.5703125" bestFit="1" customWidth="1"/>
    <col min="6" max="6" width="14.85546875" bestFit="1" customWidth="1"/>
    <col min="7" max="7" width="11.28515625" bestFit="1" customWidth="1"/>
    <col min="8" max="8" width="7" bestFit="1" customWidth="1"/>
    <col min="9" max="9" width="20.7109375" bestFit="1" customWidth="1"/>
    <col min="10" max="10" width="19.28515625" bestFit="1" customWidth="1"/>
    <col min="11" max="11" width="19.7109375" customWidth="1"/>
    <col min="12" max="12" width="26.5703125" bestFit="1" customWidth="1"/>
    <col min="13" max="14" width="17.28515625" bestFit="1" customWidth="1"/>
  </cols>
  <sheetData>
    <row r="1" spans="1:14" s="61" customFormat="1" ht="36.75" customHeight="1">
      <c r="A1" s="64" t="s">
        <v>116</v>
      </c>
      <c r="B1" s="64" t="s">
        <v>116</v>
      </c>
      <c r="C1" s="64" t="s">
        <v>124</v>
      </c>
      <c r="D1" s="64" t="s">
        <v>125</v>
      </c>
      <c r="E1" s="68" t="s">
        <v>126</v>
      </c>
      <c r="F1" s="64" t="s">
        <v>127</v>
      </c>
      <c r="G1" s="64" t="s">
        <v>129</v>
      </c>
      <c r="H1" s="64" t="s">
        <v>128</v>
      </c>
      <c r="I1" s="69" t="s">
        <v>117</v>
      </c>
      <c r="J1" s="65" t="s">
        <v>118</v>
      </c>
      <c r="K1" s="65" t="s">
        <v>119</v>
      </c>
      <c r="L1" s="66" t="s">
        <v>120</v>
      </c>
      <c r="M1" s="66" t="s">
        <v>121</v>
      </c>
      <c r="N1" s="66" t="s">
        <v>122</v>
      </c>
    </row>
    <row r="2" spans="1:14">
      <c r="A2" t="s">
        <v>123</v>
      </c>
      <c r="B2" t="s">
        <v>130</v>
      </c>
      <c r="C2">
        <v>51.8</v>
      </c>
      <c r="D2">
        <v>160.6</v>
      </c>
      <c r="E2">
        <f>146.4</f>
        <v>146.4</v>
      </c>
      <c r="F2">
        <v>0</v>
      </c>
      <c r="G2" s="23">
        <f>SUM(C2:F2)*2.47105</f>
        <v>886.61273999999992</v>
      </c>
      <c r="H2">
        <v>0</v>
      </c>
      <c r="I2" t="s">
        <v>187</v>
      </c>
      <c r="J2" s="71">
        <v>332668.2585</v>
      </c>
      <c r="K2" t="s">
        <v>188</v>
      </c>
    </row>
    <row r="3" spans="1:14">
      <c r="A3" t="str">
        <f>[1]Abbreviations!B4&amp;"_"&amp;[1]Abbreviations!C4&amp;"_"&amp;[1]Abbreviations!D4&amp;"_"&amp;[1]Abbreviations!E4&amp;""</f>
        <v>noCC_CT_0_NA</v>
      </c>
      <c r="B3" t="s">
        <v>131</v>
      </c>
      <c r="C3">
        <v>51.8</v>
      </c>
      <c r="D3">
        <v>160.6</v>
      </c>
      <c r="E3">
        <f t="shared" ref="E3:E20" si="0">146.4</f>
        <v>146.4</v>
      </c>
      <c r="F3">
        <v>0</v>
      </c>
      <c r="G3" s="23">
        <f t="shared" ref="G3:G56" si="1">SUM(C3:F3)*2.47105</f>
        <v>886.61273999999992</v>
      </c>
      <c r="H3">
        <v>0</v>
      </c>
      <c r="I3" t="s">
        <v>190</v>
      </c>
      <c r="J3" s="71">
        <f>G2*J2</f>
        <v>294947916.17971325</v>
      </c>
      <c r="K3" t="s">
        <v>189</v>
      </c>
    </row>
    <row r="4" spans="1:14">
      <c r="A4" t="str">
        <f>[1]Abbreviations!B5&amp;"_"&amp;[1]Abbreviations!C5&amp;"_"&amp;[1]Abbreviations!D5&amp;"_"&amp;[1]Abbreviations!E5&amp;""</f>
        <v>noCC_CT_0_FS</v>
      </c>
      <c r="B4" t="s">
        <v>132</v>
      </c>
      <c r="C4">
        <v>51.8</v>
      </c>
      <c r="D4">
        <v>160.6</v>
      </c>
      <c r="E4">
        <f t="shared" si="0"/>
        <v>146.4</v>
      </c>
      <c r="F4">
        <f>0.091</f>
        <v>9.0999999999999998E-2</v>
      </c>
      <c r="G4" s="23">
        <f>SUM(C4:F4)*2.47105</f>
        <v>886.83760554999992</v>
      </c>
      <c r="H4">
        <v>4.5999999999999999E-3</v>
      </c>
      <c r="J4" s="71"/>
    </row>
    <row r="5" spans="1:14">
      <c r="A5" t="str">
        <f>[1]Abbreviations!B6&amp;"_"&amp;[1]Abbreviations!C6&amp;"_"&amp;[1]Abbreviations!D6&amp;"_"&amp;[1]Abbreviations!E6&amp;""</f>
        <v>noCC_CT_0_GW</v>
      </c>
      <c r="B5" t="s">
        <v>133</v>
      </c>
      <c r="C5">
        <v>51.8</v>
      </c>
      <c r="D5">
        <v>160.6</v>
      </c>
      <c r="E5">
        <f t="shared" si="0"/>
        <v>146.4</v>
      </c>
      <c r="F5">
        <f>1.373</f>
        <v>1.373</v>
      </c>
      <c r="G5" s="23">
        <f t="shared" si="1"/>
        <v>890.00549164999984</v>
      </c>
      <c r="H5">
        <v>4.4000000000000003E-3</v>
      </c>
    </row>
    <row r="6" spans="1:14">
      <c r="A6" t="str">
        <f>[1]Abbreviations!B7&amp;"_"&amp;[1]Abbreviations!C7&amp;"_"&amp;[1]Abbreviations!D7&amp;"_"&amp;[1]Abbreviations!E7&amp;""</f>
        <v>noCC_RTF_0_NA</v>
      </c>
      <c r="B6" t="s">
        <v>134</v>
      </c>
      <c r="C6">
        <v>51.8</v>
      </c>
      <c r="D6">
        <v>169.3</v>
      </c>
      <c r="E6">
        <f t="shared" si="0"/>
        <v>146.4</v>
      </c>
      <c r="F6">
        <v>0</v>
      </c>
      <c r="G6" s="23">
        <f t="shared" si="1"/>
        <v>908.11087499999996</v>
      </c>
      <c r="H6">
        <v>0</v>
      </c>
      <c r="J6" t="s">
        <v>191</v>
      </c>
      <c r="K6">
        <v>0.03</v>
      </c>
    </row>
    <row r="7" spans="1:14">
      <c r="A7" t="str">
        <f>[1]Abbreviations!B8&amp;"_"&amp;[1]Abbreviations!C8&amp;"_"&amp;[1]Abbreviations!D8&amp;"_"&amp;[1]Abbreviations!E8&amp;""</f>
        <v>noCC_RTF_0_FS</v>
      </c>
      <c r="B7" t="s">
        <v>135</v>
      </c>
      <c r="C7">
        <v>51.8</v>
      </c>
      <c r="D7">
        <v>169.3</v>
      </c>
      <c r="E7">
        <f t="shared" si="0"/>
        <v>146.4</v>
      </c>
      <c r="F7">
        <f>0.091</f>
        <v>9.0999999999999998E-2</v>
      </c>
      <c r="G7" s="23">
        <f t="shared" si="1"/>
        <v>908.33574054999997</v>
      </c>
      <c r="H7">
        <v>4.5999999999999999E-3</v>
      </c>
      <c r="J7" t="s">
        <v>192</v>
      </c>
      <c r="K7">
        <v>10</v>
      </c>
    </row>
    <row r="8" spans="1:14">
      <c r="A8" t="str">
        <f>[1]Abbreviations!B9&amp;"_"&amp;[1]Abbreviations!C9&amp;"_"&amp;[1]Abbreviations!D9&amp;"_"&amp;[1]Abbreviations!E9&amp;""</f>
        <v>noCC_RTF_0_GW</v>
      </c>
      <c r="B8" t="s">
        <v>136</v>
      </c>
      <c r="C8">
        <v>51.8</v>
      </c>
      <c r="D8">
        <v>169.3</v>
      </c>
      <c r="E8">
        <f t="shared" si="0"/>
        <v>146.4</v>
      </c>
      <c r="F8">
        <f>1.373</f>
        <v>1.373</v>
      </c>
      <c r="G8" s="23">
        <f t="shared" si="1"/>
        <v>911.50362665</v>
      </c>
      <c r="H8">
        <v>4.4000000000000003E-3</v>
      </c>
      <c r="J8" t="s">
        <v>193</v>
      </c>
      <c r="K8" s="73">
        <f>K6/(1-(1+K6)^(-K7))</f>
        <v>0.11723050660515962</v>
      </c>
    </row>
    <row r="9" spans="1:14">
      <c r="A9" t="str">
        <f>[1]Abbreviations!B10&amp;"_"&amp;[1]Abbreviations!C10&amp;"_"&amp;[1]Abbreviations!D10&amp;"_"&amp;[1]Abbreviations!E10&amp;""</f>
        <v>noCC_RTF+NTS_0_NA</v>
      </c>
      <c r="B9" t="s">
        <v>137</v>
      </c>
      <c r="C9">
        <v>51.8</v>
      </c>
      <c r="D9">
        <v>162.19999999999999</v>
      </c>
      <c r="E9">
        <f t="shared" si="0"/>
        <v>146.4</v>
      </c>
      <c r="F9">
        <v>0</v>
      </c>
      <c r="G9" s="23">
        <f t="shared" si="1"/>
        <v>890.56641999999988</v>
      </c>
      <c r="H9">
        <v>0</v>
      </c>
    </row>
    <row r="10" spans="1:14">
      <c r="A10" t="str">
        <f>[1]Abbreviations!B11&amp;"_"&amp;[1]Abbreviations!C11&amp;"_"&amp;[1]Abbreviations!D11&amp;"_"&amp;[1]Abbreviations!E11&amp;""</f>
        <v>noCC_RTF+NTS_0_FS</v>
      </c>
      <c r="B10" t="s">
        <v>138</v>
      </c>
      <c r="C10">
        <v>51.8</v>
      </c>
      <c r="D10">
        <v>162.19999999999999</v>
      </c>
      <c r="E10">
        <f t="shared" si="0"/>
        <v>146.4</v>
      </c>
      <c r="F10">
        <f>0.091</f>
        <v>9.0999999999999998E-2</v>
      </c>
      <c r="G10" s="23">
        <f t="shared" si="1"/>
        <v>890.79128555</v>
      </c>
      <c r="H10">
        <v>4.5999999999999999E-3</v>
      </c>
    </row>
    <row r="11" spans="1:14">
      <c r="A11" t="str">
        <f>[1]Abbreviations!B12&amp;"_"&amp;[1]Abbreviations!C12&amp;"_"&amp;[1]Abbreviations!D12&amp;"_"&amp;[1]Abbreviations!E12&amp;""</f>
        <v>noCC_RTF+NTS_0_GW</v>
      </c>
      <c r="B11" t="s">
        <v>139</v>
      </c>
      <c r="C11">
        <v>51.8</v>
      </c>
      <c r="D11">
        <v>162.19999999999999</v>
      </c>
      <c r="E11">
        <f t="shared" si="0"/>
        <v>146.4</v>
      </c>
      <c r="F11">
        <f>1.373</f>
        <v>1.373</v>
      </c>
      <c r="G11" s="23">
        <f t="shared" si="1"/>
        <v>893.95917164999992</v>
      </c>
      <c r="H11">
        <v>4.4000000000000003E-3</v>
      </c>
    </row>
    <row r="12" spans="1:14">
      <c r="A12" t="str">
        <f>[1]Abbreviations!B13&amp;"_"&amp;[1]Abbreviations!C13&amp;"_"&amp;[1]Abbreviations!D13&amp;"_"&amp;[1]Abbreviations!E13&amp;""</f>
        <v>CC_CT_0_NA</v>
      </c>
      <c r="B12" t="s">
        <v>140</v>
      </c>
      <c r="C12">
        <v>89.5</v>
      </c>
      <c r="D12">
        <v>160.6</v>
      </c>
      <c r="E12">
        <f t="shared" si="0"/>
        <v>146.4</v>
      </c>
      <c r="F12">
        <v>0</v>
      </c>
      <c r="G12" s="23">
        <f t="shared" si="1"/>
        <v>979.77132499999993</v>
      </c>
      <c r="H12">
        <v>0</v>
      </c>
    </row>
    <row r="13" spans="1:14">
      <c r="A13" t="str">
        <f>[1]Abbreviations!B14&amp;"_"&amp;[1]Abbreviations!C14&amp;"_"&amp;[1]Abbreviations!D14&amp;"_"&amp;[1]Abbreviations!E14&amp;""</f>
        <v>CC_CT_0_FS</v>
      </c>
      <c r="B13" t="s">
        <v>141</v>
      </c>
      <c r="C13">
        <v>89.5</v>
      </c>
      <c r="D13">
        <v>160.6</v>
      </c>
      <c r="E13">
        <f t="shared" si="0"/>
        <v>146.4</v>
      </c>
      <c r="F13">
        <f>0.091</f>
        <v>9.0999999999999998E-2</v>
      </c>
      <c r="G13" s="23">
        <f t="shared" si="1"/>
        <v>979.99619055000005</v>
      </c>
      <c r="H13">
        <v>4.5999999999999999E-3</v>
      </c>
    </row>
    <row r="14" spans="1:14">
      <c r="A14" t="str">
        <f>[1]Abbreviations!B15&amp;"_"&amp;[1]Abbreviations!C15&amp;"_"&amp;[1]Abbreviations!D15&amp;"_"&amp;[1]Abbreviations!E15&amp;""</f>
        <v>CC_CT_0_GW</v>
      </c>
      <c r="B14" t="s">
        <v>142</v>
      </c>
      <c r="C14">
        <v>89.5</v>
      </c>
      <c r="D14">
        <v>160.6</v>
      </c>
      <c r="E14">
        <f t="shared" si="0"/>
        <v>146.4</v>
      </c>
      <c r="F14">
        <f>1.373</f>
        <v>1.373</v>
      </c>
      <c r="G14" s="23">
        <f t="shared" si="1"/>
        <v>983.16407664999997</v>
      </c>
      <c r="H14">
        <v>4.4000000000000003E-3</v>
      </c>
      <c r="J14" s="70">
        <v>1305890</v>
      </c>
      <c r="K14" s="70">
        <v>1305890</v>
      </c>
      <c r="L14" s="70">
        <v>1306730</v>
      </c>
      <c r="M14" s="70">
        <v>1318590</v>
      </c>
      <c r="N14">
        <v>8563.98</v>
      </c>
    </row>
    <row r="15" spans="1:14">
      <c r="A15" t="str">
        <f>[1]Abbreviations!B16&amp;"_"&amp;[1]Abbreviations!C16&amp;"_"&amp;[1]Abbreviations!D16&amp;"_"&amp;[1]Abbreviations!E16&amp;""</f>
        <v>CC_RTF_0_NA</v>
      </c>
      <c r="B15" t="s">
        <v>143</v>
      </c>
      <c r="C15">
        <v>89.5</v>
      </c>
      <c r="D15">
        <v>169.3</v>
      </c>
      <c r="E15">
        <f t="shared" si="0"/>
        <v>146.4</v>
      </c>
      <c r="F15">
        <v>0</v>
      </c>
      <c r="G15" s="23">
        <f t="shared" si="1"/>
        <v>1001.2694600000001</v>
      </c>
      <c r="H15">
        <v>0</v>
      </c>
      <c r="J15" s="70">
        <v>1265700</v>
      </c>
      <c r="K15" s="70">
        <v>1265700</v>
      </c>
      <c r="L15" s="70">
        <v>1266510</v>
      </c>
      <c r="M15" s="70">
        <v>1278000</v>
      </c>
      <c r="N15">
        <v>8158.38</v>
      </c>
    </row>
    <row r="16" spans="1:14">
      <c r="A16" t="str">
        <f>[1]Abbreviations!B17&amp;"_"&amp;[1]Abbreviations!C17&amp;"_"&amp;[1]Abbreviations!D17&amp;"_"&amp;[1]Abbreviations!E17&amp;""</f>
        <v>CC_RTF_0_FS</v>
      </c>
      <c r="B16" t="s">
        <v>144</v>
      </c>
      <c r="C16">
        <v>89.5</v>
      </c>
      <c r="D16">
        <v>169.3</v>
      </c>
      <c r="E16">
        <f t="shared" si="0"/>
        <v>146.4</v>
      </c>
      <c r="F16">
        <f>0.091</f>
        <v>9.0999999999999998E-2</v>
      </c>
      <c r="G16" s="23">
        <f t="shared" si="1"/>
        <v>1001.4943255500001</v>
      </c>
      <c r="H16">
        <v>4.5999999999999999E-3</v>
      </c>
      <c r="J16" s="70">
        <v>2832940</v>
      </c>
      <c r="K16" s="70">
        <v>2832940</v>
      </c>
      <c r="L16" s="70">
        <v>2834770</v>
      </c>
      <c r="M16" s="70">
        <v>2860490</v>
      </c>
      <c r="N16">
        <v>15330.1</v>
      </c>
    </row>
    <row r="17" spans="1:14">
      <c r="A17" s="72" t="str">
        <f>[1]Abbreviations!B18&amp;"_"&amp;[1]Abbreviations!C18&amp;"_"&amp;[1]Abbreviations!D18&amp;"_"&amp;[1]Abbreviations!E18&amp;""</f>
        <v>CC_RTF_0_GW</v>
      </c>
      <c r="B17" s="72" t="s">
        <v>145</v>
      </c>
      <c r="C17">
        <v>89.5</v>
      </c>
      <c r="D17">
        <v>169.3</v>
      </c>
      <c r="E17">
        <f t="shared" si="0"/>
        <v>146.4</v>
      </c>
      <c r="F17">
        <f>1.373</f>
        <v>1.373</v>
      </c>
      <c r="G17" s="23">
        <f t="shared" si="1"/>
        <v>1004.6622116500001</v>
      </c>
      <c r="H17">
        <v>4.4000000000000003E-3</v>
      </c>
      <c r="J17" s="70">
        <v>1591220</v>
      </c>
      <c r="K17" s="70">
        <v>1591220</v>
      </c>
      <c r="L17" s="70">
        <v>1592250</v>
      </c>
      <c r="M17" s="70">
        <v>1606690</v>
      </c>
      <c r="N17">
        <v>8968.15</v>
      </c>
    </row>
    <row r="18" spans="1:14">
      <c r="A18" s="72" t="str">
        <f>[1]Abbreviations!B19&amp;"_"&amp;[1]Abbreviations!C19&amp;"_"&amp;[1]Abbreviations!D19&amp;"_"&amp;[1]Abbreviations!E19&amp;""</f>
        <v>CC_RTF+NTS_0_NA</v>
      </c>
      <c r="B18" s="72" t="s">
        <v>146</v>
      </c>
      <c r="C18">
        <v>89.5</v>
      </c>
      <c r="D18">
        <v>162.19999999999999</v>
      </c>
      <c r="E18">
        <f t="shared" si="0"/>
        <v>146.4</v>
      </c>
      <c r="F18">
        <v>0</v>
      </c>
      <c r="G18" s="23">
        <f t="shared" si="1"/>
        <v>983.72500500000001</v>
      </c>
      <c r="H18">
        <v>0</v>
      </c>
      <c r="J18" s="70">
        <v>2130080</v>
      </c>
      <c r="K18" s="70">
        <v>2130080</v>
      </c>
      <c r="L18" s="70">
        <v>2131450</v>
      </c>
      <c r="M18" s="70">
        <v>2150790</v>
      </c>
      <c r="N18">
        <v>11720.1</v>
      </c>
    </row>
    <row r="19" spans="1:14">
      <c r="A19" s="72" t="str">
        <f>[1]Abbreviations!B20&amp;"_"&amp;[1]Abbreviations!C20&amp;"_"&amp;[1]Abbreviations!D20&amp;"_"&amp;[1]Abbreviations!E20&amp;""</f>
        <v>CC_RTF+NTS_0_FS</v>
      </c>
      <c r="B19" s="72" t="s">
        <v>147</v>
      </c>
      <c r="C19">
        <v>89.5</v>
      </c>
      <c r="D19">
        <v>162.19999999999999</v>
      </c>
      <c r="E19">
        <f t="shared" si="0"/>
        <v>146.4</v>
      </c>
      <c r="F19">
        <f>0.091</f>
        <v>9.0999999999999998E-2</v>
      </c>
      <c r="G19" s="23">
        <f t="shared" si="1"/>
        <v>983.94987055000001</v>
      </c>
      <c r="H19">
        <v>4.5999999999999999E-3</v>
      </c>
    </row>
    <row r="20" spans="1:14">
      <c r="A20" s="72" t="str">
        <f>[1]Abbreviations!B21&amp;"_"&amp;[1]Abbreviations!C21&amp;"_"&amp;[1]Abbreviations!D21&amp;"_"&amp;[1]Abbreviations!E21&amp;""</f>
        <v>CC_RTF+NTS_0_GW</v>
      </c>
      <c r="B20" s="72" t="s">
        <v>148</v>
      </c>
      <c r="C20">
        <v>89.5</v>
      </c>
      <c r="D20">
        <v>162.19999999999999</v>
      </c>
      <c r="E20">
        <f t="shared" si="0"/>
        <v>146.4</v>
      </c>
      <c r="F20">
        <f>1.373</f>
        <v>1.373</v>
      </c>
      <c r="G20" s="23">
        <f t="shared" si="1"/>
        <v>987.11775665000005</v>
      </c>
      <c r="H20">
        <v>4.4000000000000003E-3</v>
      </c>
      <c r="J20" s="70">
        <f>J14/N14</f>
        <v>152.48634396624001</v>
      </c>
    </row>
    <row r="21" spans="1:14">
      <c r="A21" s="72" t="str">
        <f>[1]Abbreviations!B22&amp;"_"&amp;[1]Abbreviations!C22&amp;"_"&amp;[1]Abbreviations!D22&amp;"_"&amp;[1]Abbreviations!E22&amp;""</f>
        <v>noCC_CT_15_NA</v>
      </c>
      <c r="B21" s="72" t="s">
        <v>149</v>
      </c>
      <c r="C21">
        <v>51.8</v>
      </c>
      <c r="D21">
        <v>160.6</v>
      </c>
      <c r="E21">
        <v>139.69999999999999</v>
      </c>
      <c r="F21">
        <v>0</v>
      </c>
      <c r="G21" s="23">
        <f t="shared" si="1"/>
        <v>870.05670499999985</v>
      </c>
      <c r="H21">
        <v>0</v>
      </c>
      <c r="J21" s="70">
        <f t="shared" ref="J21:J24" si="2">J15/N15</f>
        <v>155.14109418781669</v>
      </c>
    </row>
    <row r="22" spans="1:14">
      <c r="A22" s="72" t="str">
        <f>[1]Abbreviations!B23&amp;"_"&amp;[1]Abbreviations!C23&amp;"_"&amp;[1]Abbreviations!D23&amp;"_"&amp;[1]Abbreviations!E23&amp;""</f>
        <v>noCC_CT_15_FS</v>
      </c>
      <c r="B22" s="72" t="s">
        <v>150</v>
      </c>
      <c r="C22">
        <v>51.8</v>
      </c>
      <c r="D22">
        <v>160.6</v>
      </c>
      <c r="E22">
        <v>139.69999999999999</v>
      </c>
      <c r="F22">
        <f>0.091</f>
        <v>9.0999999999999998E-2</v>
      </c>
      <c r="G22" s="23">
        <f t="shared" si="1"/>
        <v>870.28157054999997</v>
      </c>
      <c r="H22">
        <v>4.5999999999999999E-3</v>
      </c>
      <c r="J22" s="70">
        <f t="shared" si="2"/>
        <v>184.79592435796243</v>
      </c>
    </row>
    <row r="23" spans="1:14">
      <c r="A23" s="72" t="str">
        <f>[1]Abbreviations!B24&amp;"_"&amp;[1]Abbreviations!C24&amp;"_"&amp;[1]Abbreviations!D24&amp;"_"&amp;[1]Abbreviations!E24&amp;""</f>
        <v>noCC_CT_15_GW</v>
      </c>
      <c r="B23" s="72" t="s">
        <v>151</v>
      </c>
      <c r="C23">
        <v>51.8</v>
      </c>
      <c r="D23">
        <v>160.6</v>
      </c>
      <c r="E23">
        <v>139.69999999999999</v>
      </c>
      <c r="F23">
        <f>1.373</f>
        <v>1.373</v>
      </c>
      <c r="G23" s="23">
        <f t="shared" si="1"/>
        <v>873.44945664999989</v>
      </c>
      <c r="H23">
        <v>4.4000000000000003E-3</v>
      </c>
      <c r="J23" s="70">
        <f t="shared" si="2"/>
        <v>177.43012772979935</v>
      </c>
    </row>
    <row r="24" spans="1:14">
      <c r="A24" s="72" t="str">
        <f>[1]Abbreviations!B25&amp;"_"&amp;[1]Abbreviations!C25&amp;"_"&amp;[1]Abbreviations!D25&amp;"_"&amp;[1]Abbreviations!E25&amp;""</f>
        <v>noCC_RTF_15_NA</v>
      </c>
      <c r="B24" s="72" t="s">
        <v>152</v>
      </c>
      <c r="C24">
        <v>51.8</v>
      </c>
      <c r="D24">
        <v>169.3</v>
      </c>
      <c r="E24">
        <v>139.69999999999999</v>
      </c>
      <c r="F24">
        <v>0</v>
      </c>
      <c r="G24" s="23">
        <f t="shared" si="1"/>
        <v>891.55484000000001</v>
      </c>
      <c r="H24">
        <v>0</v>
      </c>
      <c r="J24" s="70">
        <f t="shared" si="2"/>
        <v>181.74588954019163</v>
      </c>
    </row>
    <row r="25" spans="1:14">
      <c r="A25" s="72" t="str">
        <f>[1]Abbreviations!B26&amp;"_"&amp;[1]Abbreviations!C26&amp;"_"&amp;[1]Abbreviations!D26&amp;"_"&amp;[1]Abbreviations!E26&amp;""</f>
        <v>noCC_RTF_15_FS</v>
      </c>
      <c r="B25" s="72" t="s">
        <v>153</v>
      </c>
      <c r="C25">
        <v>51.8</v>
      </c>
      <c r="D25">
        <v>169.3</v>
      </c>
      <c r="E25">
        <v>139.69999999999999</v>
      </c>
      <c r="F25">
        <f>0.091</f>
        <v>9.0999999999999998E-2</v>
      </c>
      <c r="G25" s="23">
        <f t="shared" si="1"/>
        <v>891.77970555000002</v>
      </c>
      <c r="H25">
        <v>4.5999999999999999E-3</v>
      </c>
      <c r="J25" s="70"/>
    </row>
    <row r="26" spans="1:14">
      <c r="A26" s="72" t="str">
        <f>[1]Abbreviations!B27&amp;"_"&amp;[1]Abbreviations!C27&amp;"_"&amp;[1]Abbreviations!D27&amp;"_"&amp;[1]Abbreviations!E27&amp;""</f>
        <v>noCC_RTF_15_GW</v>
      </c>
      <c r="B26" s="72" t="s">
        <v>154</v>
      </c>
      <c r="C26">
        <v>51.8</v>
      </c>
      <c r="D26">
        <v>169.3</v>
      </c>
      <c r="E26">
        <v>139.69999999999999</v>
      </c>
      <c r="F26">
        <f>1.373</f>
        <v>1.373</v>
      </c>
      <c r="G26" s="23">
        <f t="shared" si="1"/>
        <v>894.94759165000005</v>
      </c>
      <c r="H26">
        <v>4.4000000000000003E-3</v>
      </c>
    </row>
    <row r="27" spans="1:14">
      <c r="A27" s="72" t="str">
        <f>[1]Abbreviations!B28&amp;"_"&amp;[1]Abbreviations!C28&amp;"_"&amp;[1]Abbreviations!D28&amp;"_"&amp;[1]Abbreviations!E28&amp;""</f>
        <v>noCC_RTF+NTS_15_NA</v>
      </c>
      <c r="B27" s="72" t="s">
        <v>155</v>
      </c>
      <c r="C27">
        <v>51.8</v>
      </c>
      <c r="D27">
        <v>162.19999999999999</v>
      </c>
      <c r="E27">
        <v>139.69999999999999</v>
      </c>
      <c r="F27">
        <v>0</v>
      </c>
      <c r="G27" s="23">
        <f t="shared" si="1"/>
        <v>874.01038499999993</v>
      </c>
      <c r="H27">
        <v>0</v>
      </c>
    </row>
    <row r="28" spans="1:14">
      <c r="A28" s="72" t="str">
        <f>[1]Abbreviations!B29&amp;"_"&amp;[1]Abbreviations!C29&amp;"_"&amp;[1]Abbreviations!D29&amp;"_"&amp;[1]Abbreviations!E29&amp;""</f>
        <v>noCC_RTF+NTS_15_FS</v>
      </c>
      <c r="B28" s="72" t="s">
        <v>156</v>
      </c>
      <c r="C28">
        <v>51.8</v>
      </c>
      <c r="D28">
        <v>162.19999999999999</v>
      </c>
      <c r="E28">
        <v>139.69999999999999</v>
      </c>
      <c r="F28">
        <f>0.091</f>
        <v>9.0999999999999998E-2</v>
      </c>
      <c r="G28" s="23">
        <f t="shared" si="1"/>
        <v>874.23525054999993</v>
      </c>
      <c r="H28">
        <v>4.5999999999999999E-3</v>
      </c>
    </row>
    <row r="29" spans="1:14">
      <c r="A29" s="72" t="str">
        <f>[1]Abbreviations!B30&amp;"_"&amp;[1]Abbreviations!C30&amp;"_"&amp;[1]Abbreviations!D30&amp;"_"&amp;[1]Abbreviations!E30&amp;""</f>
        <v>noCC_RTF+NTS_15_GW</v>
      </c>
      <c r="B29" s="72" t="s">
        <v>157</v>
      </c>
      <c r="C29">
        <v>51.8</v>
      </c>
      <c r="D29">
        <v>162.19999999999999</v>
      </c>
      <c r="E29">
        <v>139.69999999999999</v>
      </c>
      <c r="F29">
        <f>1.373</f>
        <v>1.373</v>
      </c>
      <c r="G29" s="23">
        <f t="shared" si="1"/>
        <v>877.40313664999996</v>
      </c>
      <c r="H29">
        <v>4.4000000000000003E-3</v>
      </c>
    </row>
    <row r="30" spans="1:14">
      <c r="A30" s="72" t="str">
        <f>[1]Abbreviations!B31&amp;"_"&amp;[1]Abbreviations!C31&amp;"_"&amp;[1]Abbreviations!D31&amp;"_"&amp;[1]Abbreviations!E31&amp;""</f>
        <v>CC_CT_15_NA</v>
      </c>
      <c r="B30" s="72" t="s">
        <v>158</v>
      </c>
      <c r="C30">
        <v>89.5</v>
      </c>
      <c r="D30">
        <v>160.6</v>
      </c>
      <c r="E30">
        <v>139.69999999999999</v>
      </c>
      <c r="F30">
        <v>0</v>
      </c>
      <c r="G30" s="23">
        <f t="shared" si="1"/>
        <v>963.21528999999987</v>
      </c>
      <c r="H30">
        <v>0</v>
      </c>
    </row>
    <row r="31" spans="1:14">
      <c r="A31" s="72" t="str">
        <f>[1]Abbreviations!B32&amp;"_"&amp;[1]Abbreviations!C32&amp;"_"&amp;[1]Abbreviations!D32&amp;"_"&amp;[1]Abbreviations!E32&amp;""</f>
        <v>CC_CT_15_FS</v>
      </c>
      <c r="B31" s="72" t="s">
        <v>159</v>
      </c>
      <c r="C31">
        <v>89.5</v>
      </c>
      <c r="D31">
        <v>160.6</v>
      </c>
      <c r="E31">
        <v>139.69999999999999</v>
      </c>
      <c r="F31">
        <f>0.091</f>
        <v>9.0999999999999998E-2</v>
      </c>
      <c r="G31" s="23">
        <f t="shared" si="1"/>
        <v>963.44015554999987</v>
      </c>
      <c r="H31">
        <v>4.5999999999999999E-3</v>
      </c>
    </row>
    <row r="32" spans="1:14">
      <c r="A32" s="72" t="str">
        <f>[1]Abbreviations!B33&amp;"_"&amp;[1]Abbreviations!C33&amp;"_"&amp;[1]Abbreviations!D33&amp;"_"&amp;[1]Abbreviations!E33&amp;""</f>
        <v>CC_CT_15_GW</v>
      </c>
      <c r="B32" s="72" t="s">
        <v>160</v>
      </c>
      <c r="C32">
        <v>89.5</v>
      </c>
      <c r="D32">
        <v>160.6</v>
      </c>
      <c r="E32">
        <v>139.69999999999999</v>
      </c>
      <c r="F32">
        <f>1.373</f>
        <v>1.373</v>
      </c>
      <c r="G32" s="23">
        <f t="shared" si="1"/>
        <v>966.6080416499999</v>
      </c>
      <c r="H32">
        <v>4.4000000000000003E-3</v>
      </c>
    </row>
    <row r="33" spans="1:9">
      <c r="A33" s="72" t="str">
        <f>[1]Abbreviations!B34&amp;"_"&amp;[1]Abbreviations!C34&amp;"_"&amp;[1]Abbreviations!D34&amp;"_"&amp;[1]Abbreviations!E34&amp;""</f>
        <v>CC_RTF_15_NA</v>
      </c>
      <c r="B33" s="72" t="s">
        <v>161</v>
      </c>
      <c r="C33">
        <v>89.5</v>
      </c>
      <c r="D33">
        <v>169.3</v>
      </c>
      <c r="E33">
        <v>139.69999999999999</v>
      </c>
      <c r="F33">
        <v>0</v>
      </c>
      <c r="G33" s="23">
        <f t="shared" si="1"/>
        <v>984.71342500000003</v>
      </c>
      <c r="H33">
        <v>0</v>
      </c>
    </row>
    <row r="34" spans="1:9">
      <c r="A34" s="72" t="str">
        <f>[1]Abbreviations!B35&amp;"_"&amp;[1]Abbreviations!C35&amp;"_"&amp;[1]Abbreviations!D35&amp;"_"&amp;[1]Abbreviations!E35&amp;""</f>
        <v>CC_RTF_15_FS</v>
      </c>
      <c r="B34" s="72" t="s">
        <v>162</v>
      </c>
      <c r="C34">
        <v>89.5</v>
      </c>
      <c r="D34" s="72">
        <v>169.3</v>
      </c>
      <c r="E34" s="72">
        <v>139.69999999999999</v>
      </c>
      <c r="F34">
        <f>0.091</f>
        <v>9.0999999999999998E-2</v>
      </c>
      <c r="G34" s="23">
        <f t="shared" si="1"/>
        <v>984.93829055000003</v>
      </c>
      <c r="H34" s="72">
        <v>4.5999999999999999E-3</v>
      </c>
      <c r="I34" s="72"/>
    </row>
    <row r="35" spans="1:9">
      <c r="A35" s="72" t="str">
        <f>[1]Abbreviations!B36&amp;"_"&amp;[1]Abbreviations!C36&amp;"_"&amp;[1]Abbreviations!D36&amp;"_"&amp;[1]Abbreviations!E36&amp;""</f>
        <v>CC_RTF_15_GW</v>
      </c>
      <c r="B35" s="72" t="s">
        <v>163</v>
      </c>
      <c r="C35">
        <v>89.5</v>
      </c>
      <c r="D35" s="72">
        <v>169.3</v>
      </c>
      <c r="E35" s="72">
        <v>139.69999999999999</v>
      </c>
      <c r="F35">
        <f>1.373</f>
        <v>1.373</v>
      </c>
      <c r="G35" s="23">
        <f t="shared" si="1"/>
        <v>988.10617664999995</v>
      </c>
      <c r="H35" s="72">
        <v>4.4000000000000003E-3</v>
      </c>
      <c r="I35" s="72"/>
    </row>
    <row r="36" spans="1:9">
      <c r="A36" s="72" t="str">
        <f>[1]Abbreviations!B37&amp;"_"&amp;[1]Abbreviations!C37&amp;"_"&amp;[1]Abbreviations!D37&amp;"_"&amp;[1]Abbreviations!E37&amp;""</f>
        <v>CC_RTF+NTS_15_NA</v>
      </c>
      <c r="B36" s="72" t="s">
        <v>164</v>
      </c>
      <c r="C36">
        <v>89.5</v>
      </c>
      <c r="D36" s="72">
        <v>162.19999999999999</v>
      </c>
      <c r="E36" s="72">
        <v>139.69999999999999</v>
      </c>
      <c r="F36" s="72">
        <v>0</v>
      </c>
      <c r="G36" s="23">
        <f t="shared" si="1"/>
        <v>967.16896999999994</v>
      </c>
      <c r="H36" s="72">
        <v>0</v>
      </c>
      <c r="I36" s="72"/>
    </row>
    <row r="37" spans="1:9">
      <c r="A37" s="72" t="str">
        <f>[1]Abbreviations!B38&amp;"_"&amp;[1]Abbreviations!C38&amp;"_"&amp;[1]Abbreviations!D38&amp;"_"&amp;[1]Abbreviations!E38&amp;""</f>
        <v>CC_RTF+NTS_15_FS</v>
      </c>
      <c r="B37" s="72" t="s">
        <v>165</v>
      </c>
      <c r="C37">
        <v>89.5</v>
      </c>
      <c r="D37" s="72">
        <v>162.19999999999999</v>
      </c>
      <c r="E37" s="72">
        <v>139.69999999999999</v>
      </c>
      <c r="F37">
        <f>0.091</f>
        <v>9.0999999999999998E-2</v>
      </c>
      <c r="G37" s="23">
        <f t="shared" si="1"/>
        <v>967.39383554999995</v>
      </c>
      <c r="H37" s="72">
        <v>4.5999999999999999E-3</v>
      </c>
      <c r="I37" s="72"/>
    </row>
    <row r="38" spans="1:9">
      <c r="A38" s="72" t="str">
        <f>[1]Abbreviations!B39&amp;"_"&amp;[1]Abbreviations!C39&amp;"_"&amp;[1]Abbreviations!D39&amp;"_"&amp;[1]Abbreviations!E39&amp;""</f>
        <v>CC_RTF+NTS_15_GW</v>
      </c>
      <c r="B38" s="72" t="s">
        <v>166</v>
      </c>
      <c r="C38">
        <v>89.5</v>
      </c>
      <c r="D38" s="72">
        <v>162.19999999999999</v>
      </c>
      <c r="E38" s="72">
        <v>139.69999999999999</v>
      </c>
      <c r="F38">
        <f>1.373</f>
        <v>1.373</v>
      </c>
      <c r="G38" s="23">
        <f t="shared" si="1"/>
        <v>970.56172164999987</v>
      </c>
      <c r="H38" s="72">
        <v>4.4000000000000003E-3</v>
      </c>
      <c r="I38" s="72"/>
    </row>
    <row r="39" spans="1:9">
      <c r="A39" s="72" t="str">
        <f>[1]Abbreviations!B40&amp;"_"&amp;[1]Abbreviations!C40&amp;"_"&amp;[1]Abbreviations!D40&amp;"_"&amp;[1]Abbreviations!E40&amp;""</f>
        <v>noCC_CT_30_NA</v>
      </c>
      <c r="B39" s="72" t="s">
        <v>167</v>
      </c>
      <c r="C39" s="72">
        <v>51.8</v>
      </c>
      <c r="D39" s="72">
        <v>160.6</v>
      </c>
      <c r="E39" s="72">
        <f>132.9</f>
        <v>132.9</v>
      </c>
      <c r="F39" s="72">
        <v>0</v>
      </c>
      <c r="G39" s="23">
        <f t="shared" si="1"/>
        <v>853.25356499999987</v>
      </c>
      <c r="H39" s="72">
        <v>0</v>
      </c>
      <c r="I39" s="72"/>
    </row>
    <row r="40" spans="1:9">
      <c r="A40" s="72" t="str">
        <f>[1]Abbreviations!B41&amp;"_"&amp;[1]Abbreviations!C41&amp;"_"&amp;[1]Abbreviations!D41&amp;"_"&amp;[1]Abbreviations!E41&amp;""</f>
        <v>noCC_CT_30_FS</v>
      </c>
      <c r="B40" s="72" t="s">
        <v>168</v>
      </c>
      <c r="C40" s="72">
        <v>51.8</v>
      </c>
      <c r="D40" s="72">
        <v>160.6</v>
      </c>
      <c r="E40" s="72">
        <f t="shared" ref="E40:E56" si="3">132.9</f>
        <v>132.9</v>
      </c>
      <c r="F40">
        <f>0.091</f>
        <v>9.0999999999999998E-2</v>
      </c>
      <c r="G40" s="23">
        <f t="shared" si="1"/>
        <v>853.47843054999987</v>
      </c>
      <c r="H40" s="72">
        <v>4.5999999999999999E-3</v>
      </c>
      <c r="I40" s="72"/>
    </row>
    <row r="41" spans="1:9">
      <c r="A41" s="72" t="str">
        <f>[1]Abbreviations!B42&amp;"_"&amp;[1]Abbreviations!C42&amp;"_"&amp;[1]Abbreviations!D42&amp;"_"&amp;[1]Abbreviations!E42&amp;""</f>
        <v>noCC_CT_30_GW</v>
      </c>
      <c r="B41" s="72" t="s">
        <v>169</v>
      </c>
      <c r="C41" s="72">
        <v>51.8</v>
      </c>
      <c r="D41" s="72">
        <v>160.6</v>
      </c>
      <c r="E41" s="72">
        <f t="shared" si="3"/>
        <v>132.9</v>
      </c>
      <c r="F41">
        <f>1.373</f>
        <v>1.373</v>
      </c>
      <c r="G41" s="23">
        <f t="shared" si="1"/>
        <v>856.6463166499999</v>
      </c>
      <c r="H41" s="72">
        <v>4.4000000000000003E-3</v>
      </c>
      <c r="I41" s="72"/>
    </row>
    <row r="42" spans="1:9">
      <c r="A42" s="72" t="str">
        <f>[1]Abbreviations!B43&amp;"_"&amp;[1]Abbreviations!C43&amp;"_"&amp;[1]Abbreviations!D43&amp;"_"&amp;[1]Abbreviations!E43&amp;""</f>
        <v>noCC_RTF_30_NA</v>
      </c>
      <c r="B42" s="72" t="s">
        <v>170</v>
      </c>
      <c r="C42" s="72">
        <v>51.8</v>
      </c>
      <c r="D42" s="72">
        <v>169.3</v>
      </c>
      <c r="E42" s="72">
        <f t="shared" si="3"/>
        <v>132.9</v>
      </c>
      <c r="F42" s="72">
        <v>0</v>
      </c>
      <c r="G42" s="23">
        <f t="shared" si="1"/>
        <v>874.75170000000003</v>
      </c>
      <c r="H42" s="72">
        <v>0</v>
      </c>
      <c r="I42" s="72"/>
    </row>
    <row r="43" spans="1:9">
      <c r="A43" s="72" t="str">
        <f>[1]Abbreviations!B44&amp;"_"&amp;[1]Abbreviations!C44&amp;"_"&amp;[1]Abbreviations!D44&amp;"_"&amp;[1]Abbreviations!E44&amp;""</f>
        <v>noCC_RTF_30_FS</v>
      </c>
      <c r="B43" s="72" t="s">
        <v>171</v>
      </c>
      <c r="C43" s="72">
        <v>51.8</v>
      </c>
      <c r="D43" s="72">
        <v>169.3</v>
      </c>
      <c r="E43" s="72">
        <f t="shared" si="3"/>
        <v>132.9</v>
      </c>
      <c r="F43">
        <f>0.091</f>
        <v>9.0999999999999998E-2</v>
      </c>
      <c r="G43" s="23">
        <f t="shared" si="1"/>
        <v>874.97656555000003</v>
      </c>
      <c r="H43" s="72">
        <v>4.5999999999999999E-3</v>
      </c>
      <c r="I43" s="72"/>
    </row>
    <row r="44" spans="1:9">
      <c r="A44" s="72" t="str">
        <f>[1]Abbreviations!B45&amp;"_"&amp;[1]Abbreviations!C45&amp;"_"&amp;[1]Abbreviations!D45&amp;"_"&amp;[1]Abbreviations!E45&amp;""</f>
        <v>noCC_RTF_30_GW</v>
      </c>
      <c r="B44" s="72" t="s">
        <v>172</v>
      </c>
      <c r="C44" s="72">
        <v>51.8</v>
      </c>
      <c r="D44" s="72">
        <v>169.3</v>
      </c>
      <c r="E44" s="72">
        <f t="shared" si="3"/>
        <v>132.9</v>
      </c>
      <c r="F44">
        <f>1.373</f>
        <v>1.373</v>
      </c>
      <c r="G44" s="23">
        <f t="shared" si="1"/>
        <v>878.14445164999995</v>
      </c>
      <c r="H44" s="72">
        <v>4.4000000000000003E-3</v>
      </c>
      <c r="I44" s="72"/>
    </row>
    <row r="45" spans="1:9">
      <c r="A45" s="72" t="str">
        <f>[1]Abbreviations!B46&amp;"_"&amp;[1]Abbreviations!C46&amp;"_"&amp;[1]Abbreviations!D46&amp;"_"&amp;[1]Abbreviations!E46&amp;""</f>
        <v>noCC_RTF+NTS_30_NA</v>
      </c>
      <c r="B45" s="72" t="s">
        <v>173</v>
      </c>
      <c r="C45" s="72">
        <v>51.8</v>
      </c>
      <c r="D45" s="72">
        <v>162.19999999999999</v>
      </c>
      <c r="E45" s="72">
        <f t="shared" si="3"/>
        <v>132.9</v>
      </c>
      <c r="F45" s="72">
        <v>0</v>
      </c>
      <c r="G45" s="23">
        <f t="shared" si="1"/>
        <v>857.20724499999994</v>
      </c>
      <c r="H45" s="72">
        <v>0</v>
      </c>
      <c r="I45" s="72"/>
    </row>
    <row r="46" spans="1:9">
      <c r="A46" s="72" t="str">
        <f>[1]Abbreviations!B47&amp;"_"&amp;[1]Abbreviations!C47&amp;"_"&amp;[1]Abbreviations!D47&amp;"_"&amp;[1]Abbreviations!E47&amp;""</f>
        <v>noCC_RTF+NTS_30_FS</v>
      </c>
      <c r="B46" s="72" t="s">
        <v>174</v>
      </c>
      <c r="C46" s="72">
        <v>51.8</v>
      </c>
      <c r="D46" s="72">
        <v>162.19999999999999</v>
      </c>
      <c r="E46" s="72">
        <f t="shared" si="3"/>
        <v>132.9</v>
      </c>
      <c r="F46">
        <f>0.091</f>
        <v>9.0999999999999998E-2</v>
      </c>
      <c r="G46" s="23">
        <f t="shared" si="1"/>
        <v>857.43211054999995</v>
      </c>
      <c r="H46" s="72">
        <v>4.5999999999999999E-3</v>
      </c>
      <c r="I46" s="72"/>
    </row>
    <row r="47" spans="1:9">
      <c r="A47" s="72" t="str">
        <f>[1]Abbreviations!B48&amp;"_"&amp;[1]Abbreviations!C48&amp;"_"&amp;[1]Abbreviations!D48&amp;"_"&amp;[1]Abbreviations!E48&amp;""</f>
        <v>noCC_RTF+NTS_30_GW</v>
      </c>
      <c r="B47" s="72" t="s">
        <v>175</v>
      </c>
      <c r="C47" s="72">
        <v>51.8</v>
      </c>
      <c r="D47" s="72">
        <v>162.19999999999999</v>
      </c>
      <c r="E47" s="72">
        <f t="shared" si="3"/>
        <v>132.9</v>
      </c>
      <c r="F47">
        <f>1.373</f>
        <v>1.373</v>
      </c>
      <c r="G47" s="23">
        <f t="shared" si="1"/>
        <v>860.59999664999987</v>
      </c>
      <c r="H47" s="72">
        <v>4.4000000000000003E-3</v>
      </c>
      <c r="I47" s="72"/>
    </row>
    <row r="48" spans="1:9">
      <c r="A48" s="72" t="str">
        <f>[1]Abbreviations!B49&amp;"_"&amp;[1]Abbreviations!C49&amp;"_"&amp;[1]Abbreviations!D49&amp;"_"&amp;[1]Abbreviations!E49&amp;""</f>
        <v>CC_CT_30_NA</v>
      </c>
      <c r="B48" s="72" t="s">
        <v>176</v>
      </c>
      <c r="C48">
        <v>89.5</v>
      </c>
      <c r="D48" s="72">
        <v>160.6</v>
      </c>
      <c r="E48" s="72">
        <f t="shared" si="3"/>
        <v>132.9</v>
      </c>
      <c r="F48" s="72">
        <v>0</v>
      </c>
      <c r="G48" s="23">
        <f t="shared" si="1"/>
        <v>946.41215</v>
      </c>
      <c r="H48" s="72">
        <v>0</v>
      </c>
      <c r="I48" s="72"/>
    </row>
    <row r="49" spans="1:9">
      <c r="A49" s="72" t="str">
        <f>[1]Abbreviations!B50&amp;"_"&amp;[1]Abbreviations!C50&amp;"_"&amp;[1]Abbreviations!D50&amp;"_"&amp;[1]Abbreviations!E50&amp;""</f>
        <v>CC_CT_30_FS</v>
      </c>
      <c r="B49" s="72" t="s">
        <v>177</v>
      </c>
      <c r="C49">
        <v>89.5</v>
      </c>
      <c r="D49" s="72">
        <v>160.6</v>
      </c>
      <c r="E49" s="72">
        <f t="shared" si="3"/>
        <v>132.9</v>
      </c>
      <c r="F49">
        <f>0.091</f>
        <v>9.0999999999999998E-2</v>
      </c>
      <c r="G49" s="23">
        <f t="shared" si="1"/>
        <v>946.63701555</v>
      </c>
      <c r="H49" s="72">
        <v>4.5999999999999999E-3</v>
      </c>
      <c r="I49" s="72"/>
    </row>
    <row r="50" spans="1:9">
      <c r="A50" s="72" t="str">
        <f>[1]Abbreviations!B51&amp;"_"&amp;[1]Abbreviations!C51&amp;"_"&amp;[1]Abbreviations!D51&amp;"_"&amp;[1]Abbreviations!E51&amp;""</f>
        <v>CC_CT_30_GW</v>
      </c>
      <c r="B50" s="72" t="s">
        <v>178</v>
      </c>
      <c r="C50">
        <v>89.5</v>
      </c>
      <c r="D50" s="72">
        <v>160.6</v>
      </c>
      <c r="E50" s="72">
        <f t="shared" si="3"/>
        <v>132.9</v>
      </c>
      <c r="F50">
        <f>1.373</f>
        <v>1.373</v>
      </c>
      <c r="G50" s="23">
        <f t="shared" si="1"/>
        <v>949.80490164999992</v>
      </c>
      <c r="H50" s="72">
        <v>4.4000000000000003E-3</v>
      </c>
      <c r="I50" s="72"/>
    </row>
    <row r="51" spans="1:9">
      <c r="A51" s="72" t="str">
        <f>[1]Abbreviations!B52&amp;"_"&amp;[1]Abbreviations!C52&amp;"_"&amp;[1]Abbreviations!D52&amp;"_"&amp;[1]Abbreviations!E52&amp;""</f>
        <v>CC_RTF_30_NA</v>
      </c>
      <c r="B51" s="72" t="s">
        <v>179</v>
      </c>
      <c r="C51">
        <v>89.5</v>
      </c>
      <c r="D51" s="72">
        <v>169.3</v>
      </c>
      <c r="E51" s="72">
        <f t="shared" si="3"/>
        <v>132.9</v>
      </c>
      <c r="F51" s="72">
        <v>0</v>
      </c>
      <c r="G51" s="23">
        <f t="shared" si="1"/>
        <v>967.91028500000004</v>
      </c>
      <c r="H51" s="72">
        <v>0</v>
      </c>
      <c r="I51" s="72"/>
    </row>
    <row r="52" spans="1:9">
      <c r="A52" s="72" t="str">
        <f>[1]Abbreviations!B53&amp;"_"&amp;[1]Abbreviations!C53&amp;"_"&amp;[1]Abbreviations!D53&amp;"_"&amp;[1]Abbreviations!E53&amp;""</f>
        <v>CC_RTF_30_FS</v>
      </c>
      <c r="B52" s="72" t="s">
        <v>180</v>
      </c>
      <c r="C52">
        <v>89.5</v>
      </c>
      <c r="D52" s="72">
        <v>169.3</v>
      </c>
      <c r="E52" s="72">
        <f t="shared" si="3"/>
        <v>132.9</v>
      </c>
      <c r="F52">
        <f>0.091</f>
        <v>9.0999999999999998E-2</v>
      </c>
      <c r="G52" s="23">
        <f t="shared" si="1"/>
        <v>968.13515055000016</v>
      </c>
      <c r="H52" s="72">
        <v>4.5999999999999999E-3</v>
      </c>
      <c r="I52" s="72"/>
    </row>
    <row r="53" spans="1:9">
      <c r="A53" s="72" t="str">
        <f>[1]Abbreviations!B54&amp;"_"&amp;[1]Abbreviations!C54&amp;"_"&amp;[1]Abbreviations!D54&amp;"_"&amp;[1]Abbreviations!E54&amp;""</f>
        <v>CC_RTF_30_GW</v>
      </c>
      <c r="B53" s="72" t="s">
        <v>181</v>
      </c>
      <c r="C53">
        <v>89.5</v>
      </c>
      <c r="D53" s="72">
        <v>169.3</v>
      </c>
      <c r="E53" s="72">
        <f t="shared" si="3"/>
        <v>132.9</v>
      </c>
      <c r="F53">
        <f>1.373</f>
        <v>1.373</v>
      </c>
      <c r="G53" s="23">
        <f t="shared" si="1"/>
        <v>971.30303665000008</v>
      </c>
      <c r="H53" s="72">
        <v>4.4000000000000003E-3</v>
      </c>
      <c r="I53" s="72"/>
    </row>
    <row r="54" spans="1:9">
      <c r="A54" s="72" t="str">
        <f>[1]Abbreviations!B55&amp;"_"&amp;[1]Abbreviations!C55&amp;"_"&amp;[1]Abbreviations!D55&amp;"_"&amp;[1]Abbreviations!E55&amp;""</f>
        <v>CC_RTF+NTS_30_NA</v>
      </c>
      <c r="B54" s="72" t="s">
        <v>182</v>
      </c>
      <c r="C54">
        <v>89.5</v>
      </c>
      <c r="D54" s="72">
        <v>162.19999999999999</v>
      </c>
      <c r="E54" s="72">
        <f t="shared" si="3"/>
        <v>132.9</v>
      </c>
      <c r="F54" s="72">
        <v>0</v>
      </c>
      <c r="G54" s="23">
        <f t="shared" si="1"/>
        <v>950.36583000000007</v>
      </c>
      <c r="H54" s="72">
        <v>0</v>
      </c>
      <c r="I54" s="72"/>
    </row>
    <row r="55" spans="1:9">
      <c r="A55" s="72" t="str">
        <f>[1]Abbreviations!B56&amp;"_"&amp;[1]Abbreviations!C56&amp;"_"&amp;[1]Abbreviations!D56&amp;"_"&amp;[1]Abbreviations!E56&amp;""</f>
        <v>CC_RTF+NTS_30_FS</v>
      </c>
      <c r="B55" s="72" t="s">
        <v>183</v>
      </c>
      <c r="C55">
        <v>89.5</v>
      </c>
      <c r="D55" s="72">
        <v>162.19999999999999</v>
      </c>
      <c r="E55" s="72">
        <f t="shared" si="3"/>
        <v>132.9</v>
      </c>
      <c r="F55">
        <f>0.091</f>
        <v>9.0999999999999998E-2</v>
      </c>
      <c r="G55" s="23">
        <f t="shared" si="1"/>
        <v>950.59069555000008</v>
      </c>
      <c r="H55" s="72">
        <v>4.5999999999999999E-3</v>
      </c>
      <c r="I55" s="72"/>
    </row>
    <row r="56" spans="1:9">
      <c r="A56" s="72" t="str">
        <f>[1]Abbreviations!B57&amp;"_"&amp;[1]Abbreviations!C57&amp;"_"&amp;[1]Abbreviations!D57&amp;"_"&amp;[1]Abbreviations!E57&amp;""</f>
        <v>CC_RTF+NTS_30_GW</v>
      </c>
      <c r="B56" s="72" t="s">
        <v>184</v>
      </c>
      <c r="C56">
        <v>89.5</v>
      </c>
      <c r="D56" s="72">
        <v>162.19999999999999</v>
      </c>
      <c r="E56" s="72">
        <f t="shared" si="3"/>
        <v>132.9</v>
      </c>
      <c r="F56">
        <f>1.373</f>
        <v>1.373</v>
      </c>
      <c r="G56" s="23">
        <f t="shared" si="1"/>
        <v>953.75858165</v>
      </c>
      <c r="H56" s="72">
        <v>4.4000000000000003E-3</v>
      </c>
      <c r="I56" s="72"/>
    </row>
    <row r="57" spans="1:9">
      <c r="A57" s="67" t="str">
        <f>[1]Abbreviations!B58&amp;"_"&amp;[1]Abbreviations!C58&amp;"_"&amp;[1]Abbreviations!D58&amp;"_"&amp;[1]Abbreviations!E58&amp;""</f>
        <v>PG_NT_NA_NA</v>
      </c>
      <c r="B57" s="67" t="s">
        <v>185</v>
      </c>
      <c r="C57" s="67"/>
      <c r="D57" s="67"/>
      <c r="E57" s="67"/>
      <c r="F57" s="67"/>
      <c r="G57" s="23">
        <f>474.65*2.47105</f>
        <v>1172.8838825</v>
      </c>
      <c r="H57" s="67">
        <v>0</v>
      </c>
    </row>
    <row r="58" spans="1:9">
      <c r="A58" s="72"/>
      <c r="B58" s="72" t="s">
        <v>262</v>
      </c>
      <c r="C58">
        <v>51.8</v>
      </c>
      <c r="D58">
        <v>160.6</v>
      </c>
      <c r="E58">
        <f t="shared" ref="E58:E61" si="4">146.4</f>
        <v>146.4</v>
      </c>
      <c r="F58">
        <v>0</v>
      </c>
      <c r="G58" s="23">
        <f t="shared" ref="G58:G61" si="5">SUM(C58:F58)*2.47105</f>
        <v>886.61273999999992</v>
      </c>
      <c r="H58">
        <v>0</v>
      </c>
    </row>
    <row r="59" spans="1:9">
      <c r="A59" s="72"/>
      <c r="B59" s="72" t="s">
        <v>263</v>
      </c>
      <c r="C59">
        <v>51.8</v>
      </c>
      <c r="D59">
        <v>160.6</v>
      </c>
      <c r="E59">
        <f t="shared" si="4"/>
        <v>146.4</v>
      </c>
      <c r="F59">
        <v>0</v>
      </c>
      <c r="G59" s="23">
        <f t="shared" si="5"/>
        <v>886.61273999999992</v>
      </c>
      <c r="H59">
        <v>0</v>
      </c>
    </row>
    <row r="60" spans="1:9">
      <c r="A60" s="72"/>
      <c r="B60" s="72" t="s">
        <v>264</v>
      </c>
      <c r="C60">
        <v>51.8</v>
      </c>
      <c r="D60">
        <v>160.6</v>
      </c>
      <c r="E60">
        <f t="shared" si="4"/>
        <v>146.4</v>
      </c>
      <c r="F60">
        <v>0</v>
      </c>
      <c r="G60" s="23">
        <f t="shared" si="5"/>
        <v>886.61273999999992</v>
      </c>
      <c r="H60">
        <v>0</v>
      </c>
    </row>
    <row r="61" spans="1:9">
      <c r="A61" s="72"/>
      <c r="B61" s="72" t="s">
        <v>265</v>
      </c>
      <c r="C61">
        <v>51.8</v>
      </c>
      <c r="D61">
        <v>160.6</v>
      </c>
      <c r="E61">
        <f t="shared" si="4"/>
        <v>146.4</v>
      </c>
      <c r="F61">
        <v>0</v>
      </c>
      <c r="G61" s="23">
        <f t="shared" si="5"/>
        <v>886.61273999999992</v>
      </c>
      <c r="H61">
        <v>0</v>
      </c>
    </row>
    <row r="62" spans="1:9">
      <c r="A62" s="72"/>
      <c r="B62" s="72" t="s">
        <v>266</v>
      </c>
      <c r="C62">
        <v>51.8</v>
      </c>
      <c r="D62">
        <v>160.6</v>
      </c>
      <c r="E62">
        <f t="shared" ref="E62:E63" si="6">146.4</f>
        <v>146.4</v>
      </c>
      <c r="F62">
        <v>0</v>
      </c>
      <c r="G62" s="23">
        <f t="shared" ref="G62:G63" si="7">SUM(C62:F62)*2.47105</f>
        <v>886.61273999999992</v>
      </c>
      <c r="H62">
        <v>0</v>
      </c>
    </row>
    <row r="63" spans="1:9">
      <c r="B63" s="72" t="s">
        <v>267</v>
      </c>
      <c r="C63">
        <v>51.8</v>
      </c>
      <c r="D63">
        <v>160.6</v>
      </c>
      <c r="E63">
        <f t="shared" si="6"/>
        <v>146.4</v>
      </c>
      <c r="F63">
        <v>0</v>
      </c>
      <c r="G63" s="23">
        <f t="shared" si="7"/>
        <v>886.61273999999992</v>
      </c>
      <c r="H63">
        <v>0</v>
      </c>
    </row>
    <row r="64" spans="1:9">
      <c r="G64" s="23"/>
    </row>
    <row r="65" spans="7:7">
      <c r="G65" s="23"/>
    </row>
    <row r="66" spans="7:7">
      <c r="G66" s="23"/>
    </row>
    <row r="67" spans="7:7">
      <c r="G67" s="23"/>
    </row>
    <row r="68" spans="7:7">
      <c r="G68" s="23"/>
    </row>
    <row r="69" spans="7:7">
      <c r="G69" s="23"/>
    </row>
    <row r="70" spans="7:7">
      <c r="G70" s="23"/>
    </row>
    <row r="71" spans="7:7">
      <c r="G71" s="23"/>
    </row>
    <row r="72" spans="7:7">
      <c r="G72" s="23"/>
    </row>
    <row r="73" spans="7:7">
      <c r="G73" s="23"/>
    </row>
    <row r="74" spans="7:7">
      <c r="G74" s="23"/>
    </row>
    <row r="75" spans="7:7">
      <c r="G75" s="23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0924-A2C3-4BBE-87B9-F13BA548C2AF}">
  <dimension ref="A1:N75"/>
  <sheetViews>
    <sheetView topLeftCell="A28" workbookViewId="0">
      <selection activeCell="G57" sqref="G57"/>
    </sheetView>
  </sheetViews>
  <sheetFormatPr defaultColWidth="9.140625" defaultRowHeight="15"/>
  <cols>
    <col min="1" max="1" width="22.5703125" bestFit="1" customWidth="1"/>
    <col min="2" max="2" width="17.85546875" bestFit="1" customWidth="1"/>
    <col min="3" max="3" width="16.140625" bestFit="1" customWidth="1"/>
    <col min="4" max="4" width="14.42578125" bestFit="1" customWidth="1"/>
    <col min="5" max="5" width="16.5703125" bestFit="1" customWidth="1"/>
    <col min="6" max="6" width="14.85546875" bestFit="1" customWidth="1"/>
    <col min="7" max="7" width="11.28515625" bestFit="1" customWidth="1"/>
    <col min="8" max="8" width="7" bestFit="1" customWidth="1"/>
    <col min="9" max="9" width="20.7109375" bestFit="1" customWidth="1"/>
    <col min="10" max="11" width="19.28515625" bestFit="1" customWidth="1"/>
    <col min="12" max="12" width="26.5703125" bestFit="1" customWidth="1"/>
    <col min="13" max="14" width="17.28515625" bestFit="1" customWidth="1"/>
  </cols>
  <sheetData>
    <row r="1" spans="1:14" s="61" customFormat="1" ht="36.75" customHeight="1">
      <c r="A1" s="64" t="s">
        <v>116</v>
      </c>
      <c r="B1" s="64" t="s">
        <v>116</v>
      </c>
      <c r="C1" s="64" t="s">
        <v>124</v>
      </c>
      <c r="D1" s="64" t="s">
        <v>125</v>
      </c>
      <c r="E1" s="68" t="s">
        <v>126</v>
      </c>
      <c r="F1" s="64" t="s">
        <v>127</v>
      </c>
      <c r="G1" s="64" t="s">
        <v>129</v>
      </c>
      <c r="H1" s="64" t="s">
        <v>128</v>
      </c>
      <c r="I1" s="69" t="s">
        <v>117</v>
      </c>
      <c r="J1" s="65" t="s">
        <v>118</v>
      </c>
      <c r="K1" s="65" t="s">
        <v>119</v>
      </c>
      <c r="L1" s="66" t="s">
        <v>120</v>
      </c>
      <c r="M1" s="66" t="s">
        <v>121</v>
      </c>
      <c r="N1" s="66" t="s">
        <v>122</v>
      </c>
    </row>
    <row r="2" spans="1:14">
      <c r="A2" t="s">
        <v>123</v>
      </c>
      <c r="B2" t="s">
        <v>130</v>
      </c>
      <c r="C2">
        <v>40.5</v>
      </c>
      <c r="D2">
        <v>100.7</v>
      </c>
      <c r="E2">
        <v>0</v>
      </c>
      <c r="F2">
        <v>0</v>
      </c>
      <c r="G2" s="23">
        <f>SUM(C2:F2)*2.47105</f>
        <v>348.91225999999995</v>
      </c>
      <c r="H2">
        <v>0</v>
      </c>
      <c r="I2" t="s">
        <v>187</v>
      </c>
      <c r="J2" s="71">
        <v>332668.2585</v>
      </c>
      <c r="K2" t="s">
        <v>188</v>
      </c>
    </row>
    <row r="3" spans="1:14">
      <c r="A3" t="str">
        <f>[1]Abbreviations!B4&amp;"_"&amp;[1]Abbreviations!C4&amp;"_"&amp;[1]Abbreviations!D4&amp;"_"&amp;[1]Abbreviations!E4&amp;""</f>
        <v>noCC_CT_0_NA</v>
      </c>
      <c r="B3" t="s">
        <v>131</v>
      </c>
      <c r="C3">
        <v>40.5</v>
      </c>
      <c r="D3">
        <v>100.7</v>
      </c>
      <c r="E3">
        <v>0</v>
      </c>
      <c r="F3">
        <v>0</v>
      </c>
      <c r="G3" s="23">
        <f>SUM(C3:F3)*2.47105</f>
        <v>348.91225999999995</v>
      </c>
      <c r="H3">
        <v>0</v>
      </c>
      <c r="I3" t="s">
        <v>190</v>
      </c>
      <c r="J3" s="71">
        <f>G2*J2</f>
        <v>116072033.90349919</v>
      </c>
      <c r="K3" t="s">
        <v>189</v>
      </c>
    </row>
    <row r="4" spans="1:14">
      <c r="A4" t="str">
        <f>[1]Abbreviations!B5&amp;"_"&amp;[1]Abbreviations!C5&amp;"_"&amp;[1]Abbreviations!D5&amp;"_"&amp;[1]Abbreviations!E5&amp;""</f>
        <v>noCC_CT_0_FS</v>
      </c>
      <c r="B4" t="s">
        <v>132</v>
      </c>
      <c r="C4">
        <v>40.5</v>
      </c>
      <c r="D4">
        <v>100.7</v>
      </c>
      <c r="E4">
        <v>0</v>
      </c>
      <c r="F4">
        <f>0.091</f>
        <v>9.0999999999999998E-2</v>
      </c>
      <c r="G4" s="23">
        <f t="shared" ref="G4:G56" si="0">SUM(C4:F4)*2.47105</f>
        <v>349.13712555000001</v>
      </c>
      <c r="H4">
        <v>4.5999999999999999E-3</v>
      </c>
      <c r="J4" s="70">
        <f>J2*G2</f>
        <v>116072033.90349919</v>
      </c>
    </row>
    <row r="5" spans="1:14">
      <c r="A5" t="str">
        <f>[1]Abbreviations!B6&amp;"_"&amp;[1]Abbreviations!C6&amp;"_"&amp;[1]Abbreviations!D6&amp;"_"&amp;[1]Abbreviations!E6&amp;""</f>
        <v>noCC_CT_0_GW</v>
      </c>
      <c r="B5" t="s">
        <v>133</v>
      </c>
      <c r="C5">
        <v>40.5</v>
      </c>
      <c r="D5">
        <v>100.7</v>
      </c>
      <c r="E5">
        <v>0</v>
      </c>
      <c r="F5">
        <f>1.373</f>
        <v>1.373</v>
      </c>
      <c r="G5" s="23">
        <f t="shared" si="0"/>
        <v>352.30501164999993</v>
      </c>
      <c r="H5">
        <v>4.4000000000000003E-3</v>
      </c>
    </row>
    <row r="6" spans="1:14">
      <c r="A6" t="str">
        <f>[1]Abbreviations!B7&amp;"_"&amp;[1]Abbreviations!C7&amp;"_"&amp;[1]Abbreviations!D7&amp;"_"&amp;[1]Abbreviations!E7&amp;""</f>
        <v>noCC_RTF_0_NA</v>
      </c>
      <c r="B6" t="s">
        <v>134</v>
      </c>
      <c r="C6">
        <v>40.5</v>
      </c>
      <c r="D6">
        <v>100.7</v>
      </c>
      <c r="E6">
        <v>0</v>
      </c>
      <c r="F6">
        <v>0</v>
      </c>
      <c r="G6" s="23">
        <f t="shared" si="0"/>
        <v>348.91225999999995</v>
      </c>
      <c r="H6">
        <v>0</v>
      </c>
      <c r="J6" s="71">
        <f>G2+Crop_corn!G2</f>
        <v>1235.5249999999999</v>
      </c>
    </row>
    <row r="7" spans="1:14">
      <c r="A7" t="str">
        <f>[1]Abbreviations!B8&amp;"_"&amp;[1]Abbreviations!C8&amp;"_"&amp;[1]Abbreviations!D8&amp;"_"&amp;[1]Abbreviations!E8&amp;""</f>
        <v>noCC_RTF_0_FS</v>
      </c>
      <c r="B7" t="s">
        <v>135</v>
      </c>
      <c r="C7">
        <v>40.5</v>
      </c>
      <c r="D7">
        <v>100.7</v>
      </c>
      <c r="E7">
        <v>0</v>
      </c>
      <c r="F7">
        <f>0.091</f>
        <v>9.0999999999999998E-2</v>
      </c>
      <c r="G7" s="23">
        <f t="shared" si="0"/>
        <v>349.13712555000001</v>
      </c>
      <c r="H7">
        <v>4.5999999999999999E-3</v>
      </c>
      <c r="J7" s="71">
        <f>J6/2</f>
        <v>617.76249999999993</v>
      </c>
    </row>
    <row r="8" spans="1:14">
      <c r="A8" t="str">
        <f>[1]Abbreviations!B9&amp;"_"&amp;[1]Abbreviations!C9&amp;"_"&amp;[1]Abbreviations!D9&amp;"_"&amp;[1]Abbreviations!E9&amp;""</f>
        <v>noCC_RTF_0_GW</v>
      </c>
      <c r="B8" t="s">
        <v>136</v>
      </c>
      <c r="C8">
        <v>40.5</v>
      </c>
      <c r="D8">
        <v>100.7</v>
      </c>
      <c r="E8">
        <v>0</v>
      </c>
      <c r="F8">
        <f>1.373</f>
        <v>1.373</v>
      </c>
      <c r="G8" s="23">
        <f t="shared" si="0"/>
        <v>352.30501164999993</v>
      </c>
      <c r="H8">
        <v>4.4000000000000003E-3</v>
      </c>
      <c r="J8" t="s">
        <v>191</v>
      </c>
      <c r="K8">
        <v>0.03</v>
      </c>
    </row>
    <row r="9" spans="1:14">
      <c r="A9" t="str">
        <f>[1]Abbreviations!B10&amp;"_"&amp;[1]Abbreviations!C10&amp;"_"&amp;[1]Abbreviations!D10&amp;"_"&amp;[1]Abbreviations!E10&amp;""</f>
        <v>noCC_RTF+NTS_0_NA</v>
      </c>
      <c r="B9" t="s">
        <v>137</v>
      </c>
      <c r="C9">
        <v>40.5</v>
      </c>
      <c r="D9">
        <v>111.2</v>
      </c>
      <c r="E9">
        <v>0</v>
      </c>
      <c r="F9">
        <v>0</v>
      </c>
      <c r="G9" s="23">
        <f t="shared" si="0"/>
        <v>374.85828499999997</v>
      </c>
      <c r="H9">
        <v>0</v>
      </c>
      <c r="J9" t="s">
        <v>192</v>
      </c>
      <c r="K9">
        <v>10</v>
      </c>
    </row>
    <row r="10" spans="1:14">
      <c r="A10" t="str">
        <f>[1]Abbreviations!B11&amp;"_"&amp;[1]Abbreviations!C11&amp;"_"&amp;[1]Abbreviations!D11&amp;"_"&amp;[1]Abbreviations!E11&amp;""</f>
        <v>noCC_RTF+NTS_0_FS</v>
      </c>
      <c r="B10" t="s">
        <v>138</v>
      </c>
      <c r="C10">
        <v>40.5</v>
      </c>
      <c r="D10">
        <v>111.2</v>
      </c>
      <c r="E10">
        <v>0</v>
      </c>
      <c r="F10">
        <f>0.091</f>
        <v>9.0999999999999998E-2</v>
      </c>
      <c r="G10" s="23">
        <f t="shared" si="0"/>
        <v>375.08315054999997</v>
      </c>
      <c r="H10">
        <v>4.5999999999999999E-3</v>
      </c>
      <c r="J10" t="s">
        <v>193</v>
      </c>
      <c r="K10" s="73">
        <f>K8/(1-(1+K8)^(-K9))</f>
        <v>0.11723050660515962</v>
      </c>
    </row>
    <row r="11" spans="1:14">
      <c r="A11" t="str">
        <f>[1]Abbreviations!B12&amp;"_"&amp;[1]Abbreviations!C12&amp;"_"&amp;[1]Abbreviations!D12&amp;"_"&amp;[1]Abbreviations!E12&amp;""</f>
        <v>noCC_RTF+NTS_0_GW</v>
      </c>
      <c r="B11" t="s">
        <v>139</v>
      </c>
      <c r="C11">
        <v>40.5</v>
      </c>
      <c r="D11">
        <v>111.2</v>
      </c>
      <c r="E11">
        <v>0</v>
      </c>
      <c r="F11">
        <f>1.373</f>
        <v>1.373</v>
      </c>
      <c r="G11" s="23">
        <f t="shared" si="0"/>
        <v>378.25103664999995</v>
      </c>
      <c r="H11">
        <v>4.4000000000000003E-3</v>
      </c>
      <c r="J11" t="s">
        <v>194</v>
      </c>
      <c r="K11" s="22">
        <f>0.78*K10</f>
        <v>9.1439795152024508E-2</v>
      </c>
    </row>
    <row r="12" spans="1:14">
      <c r="A12" t="str">
        <f>[1]Abbreviations!B13&amp;"_"&amp;[1]Abbreviations!C13&amp;"_"&amp;[1]Abbreviations!D13&amp;"_"&amp;[1]Abbreviations!E13&amp;""</f>
        <v>CC_CT_0_NA</v>
      </c>
      <c r="B12" t="s">
        <v>140</v>
      </c>
      <c r="C12">
        <f>40.5+37.7</f>
        <v>78.2</v>
      </c>
      <c r="D12">
        <v>100.7</v>
      </c>
      <c r="E12">
        <v>0</v>
      </c>
      <c r="F12">
        <v>0</v>
      </c>
      <c r="G12" s="23">
        <f t="shared" si="0"/>
        <v>442.07084500000002</v>
      </c>
      <c r="H12">
        <v>0</v>
      </c>
      <c r="J12" t="s">
        <v>195</v>
      </c>
      <c r="K12" s="22">
        <f>11.71*K10</f>
        <v>1.3727692323464191</v>
      </c>
    </row>
    <row r="13" spans="1:14">
      <c r="A13" t="str">
        <f>[1]Abbreviations!B14&amp;"_"&amp;[1]Abbreviations!C14&amp;"_"&amp;[1]Abbreviations!D14&amp;"_"&amp;[1]Abbreviations!E14&amp;""</f>
        <v>CC_CT_0_FS</v>
      </c>
      <c r="B13" t="s">
        <v>141</v>
      </c>
      <c r="C13">
        <f t="shared" ref="C13:C20" si="1">40.5+37.7</f>
        <v>78.2</v>
      </c>
      <c r="D13">
        <v>100.7</v>
      </c>
      <c r="E13">
        <v>0</v>
      </c>
      <c r="F13">
        <f>0.091</f>
        <v>9.0999999999999998E-2</v>
      </c>
      <c r="G13" s="23">
        <f t="shared" si="0"/>
        <v>442.29571055000002</v>
      </c>
      <c r="H13">
        <v>4.5999999999999999E-3</v>
      </c>
    </row>
    <row r="14" spans="1:14">
      <c r="A14" t="str">
        <f>[1]Abbreviations!B15&amp;"_"&amp;[1]Abbreviations!C15&amp;"_"&amp;[1]Abbreviations!D15&amp;"_"&amp;[1]Abbreviations!E15&amp;""</f>
        <v>CC_CT_0_GW</v>
      </c>
      <c r="B14" t="s">
        <v>142</v>
      </c>
      <c r="C14">
        <f t="shared" si="1"/>
        <v>78.2</v>
      </c>
      <c r="D14">
        <v>100.7</v>
      </c>
      <c r="E14">
        <v>0</v>
      </c>
      <c r="F14">
        <f>1.373</f>
        <v>1.373</v>
      </c>
      <c r="G14" s="23">
        <f t="shared" si="0"/>
        <v>445.46359665</v>
      </c>
      <c r="H14">
        <v>4.4000000000000003E-3</v>
      </c>
    </row>
    <row r="15" spans="1:14">
      <c r="A15" t="str">
        <f>[1]Abbreviations!B16&amp;"_"&amp;[1]Abbreviations!C16&amp;"_"&amp;[1]Abbreviations!D16&amp;"_"&amp;[1]Abbreviations!E16&amp;""</f>
        <v>CC_RTF_0_NA</v>
      </c>
      <c r="B15" t="s">
        <v>143</v>
      </c>
      <c r="C15">
        <f t="shared" si="1"/>
        <v>78.2</v>
      </c>
      <c r="D15">
        <v>100.7</v>
      </c>
      <c r="E15">
        <v>0</v>
      </c>
      <c r="F15">
        <v>0</v>
      </c>
      <c r="G15" s="23">
        <f t="shared" si="0"/>
        <v>442.07084500000002</v>
      </c>
      <c r="H15">
        <v>0</v>
      </c>
    </row>
    <row r="16" spans="1:14">
      <c r="A16" t="str">
        <f>[1]Abbreviations!B17&amp;"_"&amp;[1]Abbreviations!C17&amp;"_"&amp;[1]Abbreviations!D17&amp;"_"&amp;[1]Abbreviations!E17&amp;""</f>
        <v>CC_RTF_0_FS</v>
      </c>
      <c r="B16" t="s">
        <v>144</v>
      </c>
      <c r="C16">
        <f t="shared" si="1"/>
        <v>78.2</v>
      </c>
      <c r="D16">
        <v>100.7</v>
      </c>
      <c r="E16">
        <v>0</v>
      </c>
      <c r="F16">
        <f>0.091</f>
        <v>9.0999999999999998E-2</v>
      </c>
      <c r="G16" s="23">
        <f t="shared" si="0"/>
        <v>442.29571055000002</v>
      </c>
      <c r="H16">
        <v>4.5999999999999999E-3</v>
      </c>
    </row>
    <row r="17" spans="1:8">
      <c r="A17" t="str">
        <f>[1]Abbreviations!B18&amp;"_"&amp;[1]Abbreviations!C18&amp;"_"&amp;[1]Abbreviations!D18&amp;"_"&amp;[1]Abbreviations!E18&amp;""</f>
        <v>CC_RTF_0_GW</v>
      </c>
      <c r="B17" t="s">
        <v>145</v>
      </c>
      <c r="C17">
        <f t="shared" si="1"/>
        <v>78.2</v>
      </c>
      <c r="D17">
        <v>100.7</v>
      </c>
      <c r="E17">
        <v>0</v>
      </c>
      <c r="F17">
        <f>1.373</f>
        <v>1.373</v>
      </c>
      <c r="G17" s="23">
        <f t="shared" si="0"/>
        <v>445.46359665</v>
      </c>
      <c r="H17">
        <v>4.4000000000000003E-3</v>
      </c>
    </row>
    <row r="18" spans="1:8">
      <c r="A18" t="str">
        <f>[1]Abbreviations!B19&amp;"_"&amp;[1]Abbreviations!C19&amp;"_"&amp;[1]Abbreviations!D19&amp;"_"&amp;[1]Abbreviations!E19&amp;""</f>
        <v>CC_RTF+NTS_0_NA</v>
      </c>
      <c r="B18" t="s">
        <v>146</v>
      </c>
      <c r="C18">
        <f t="shared" si="1"/>
        <v>78.2</v>
      </c>
      <c r="D18">
        <v>111.2</v>
      </c>
      <c r="E18">
        <v>0</v>
      </c>
      <c r="F18">
        <v>0</v>
      </c>
      <c r="G18" s="23">
        <f t="shared" si="0"/>
        <v>468.01686999999998</v>
      </c>
      <c r="H18">
        <v>0</v>
      </c>
    </row>
    <row r="19" spans="1:8">
      <c r="A19" t="str">
        <f>[1]Abbreviations!B20&amp;"_"&amp;[1]Abbreviations!C20&amp;"_"&amp;[1]Abbreviations!D20&amp;"_"&amp;[1]Abbreviations!E20&amp;""</f>
        <v>CC_RTF+NTS_0_FS</v>
      </c>
      <c r="B19" t="s">
        <v>147</v>
      </c>
      <c r="C19">
        <f t="shared" si="1"/>
        <v>78.2</v>
      </c>
      <c r="D19">
        <v>111.2</v>
      </c>
      <c r="E19">
        <v>0</v>
      </c>
      <c r="F19">
        <f>0.091</f>
        <v>9.0999999999999998E-2</v>
      </c>
      <c r="G19" s="23">
        <f t="shared" si="0"/>
        <v>468.24173555000004</v>
      </c>
      <c r="H19">
        <v>4.5999999999999999E-3</v>
      </c>
    </row>
    <row r="20" spans="1:8">
      <c r="A20" t="str">
        <f>[1]Abbreviations!B21&amp;"_"&amp;[1]Abbreviations!C21&amp;"_"&amp;[1]Abbreviations!D21&amp;"_"&amp;[1]Abbreviations!E21&amp;""</f>
        <v>CC_RTF+NTS_0_GW</v>
      </c>
      <c r="B20" t="s">
        <v>148</v>
      </c>
      <c r="C20">
        <f t="shared" si="1"/>
        <v>78.2</v>
      </c>
      <c r="D20">
        <v>111.2</v>
      </c>
      <c r="E20">
        <v>0</v>
      </c>
      <c r="F20">
        <f>1.373</f>
        <v>1.373</v>
      </c>
      <c r="G20" s="23">
        <f t="shared" si="0"/>
        <v>471.40962164999996</v>
      </c>
      <c r="H20">
        <v>4.4000000000000003E-3</v>
      </c>
    </row>
    <row r="21" spans="1:8">
      <c r="A21" t="str">
        <f>[1]Abbreviations!B22&amp;"_"&amp;[1]Abbreviations!C22&amp;"_"&amp;[1]Abbreviations!D22&amp;"_"&amp;[1]Abbreviations!E22&amp;""</f>
        <v>noCC_CT_15_NA</v>
      </c>
      <c r="B21" t="s">
        <v>149</v>
      </c>
      <c r="C21">
        <v>40.5</v>
      </c>
      <c r="D21">
        <v>100.7</v>
      </c>
      <c r="E21">
        <v>0</v>
      </c>
      <c r="F21">
        <v>0</v>
      </c>
      <c r="G21" s="23">
        <f t="shared" si="0"/>
        <v>348.91225999999995</v>
      </c>
      <c r="H21">
        <v>0</v>
      </c>
    </row>
    <row r="22" spans="1:8">
      <c r="A22" t="str">
        <f>[1]Abbreviations!B23&amp;"_"&amp;[1]Abbreviations!C23&amp;"_"&amp;[1]Abbreviations!D23&amp;"_"&amp;[1]Abbreviations!E23&amp;""</f>
        <v>noCC_CT_15_FS</v>
      </c>
      <c r="B22" t="s">
        <v>150</v>
      </c>
      <c r="C22">
        <v>40.5</v>
      </c>
      <c r="D22">
        <v>100.7</v>
      </c>
      <c r="E22">
        <v>0</v>
      </c>
      <c r="F22">
        <f>0.091</f>
        <v>9.0999999999999998E-2</v>
      </c>
      <c r="G22" s="23">
        <f t="shared" si="0"/>
        <v>349.13712555000001</v>
      </c>
      <c r="H22">
        <v>4.5999999999999999E-3</v>
      </c>
    </row>
    <row r="23" spans="1:8">
      <c r="A23" t="str">
        <f>[1]Abbreviations!B24&amp;"_"&amp;[1]Abbreviations!C24&amp;"_"&amp;[1]Abbreviations!D24&amp;"_"&amp;[1]Abbreviations!E24&amp;""</f>
        <v>noCC_CT_15_GW</v>
      </c>
      <c r="B23" t="s">
        <v>151</v>
      </c>
      <c r="C23">
        <v>40.5</v>
      </c>
      <c r="D23">
        <v>100.7</v>
      </c>
      <c r="E23">
        <v>0</v>
      </c>
      <c r="F23">
        <f>1.373</f>
        <v>1.373</v>
      </c>
      <c r="G23" s="23">
        <f t="shared" si="0"/>
        <v>352.30501164999993</v>
      </c>
      <c r="H23">
        <v>4.4000000000000003E-3</v>
      </c>
    </row>
    <row r="24" spans="1:8">
      <c r="A24" t="str">
        <f>[1]Abbreviations!B25&amp;"_"&amp;[1]Abbreviations!C25&amp;"_"&amp;[1]Abbreviations!D25&amp;"_"&amp;[1]Abbreviations!E25&amp;""</f>
        <v>noCC_RTF_15_NA</v>
      </c>
      <c r="B24" t="s">
        <v>152</v>
      </c>
      <c r="C24">
        <v>40.5</v>
      </c>
      <c r="D24">
        <v>100.7</v>
      </c>
      <c r="E24">
        <v>0</v>
      </c>
      <c r="F24">
        <v>0</v>
      </c>
      <c r="G24" s="23">
        <f t="shared" si="0"/>
        <v>348.91225999999995</v>
      </c>
      <c r="H24">
        <v>0</v>
      </c>
    </row>
    <row r="25" spans="1:8">
      <c r="A25" t="str">
        <f>[1]Abbreviations!B26&amp;"_"&amp;[1]Abbreviations!C26&amp;"_"&amp;[1]Abbreviations!D26&amp;"_"&amp;[1]Abbreviations!E26&amp;""</f>
        <v>noCC_RTF_15_FS</v>
      </c>
      <c r="B25" t="s">
        <v>153</v>
      </c>
      <c r="C25">
        <v>40.5</v>
      </c>
      <c r="D25">
        <v>100.7</v>
      </c>
      <c r="E25">
        <v>0</v>
      </c>
      <c r="F25">
        <f>0.091</f>
        <v>9.0999999999999998E-2</v>
      </c>
      <c r="G25" s="23">
        <f t="shared" si="0"/>
        <v>349.13712555000001</v>
      </c>
      <c r="H25">
        <v>4.5999999999999999E-3</v>
      </c>
    </row>
    <row r="26" spans="1:8">
      <c r="A26" t="str">
        <f>[1]Abbreviations!B27&amp;"_"&amp;[1]Abbreviations!C27&amp;"_"&amp;[1]Abbreviations!D27&amp;"_"&amp;[1]Abbreviations!E27&amp;""</f>
        <v>noCC_RTF_15_GW</v>
      </c>
      <c r="B26" t="s">
        <v>154</v>
      </c>
      <c r="C26">
        <v>40.5</v>
      </c>
      <c r="D26">
        <v>100.7</v>
      </c>
      <c r="E26">
        <v>0</v>
      </c>
      <c r="F26">
        <f>1.373</f>
        <v>1.373</v>
      </c>
      <c r="G26" s="23">
        <f t="shared" si="0"/>
        <v>352.30501164999993</v>
      </c>
      <c r="H26">
        <v>4.4000000000000003E-3</v>
      </c>
    </row>
    <row r="27" spans="1:8">
      <c r="A27" t="str">
        <f>[1]Abbreviations!B28&amp;"_"&amp;[1]Abbreviations!C28&amp;"_"&amp;[1]Abbreviations!D28&amp;"_"&amp;[1]Abbreviations!E28&amp;""</f>
        <v>noCC_RTF+NTS_15_NA</v>
      </c>
      <c r="B27" t="s">
        <v>155</v>
      </c>
      <c r="C27">
        <v>40.5</v>
      </c>
      <c r="D27">
        <v>111.2</v>
      </c>
      <c r="E27">
        <v>0</v>
      </c>
      <c r="F27">
        <v>0</v>
      </c>
      <c r="G27" s="23">
        <f t="shared" si="0"/>
        <v>374.85828499999997</v>
      </c>
      <c r="H27">
        <v>0</v>
      </c>
    </row>
    <row r="28" spans="1:8">
      <c r="A28" t="str">
        <f>[1]Abbreviations!B29&amp;"_"&amp;[1]Abbreviations!C29&amp;"_"&amp;[1]Abbreviations!D29&amp;"_"&amp;[1]Abbreviations!E29&amp;""</f>
        <v>noCC_RTF+NTS_15_FS</v>
      </c>
      <c r="B28" t="s">
        <v>156</v>
      </c>
      <c r="C28">
        <v>40.5</v>
      </c>
      <c r="D28">
        <v>111.2</v>
      </c>
      <c r="E28">
        <v>0</v>
      </c>
      <c r="F28">
        <f>0.091</f>
        <v>9.0999999999999998E-2</v>
      </c>
      <c r="G28" s="23">
        <f t="shared" si="0"/>
        <v>375.08315054999997</v>
      </c>
      <c r="H28">
        <v>4.5999999999999999E-3</v>
      </c>
    </row>
    <row r="29" spans="1:8">
      <c r="A29" t="str">
        <f>[1]Abbreviations!B30&amp;"_"&amp;[1]Abbreviations!C30&amp;"_"&amp;[1]Abbreviations!D30&amp;"_"&amp;[1]Abbreviations!E30&amp;""</f>
        <v>noCC_RTF+NTS_15_GW</v>
      </c>
      <c r="B29" t="s">
        <v>157</v>
      </c>
      <c r="C29">
        <v>40.5</v>
      </c>
      <c r="D29">
        <v>111.2</v>
      </c>
      <c r="E29">
        <v>0</v>
      </c>
      <c r="F29">
        <f>1.373</f>
        <v>1.373</v>
      </c>
      <c r="G29" s="23">
        <f t="shared" si="0"/>
        <v>378.25103664999995</v>
      </c>
      <c r="H29">
        <v>4.4000000000000003E-3</v>
      </c>
    </row>
    <row r="30" spans="1:8">
      <c r="A30" t="str">
        <f>[1]Abbreviations!B31&amp;"_"&amp;[1]Abbreviations!C31&amp;"_"&amp;[1]Abbreviations!D31&amp;"_"&amp;[1]Abbreviations!E31&amp;""</f>
        <v>CC_CT_15_NA</v>
      </c>
      <c r="B30" t="s">
        <v>158</v>
      </c>
      <c r="C30">
        <f>40.5+37.7</f>
        <v>78.2</v>
      </c>
      <c r="D30">
        <v>100.7</v>
      </c>
      <c r="E30">
        <v>0</v>
      </c>
      <c r="F30">
        <v>0</v>
      </c>
      <c r="G30" s="23">
        <f>SUM(C30:F30)*2.47105</f>
        <v>442.07084500000002</v>
      </c>
      <c r="H30">
        <v>0</v>
      </c>
    </row>
    <row r="31" spans="1:8">
      <c r="A31" t="str">
        <f>[1]Abbreviations!B32&amp;"_"&amp;[1]Abbreviations!C32&amp;"_"&amp;[1]Abbreviations!D32&amp;"_"&amp;[1]Abbreviations!E32&amp;""</f>
        <v>CC_CT_15_FS</v>
      </c>
      <c r="B31" t="s">
        <v>159</v>
      </c>
      <c r="C31">
        <f t="shared" ref="C31:C38" si="2">40.5+37.7</f>
        <v>78.2</v>
      </c>
      <c r="D31">
        <v>100.7</v>
      </c>
      <c r="E31">
        <v>0</v>
      </c>
      <c r="F31">
        <f>0.091</f>
        <v>9.0999999999999998E-2</v>
      </c>
      <c r="G31" s="23">
        <f t="shared" si="0"/>
        <v>442.29571055000002</v>
      </c>
      <c r="H31">
        <v>4.5999999999999999E-3</v>
      </c>
    </row>
    <row r="32" spans="1:8">
      <c r="A32" t="str">
        <f>[1]Abbreviations!B33&amp;"_"&amp;[1]Abbreviations!C33&amp;"_"&amp;[1]Abbreviations!D33&amp;"_"&amp;[1]Abbreviations!E33&amp;""</f>
        <v>CC_CT_15_GW</v>
      </c>
      <c r="B32" t="s">
        <v>160</v>
      </c>
      <c r="C32">
        <f t="shared" si="2"/>
        <v>78.2</v>
      </c>
      <c r="D32">
        <v>100.7</v>
      </c>
      <c r="E32">
        <v>0</v>
      </c>
      <c r="F32">
        <f>1.373</f>
        <v>1.373</v>
      </c>
      <c r="G32" s="23">
        <f t="shared" si="0"/>
        <v>445.46359665</v>
      </c>
      <c r="H32">
        <v>4.4000000000000003E-3</v>
      </c>
    </row>
    <row r="33" spans="1:8">
      <c r="A33" t="str">
        <f>[1]Abbreviations!B34&amp;"_"&amp;[1]Abbreviations!C34&amp;"_"&amp;[1]Abbreviations!D34&amp;"_"&amp;[1]Abbreviations!E34&amp;""</f>
        <v>CC_RTF_15_NA</v>
      </c>
      <c r="B33" t="s">
        <v>161</v>
      </c>
      <c r="C33">
        <f t="shared" si="2"/>
        <v>78.2</v>
      </c>
      <c r="D33">
        <v>100.7</v>
      </c>
      <c r="E33">
        <v>0</v>
      </c>
      <c r="F33">
        <v>0</v>
      </c>
      <c r="G33" s="23">
        <f t="shared" si="0"/>
        <v>442.07084500000002</v>
      </c>
      <c r="H33">
        <v>0</v>
      </c>
    </row>
    <row r="34" spans="1:8">
      <c r="A34" t="str">
        <f>[1]Abbreviations!B35&amp;"_"&amp;[1]Abbreviations!C35&amp;"_"&amp;[1]Abbreviations!D35&amp;"_"&amp;[1]Abbreviations!E35&amp;""</f>
        <v>CC_RTF_15_FS</v>
      </c>
      <c r="B34" t="s">
        <v>162</v>
      </c>
      <c r="C34">
        <f t="shared" si="2"/>
        <v>78.2</v>
      </c>
      <c r="D34">
        <v>100.7</v>
      </c>
      <c r="E34">
        <v>0</v>
      </c>
      <c r="F34">
        <f>0.091</f>
        <v>9.0999999999999998E-2</v>
      </c>
      <c r="G34" s="23">
        <f t="shared" si="0"/>
        <v>442.29571055000002</v>
      </c>
      <c r="H34">
        <v>4.5999999999999999E-3</v>
      </c>
    </row>
    <row r="35" spans="1:8">
      <c r="A35" t="str">
        <f>[1]Abbreviations!B36&amp;"_"&amp;[1]Abbreviations!C36&amp;"_"&amp;[1]Abbreviations!D36&amp;"_"&amp;[1]Abbreviations!E36&amp;""</f>
        <v>CC_RTF_15_GW</v>
      </c>
      <c r="B35" t="s">
        <v>163</v>
      </c>
      <c r="C35">
        <f t="shared" si="2"/>
        <v>78.2</v>
      </c>
      <c r="D35">
        <v>100.7</v>
      </c>
      <c r="E35">
        <v>0</v>
      </c>
      <c r="F35">
        <f>1.373</f>
        <v>1.373</v>
      </c>
      <c r="G35" s="23">
        <f t="shared" si="0"/>
        <v>445.46359665</v>
      </c>
      <c r="H35">
        <v>4.4000000000000003E-3</v>
      </c>
    </row>
    <row r="36" spans="1:8">
      <c r="A36" t="str">
        <f>[1]Abbreviations!B37&amp;"_"&amp;[1]Abbreviations!C37&amp;"_"&amp;[1]Abbreviations!D37&amp;"_"&amp;[1]Abbreviations!E37&amp;""</f>
        <v>CC_RTF+NTS_15_NA</v>
      </c>
      <c r="B36" t="s">
        <v>164</v>
      </c>
      <c r="C36">
        <f t="shared" si="2"/>
        <v>78.2</v>
      </c>
      <c r="D36">
        <v>111.2</v>
      </c>
      <c r="E36">
        <v>0</v>
      </c>
      <c r="F36">
        <v>0</v>
      </c>
      <c r="G36" s="23">
        <f t="shared" si="0"/>
        <v>468.01686999999998</v>
      </c>
      <c r="H36">
        <v>0</v>
      </c>
    </row>
    <row r="37" spans="1:8">
      <c r="A37" t="str">
        <f>[1]Abbreviations!B38&amp;"_"&amp;[1]Abbreviations!C38&amp;"_"&amp;[1]Abbreviations!D38&amp;"_"&amp;[1]Abbreviations!E38&amp;""</f>
        <v>CC_RTF+NTS_15_FS</v>
      </c>
      <c r="B37" t="s">
        <v>165</v>
      </c>
      <c r="C37">
        <f t="shared" si="2"/>
        <v>78.2</v>
      </c>
      <c r="D37">
        <v>111.2</v>
      </c>
      <c r="E37">
        <v>0</v>
      </c>
      <c r="F37">
        <f>0.091</f>
        <v>9.0999999999999998E-2</v>
      </c>
      <c r="G37" s="23">
        <f t="shared" si="0"/>
        <v>468.24173555000004</v>
      </c>
      <c r="H37">
        <v>4.5999999999999999E-3</v>
      </c>
    </row>
    <row r="38" spans="1:8">
      <c r="A38" t="str">
        <f>[1]Abbreviations!B39&amp;"_"&amp;[1]Abbreviations!C39&amp;"_"&amp;[1]Abbreviations!D39&amp;"_"&amp;[1]Abbreviations!E39&amp;""</f>
        <v>CC_RTF+NTS_15_GW</v>
      </c>
      <c r="B38" t="s">
        <v>166</v>
      </c>
      <c r="C38">
        <f t="shared" si="2"/>
        <v>78.2</v>
      </c>
      <c r="D38">
        <v>111.2</v>
      </c>
      <c r="E38">
        <v>0</v>
      </c>
      <c r="F38">
        <f>1.373</f>
        <v>1.373</v>
      </c>
      <c r="G38" s="23">
        <f t="shared" si="0"/>
        <v>471.40962164999996</v>
      </c>
      <c r="H38">
        <v>4.4000000000000003E-3</v>
      </c>
    </row>
    <row r="39" spans="1:8">
      <c r="A39" t="str">
        <f>[1]Abbreviations!B40&amp;"_"&amp;[1]Abbreviations!C40&amp;"_"&amp;[1]Abbreviations!D40&amp;"_"&amp;[1]Abbreviations!E40&amp;""</f>
        <v>noCC_CT_30_NA</v>
      </c>
      <c r="B39" t="s">
        <v>167</v>
      </c>
      <c r="C39">
        <v>40.5</v>
      </c>
      <c r="D39">
        <v>100.7</v>
      </c>
      <c r="E39">
        <v>0</v>
      </c>
      <c r="F39">
        <v>0</v>
      </c>
      <c r="G39" s="23">
        <f t="shared" si="0"/>
        <v>348.91225999999995</v>
      </c>
      <c r="H39">
        <v>0</v>
      </c>
    </row>
    <row r="40" spans="1:8">
      <c r="A40" t="str">
        <f>[1]Abbreviations!B41&amp;"_"&amp;[1]Abbreviations!C41&amp;"_"&amp;[1]Abbreviations!D41&amp;"_"&amp;[1]Abbreviations!E41&amp;""</f>
        <v>noCC_CT_30_FS</v>
      </c>
      <c r="B40" t="s">
        <v>168</v>
      </c>
      <c r="C40">
        <v>40.5</v>
      </c>
      <c r="D40">
        <v>100.7</v>
      </c>
      <c r="E40">
        <v>0</v>
      </c>
      <c r="F40">
        <f>0.091</f>
        <v>9.0999999999999998E-2</v>
      </c>
      <c r="G40" s="23">
        <f t="shared" si="0"/>
        <v>349.13712555000001</v>
      </c>
      <c r="H40">
        <v>4.5999999999999999E-3</v>
      </c>
    </row>
    <row r="41" spans="1:8">
      <c r="A41" t="str">
        <f>[1]Abbreviations!B42&amp;"_"&amp;[1]Abbreviations!C42&amp;"_"&amp;[1]Abbreviations!D42&amp;"_"&amp;[1]Abbreviations!E42&amp;""</f>
        <v>noCC_CT_30_GW</v>
      </c>
      <c r="B41" t="s">
        <v>169</v>
      </c>
      <c r="C41">
        <v>40.5</v>
      </c>
      <c r="D41">
        <v>100.7</v>
      </c>
      <c r="E41">
        <v>0</v>
      </c>
      <c r="F41">
        <f>1.373</f>
        <v>1.373</v>
      </c>
      <c r="G41" s="23">
        <f t="shared" si="0"/>
        <v>352.30501164999993</v>
      </c>
      <c r="H41">
        <v>4.4000000000000003E-3</v>
      </c>
    </row>
    <row r="42" spans="1:8">
      <c r="A42" t="str">
        <f>[1]Abbreviations!B43&amp;"_"&amp;[1]Abbreviations!C43&amp;"_"&amp;[1]Abbreviations!D43&amp;"_"&amp;[1]Abbreviations!E43&amp;""</f>
        <v>noCC_RTF_30_NA</v>
      </c>
      <c r="B42" t="s">
        <v>170</v>
      </c>
      <c r="C42">
        <v>40.5</v>
      </c>
      <c r="D42">
        <v>100.7</v>
      </c>
      <c r="E42">
        <v>0</v>
      </c>
      <c r="F42">
        <v>0</v>
      </c>
      <c r="G42" s="23">
        <f t="shared" si="0"/>
        <v>348.91225999999995</v>
      </c>
      <c r="H42">
        <v>0</v>
      </c>
    </row>
    <row r="43" spans="1:8">
      <c r="A43" t="str">
        <f>[1]Abbreviations!B44&amp;"_"&amp;[1]Abbreviations!C44&amp;"_"&amp;[1]Abbreviations!D44&amp;"_"&amp;[1]Abbreviations!E44&amp;""</f>
        <v>noCC_RTF_30_FS</v>
      </c>
      <c r="B43" t="s">
        <v>171</v>
      </c>
      <c r="C43">
        <v>40.5</v>
      </c>
      <c r="D43">
        <v>100.7</v>
      </c>
      <c r="E43">
        <v>0</v>
      </c>
      <c r="F43">
        <f>0.091</f>
        <v>9.0999999999999998E-2</v>
      </c>
      <c r="G43" s="23">
        <f t="shared" si="0"/>
        <v>349.13712555000001</v>
      </c>
      <c r="H43">
        <v>4.5999999999999999E-3</v>
      </c>
    </row>
    <row r="44" spans="1:8">
      <c r="A44" t="str">
        <f>[1]Abbreviations!B45&amp;"_"&amp;[1]Abbreviations!C45&amp;"_"&amp;[1]Abbreviations!D45&amp;"_"&amp;[1]Abbreviations!E45&amp;""</f>
        <v>noCC_RTF_30_GW</v>
      </c>
      <c r="B44" t="s">
        <v>172</v>
      </c>
      <c r="C44">
        <v>40.5</v>
      </c>
      <c r="D44">
        <v>100.7</v>
      </c>
      <c r="E44">
        <v>0</v>
      </c>
      <c r="F44">
        <f>1.373</f>
        <v>1.373</v>
      </c>
      <c r="G44" s="23">
        <f t="shared" si="0"/>
        <v>352.30501164999993</v>
      </c>
      <c r="H44">
        <v>4.4000000000000003E-3</v>
      </c>
    </row>
    <row r="45" spans="1:8">
      <c r="A45" t="str">
        <f>[1]Abbreviations!B46&amp;"_"&amp;[1]Abbreviations!C46&amp;"_"&amp;[1]Abbreviations!D46&amp;"_"&amp;[1]Abbreviations!E46&amp;""</f>
        <v>noCC_RTF+NTS_30_NA</v>
      </c>
      <c r="B45" t="s">
        <v>173</v>
      </c>
      <c r="C45">
        <v>40.5</v>
      </c>
      <c r="D45">
        <v>111.2</v>
      </c>
      <c r="E45">
        <v>0</v>
      </c>
      <c r="F45">
        <v>0</v>
      </c>
      <c r="G45" s="23">
        <f t="shared" si="0"/>
        <v>374.85828499999997</v>
      </c>
      <c r="H45">
        <v>0</v>
      </c>
    </row>
    <row r="46" spans="1:8">
      <c r="A46" t="str">
        <f>[1]Abbreviations!B47&amp;"_"&amp;[1]Abbreviations!C47&amp;"_"&amp;[1]Abbreviations!D47&amp;"_"&amp;[1]Abbreviations!E47&amp;""</f>
        <v>noCC_RTF+NTS_30_FS</v>
      </c>
      <c r="B46" t="s">
        <v>174</v>
      </c>
      <c r="C46">
        <v>40.5</v>
      </c>
      <c r="D46">
        <v>111.2</v>
      </c>
      <c r="E46">
        <v>0</v>
      </c>
      <c r="F46">
        <f>0.091</f>
        <v>9.0999999999999998E-2</v>
      </c>
      <c r="G46" s="23">
        <f t="shared" si="0"/>
        <v>375.08315054999997</v>
      </c>
      <c r="H46">
        <v>4.5999999999999999E-3</v>
      </c>
    </row>
    <row r="47" spans="1:8">
      <c r="A47" t="str">
        <f>[1]Abbreviations!B48&amp;"_"&amp;[1]Abbreviations!C48&amp;"_"&amp;[1]Abbreviations!D48&amp;"_"&amp;[1]Abbreviations!E48&amp;""</f>
        <v>noCC_RTF+NTS_30_GW</v>
      </c>
      <c r="B47" t="s">
        <v>175</v>
      </c>
      <c r="C47">
        <v>40.5</v>
      </c>
      <c r="D47">
        <v>111.2</v>
      </c>
      <c r="E47">
        <v>0</v>
      </c>
      <c r="F47">
        <f>1.373</f>
        <v>1.373</v>
      </c>
      <c r="G47" s="23">
        <f t="shared" si="0"/>
        <v>378.25103664999995</v>
      </c>
      <c r="H47">
        <v>4.4000000000000003E-3</v>
      </c>
    </row>
    <row r="48" spans="1:8">
      <c r="A48" t="str">
        <f>[1]Abbreviations!B49&amp;"_"&amp;[1]Abbreviations!C49&amp;"_"&amp;[1]Abbreviations!D49&amp;"_"&amp;[1]Abbreviations!E49&amp;""</f>
        <v>CC_CT_30_NA</v>
      </c>
      <c r="B48" t="s">
        <v>176</v>
      </c>
      <c r="C48">
        <f>40.5+37.7</f>
        <v>78.2</v>
      </c>
      <c r="D48">
        <v>100.7</v>
      </c>
      <c r="E48">
        <v>0</v>
      </c>
      <c r="F48">
        <v>0</v>
      </c>
      <c r="G48" s="23">
        <f t="shared" si="0"/>
        <v>442.07084500000002</v>
      </c>
      <c r="H48">
        <v>0</v>
      </c>
    </row>
    <row r="49" spans="1:8">
      <c r="A49" t="str">
        <f>[1]Abbreviations!B50&amp;"_"&amp;[1]Abbreviations!C50&amp;"_"&amp;[1]Abbreviations!D50&amp;"_"&amp;[1]Abbreviations!E50&amp;""</f>
        <v>CC_CT_30_FS</v>
      </c>
      <c r="B49" t="s">
        <v>177</v>
      </c>
      <c r="C49">
        <f t="shared" ref="C49:C56" si="3">40.5+37.7</f>
        <v>78.2</v>
      </c>
      <c r="D49">
        <v>100.7</v>
      </c>
      <c r="E49">
        <v>0</v>
      </c>
      <c r="F49">
        <f>0.091</f>
        <v>9.0999999999999998E-2</v>
      </c>
      <c r="G49" s="23">
        <f t="shared" si="0"/>
        <v>442.29571055000002</v>
      </c>
      <c r="H49">
        <v>4.5999999999999999E-3</v>
      </c>
    </row>
    <row r="50" spans="1:8">
      <c r="A50" t="str">
        <f>[1]Abbreviations!B51&amp;"_"&amp;[1]Abbreviations!C51&amp;"_"&amp;[1]Abbreviations!D51&amp;"_"&amp;[1]Abbreviations!E51&amp;""</f>
        <v>CC_CT_30_GW</v>
      </c>
      <c r="B50" t="s">
        <v>178</v>
      </c>
      <c r="C50">
        <f t="shared" si="3"/>
        <v>78.2</v>
      </c>
      <c r="D50">
        <v>100.7</v>
      </c>
      <c r="E50">
        <v>0</v>
      </c>
      <c r="F50">
        <f>1.373</f>
        <v>1.373</v>
      </c>
      <c r="G50" s="23">
        <f t="shared" si="0"/>
        <v>445.46359665</v>
      </c>
      <c r="H50">
        <v>4.4000000000000003E-3</v>
      </c>
    </row>
    <row r="51" spans="1:8">
      <c r="A51" t="str">
        <f>[1]Abbreviations!B52&amp;"_"&amp;[1]Abbreviations!C52&amp;"_"&amp;[1]Abbreviations!D52&amp;"_"&amp;[1]Abbreviations!E52&amp;""</f>
        <v>CC_RTF_30_NA</v>
      </c>
      <c r="B51" t="s">
        <v>179</v>
      </c>
      <c r="C51">
        <f t="shared" si="3"/>
        <v>78.2</v>
      </c>
      <c r="D51">
        <v>100.7</v>
      </c>
      <c r="E51">
        <v>0</v>
      </c>
      <c r="F51">
        <v>0</v>
      </c>
      <c r="G51" s="23">
        <f t="shared" si="0"/>
        <v>442.07084500000002</v>
      </c>
      <c r="H51">
        <v>0</v>
      </c>
    </row>
    <row r="52" spans="1:8">
      <c r="A52" t="str">
        <f>[1]Abbreviations!B53&amp;"_"&amp;[1]Abbreviations!C53&amp;"_"&amp;[1]Abbreviations!D53&amp;"_"&amp;[1]Abbreviations!E53&amp;""</f>
        <v>CC_RTF_30_FS</v>
      </c>
      <c r="B52" t="s">
        <v>180</v>
      </c>
      <c r="C52">
        <f t="shared" si="3"/>
        <v>78.2</v>
      </c>
      <c r="D52">
        <v>100.7</v>
      </c>
      <c r="E52">
        <v>0</v>
      </c>
      <c r="F52">
        <f>0.091</f>
        <v>9.0999999999999998E-2</v>
      </c>
      <c r="G52" s="23">
        <f t="shared" si="0"/>
        <v>442.29571055000002</v>
      </c>
      <c r="H52">
        <v>4.5999999999999999E-3</v>
      </c>
    </row>
    <row r="53" spans="1:8">
      <c r="A53" t="str">
        <f>[1]Abbreviations!B54&amp;"_"&amp;[1]Abbreviations!C54&amp;"_"&amp;[1]Abbreviations!D54&amp;"_"&amp;[1]Abbreviations!E54&amp;""</f>
        <v>CC_RTF_30_GW</v>
      </c>
      <c r="B53" t="s">
        <v>181</v>
      </c>
      <c r="C53">
        <f t="shared" si="3"/>
        <v>78.2</v>
      </c>
      <c r="D53">
        <v>100.7</v>
      </c>
      <c r="E53">
        <v>0</v>
      </c>
      <c r="F53">
        <f>1.373</f>
        <v>1.373</v>
      </c>
      <c r="G53" s="23">
        <f t="shared" si="0"/>
        <v>445.46359665</v>
      </c>
      <c r="H53">
        <v>4.4000000000000003E-3</v>
      </c>
    </row>
    <row r="54" spans="1:8">
      <c r="A54" t="str">
        <f>[1]Abbreviations!B55&amp;"_"&amp;[1]Abbreviations!C55&amp;"_"&amp;[1]Abbreviations!D55&amp;"_"&amp;[1]Abbreviations!E55&amp;""</f>
        <v>CC_RTF+NTS_30_NA</v>
      </c>
      <c r="B54" t="s">
        <v>182</v>
      </c>
      <c r="C54">
        <f t="shared" si="3"/>
        <v>78.2</v>
      </c>
      <c r="D54">
        <v>111.2</v>
      </c>
      <c r="E54">
        <v>0</v>
      </c>
      <c r="F54">
        <v>0</v>
      </c>
      <c r="G54" s="23">
        <f t="shared" si="0"/>
        <v>468.01686999999998</v>
      </c>
      <c r="H54">
        <v>0</v>
      </c>
    </row>
    <row r="55" spans="1:8">
      <c r="A55" t="str">
        <f>[1]Abbreviations!B56&amp;"_"&amp;[1]Abbreviations!C56&amp;"_"&amp;[1]Abbreviations!D56&amp;"_"&amp;[1]Abbreviations!E56&amp;""</f>
        <v>CC_RTF+NTS_30_FS</v>
      </c>
      <c r="B55" t="s">
        <v>183</v>
      </c>
      <c r="C55">
        <f t="shared" si="3"/>
        <v>78.2</v>
      </c>
      <c r="D55">
        <v>111.2</v>
      </c>
      <c r="E55">
        <v>0</v>
      </c>
      <c r="F55">
        <f>0.091</f>
        <v>9.0999999999999998E-2</v>
      </c>
      <c r="G55" s="23">
        <f t="shared" si="0"/>
        <v>468.24173555000004</v>
      </c>
      <c r="H55">
        <v>4.5999999999999999E-3</v>
      </c>
    </row>
    <row r="56" spans="1:8">
      <c r="A56" t="str">
        <f>[1]Abbreviations!B57&amp;"_"&amp;[1]Abbreviations!C57&amp;"_"&amp;[1]Abbreviations!D57&amp;"_"&amp;[1]Abbreviations!E57&amp;""</f>
        <v>CC_RTF+NTS_30_GW</v>
      </c>
      <c r="B56" t="s">
        <v>184</v>
      </c>
      <c r="C56">
        <f t="shared" si="3"/>
        <v>78.2</v>
      </c>
      <c r="D56">
        <v>111.2</v>
      </c>
      <c r="E56">
        <v>0</v>
      </c>
      <c r="F56">
        <f>1.373</f>
        <v>1.373</v>
      </c>
      <c r="G56" s="23">
        <f t="shared" si="0"/>
        <v>471.40962164999996</v>
      </c>
      <c r="H56">
        <v>4.4000000000000003E-3</v>
      </c>
    </row>
    <row r="57" spans="1:8">
      <c r="A57" t="str">
        <f>[1]Abbreviations!B58&amp;"_"&amp;[1]Abbreviations!C58&amp;"_"&amp;[1]Abbreviations!D58&amp;"_"&amp;[1]Abbreviations!E58&amp;""</f>
        <v>PG_NT_NA_NA</v>
      </c>
      <c r="B57" t="s">
        <v>185</v>
      </c>
      <c r="C57" s="67"/>
      <c r="G57" s="23">
        <f>474.65*2.47105</f>
        <v>1172.8838825</v>
      </c>
      <c r="H57">
        <v>0</v>
      </c>
    </row>
    <row r="58" spans="1:8">
      <c r="B58" s="72" t="s">
        <v>262</v>
      </c>
      <c r="C58">
        <v>40.5</v>
      </c>
      <c r="D58">
        <v>100.7</v>
      </c>
      <c r="E58">
        <v>0</v>
      </c>
      <c r="F58">
        <v>0</v>
      </c>
      <c r="G58" s="23">
        <f t="shared" ref="G58:G63" si="4">SUM(C58:F58)*2.47105</f>
        <v>348.91225999999995</v>
      </c>
      <c r="H58">
        <v>0</v>
      </c>
    </row>
    <row r="59" spans="1:8">
      <c r="B59" s="72" t="s">
        <v>263</v>
      </c>
      <c r="C59">
        <v>40.5</v>
      </c>
      <c r="D59">
        <v>100.7</v>
      </c>
      <c r="E59">
        <v>0</v>
      </c>
      <c r="F59">
        <v>0</v>
      </c>
      <c r="G59" s="23">
        <f t="shared" si="4"/>
        <v>348.91225999999995</v>
      </c>
      <c r="H59">
        <v>0</v>
      </c>
    </row>
    <row r="60" spans="1:8">
      <c r="B60" s="72" t="s">
        <v>264</v>
      </c>
      <c r="C60">
        <v>40.5</v>
      </c>
      <c r="D60">
        <v>100.7</v>
      </c>
      <c r="E60">
        <v>0</v>
      </c>
      <c r="F60">
        <v>0</v>
      </c>
      <c r="G60" s="23">
        <f t="shared" si="4"/>
        <v>348.91225999999995</v>
      </c>
      <c r="H60">
        <v>0</v>
      </c>
    </row>
    <row r="61" spans="1:8">
      <c r="B61" s="72" t="s">
        <v>265</v>
      </c>
      <c r="C61">
        <v>40.5</v>
      </c>
      <c r="D61">
        <v>100.7</v>
      </c>
      <c r="E61">
        <v>0</v>
      </c>
      <c r="F61">
        <v>0</v>
      </c>
      <c r="G61" s="23">
        <f t="shared" si="4"/>
        <v>348.91225999999995</v>
      </c>
      <c r="H61">
        <v>0</v>
      </c>
    </row>
    <row r="62" spans="1:8">
      <c r="B62" s="72" t="s">
        <v>266</v>
      </c>
      <c r="C62">
        <v>40.5</v>
      </c>
      <c r="D62">
        <v>100.7</v>
      </c>
      <c r="E62">
        <v>0</v>
      </c>
      <c r="F62">
        <v>0</v>
      </c>
      <c r="G62" s="23">
        <f t="shared" si="4"/>
        <v>348.91225999999995</v>
      </c>
      <c r="H62">
        <v>0</v>
      </c>
    </row>
    <row r="63" spans="1:8">
      <c r="B63" s="72" t="s">
        <v>267</v>
      </c>
      <c r="C63">
        <v>40.5</v>
      </c>
      <c r="D63">
        <v>100.7</v>
      </c>
      <c r="E63">
        <v>0</v>
      </c>
      <c r="F63">
        <v>0</v>
      </c>
      <c r="G63" s="23">
        <f t="shared" si="4"/>
        <v>348.91225999999995</v>
      </c>
      <c r="H63">
        <v>0</v>
      </c>
    </row>
    <row r="64" spans="1:8">
      <c r="G64" s="23"/>
    </row>
    <row r="65" spans="7:7">
      <c r="G65" s="23"/>
    </row>
    <row r="66" spans="7:7">
      <c r="G66" s="23"/>
    </row>
    <row r="67" spans="7:7">
      <c r="G67" s="23"/>
    </row>
    <row r="68" spans="7:7">
      <c r="G68" s="23"/>
    </row>
    <row r="69" spans="7:7">
      <c r="G69" s="23"/>
    </row>
    <row r="70" spans="7:7">
      <c r="G70" s="23"/>
    </row>
    <row r="71" spans="7:7">
      <c r="G71" s="23"/>
    </row>
    <row r="72" spans="7:7">
      <c r="G72" s="23"/>
    </row>
    <row r="73" spans="7:7">
      <c r="G73" s="23"/>
    </row>
    <row r="74" spans="7:7">
      <c r="G74" s="23"/>
    </row>
    <row r="75" spans="7:7">
      <c r="G75" s="23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F29D-03A0-4ED2-BAF1-53F38DCDFFAB}">
  <dimension ref="A1:D17"/>
  <sheetViews>
    <sheetView tabSelected="1" workbookViewId="0">
      <selection activeCell="E4" sqref="E4"/>
    </sheetView>
  </sheetViews>
  <sheetFormatPr defaultRowHeight="15"/>
  <sheetData>
    <row r="1" spans="1:4">
      <c r="B1" t="s">
        <v>268</v>
      </c>
      <c r="C1" t="s">
        <v>269</v>
      </c>
      <c r="D1" t="s">
        <v>270</v>
      </c>
    </row>
    <row r="2" spans="1:4">
      <c r="A2">
        <v>2003</v>
      </c>
      <c r="B2">
        <v>474.65</v>
      </c>
      <c r="C2" s="9">
        <f>B2*2.47105</f>
        <v>1172.8838825</v>
      </c>
      <c r="D2" s="9">
        <v>369.22395241943104</v>
      </c>
    </row>
    <row r="3" spans="1:4">
      <c r="A3">
        <v>2004</v>
      </c>
      <c r="B3">
        <v>474.65</v>
      </c>
      <c r="C3" s="9">
        <f t="shared" ref="C3:C17" si="0">B3*2.47105</f>
        <v>1172.8838825</v>
      </c>
      <c r="D3" s="9">
        <v>369.22395241943104</v>
      </c>
    </row>
    <row r="4" spans="1:4">
      <c r="A4">
        <v>2005</v>
      </c>
      <c r="B4">
        <v>474.65</v>
      </c>
      <c r="C4" s="9">
        <f t="shared" si="0"/>
        <v>1172.8838825</v>
      </c>
      <c r="D4" s="9">
        <v>369.22395241943104</v>
      </c>
    </row>
    <row r="5" spans="1:4">
      <c r="A5">
        <v>2006</v>
      </c>
      <c r="B5">
        <v>474.65</v>
      </c>
      <c r="C5" s="9">
        <f t="shared" si="0"/>
        <v>1172.8838825</v>
      </c>
      <c r="D5" s="9">
        <v>369.22395241943104</v>
      </c>
    </row>
    <row r="6" spans="1:4">
      <c r="A6">
        <v>2007</v>
      </c>
      <c r="B6">
        <v>474.65</v>
      </c>
      <c r="C6" s="9">
        <f t="shared" si="0"/>
        <v>1172.8838825</v>
      </c>
      <c r="D6" s="9">
        <v>369.22395241943104</v>
      </c>
    </row>
    <row r="7" spans="1:4">
      <c r="A7">
        <v>2008</v>
      </c>
      <c r="B7">
        <v>474.65</v>
      </c>
      <c r="C7" s="9">
        <f t="shared" si="0"/>
        <v>1172.8838825</v>
      </c>
      <c r="D7" s="9">
        <v>369.22395241943104</v>
      </c>
    </row>
    <row r="8" spans="1:4">
      <c r="A8">
        <v>2009</v>
      </c>
      <c r="B8">
        <v>474.65</v>
      </c>
      <c r="C8" s="9">
        <f t="shared" si="0"/>
        <v>1172.8838825</v>
      </c>
      <c r="D8" s="9">
        <v>369.22395241943104</v>
      </c>
    </row>
    <row r="9" spans="1:4">
      <c r="A9">
        <v>2010</v>
      </c>
      <c r="B9">
        <v>598.12</v>
      </c>
      <c r="C9" s="9">
        <f t="shared" si="0"/>
        <v>1477.984426</v>
      </c>
      <c r="D9" s="9">
        <v>674.33704316127682</v>
      </c>
    </row>
    <row r="10" spans="1:4">
      <c r="A10">
        <v>2011</v>
      </c>
      <c r="B10">
        <v>501.64</v>
      </c>
      <c r="C10" s="9">
        <f t="shared" si="0"/>
        <v>1239.577522</v>
      </c>
      <c r="D10" s="9">
        <v>435.91517111920973</v>
      </c>
    </row>
    <row r="11" spans="1:4">
      <c r="A11">
        <v>2012</v>
      </c>
      <c r="B11">
        <v>474.65</v>
      </c>
      <c r="C11" s="9">
        <f t="shared" si="0"/>
        <v>1172.8838825</v>
      </c>
      <c r="D11" s="9">
        <v>369.22395241943104</v>
      </c>
    </row>
    <row r="12" spans="1:4">
      <c r="A12">
        <v>2013</v>
      </c>
      <c r="B12">
        <v>474.65</v>
      </c>
      <c r="C12" s="9">
        <f t="shared" si="0"/>
        <v>1172.8838825</v>
      </c>
      <c r="D12" s="9">
        <v>369.22395241943104</v>
      </c>
    </row>
    <row r="13" spans="1:4">
      <c r="A13">
        <v>2014</v>
      </c>
      <c r="B13">
        <v>474.65</v>
      </c>
      <c r="C13" s="9">
        <f t="shared" si="0"/>
        <v>1172.8838825</v>
      </c>
      <c r="D13" s="9">
        <v>369.22395241943099</v>
      </c>
    </row>
    <row r="14" spans="1:4">
      <c r="A14">
        <v>2015</v>
      </c>
      <c r="B14">
        <v>474.65</v>
      </c>
      <c r="C14" s="9">
        <f t="shared" si="0"/>
        <v>1172.8838825</v>
      </c>
      <c r="D14" s="9">
        <v>369.22395241943099</v>
      </c>
    </row>
    <row r="15" spans="1:4">
      <c r="A15">
        <v>2016</v>
      </c>
      <c r="B15">
        <v>474.65</v>
      </c>
      <c r="C15" s="9">
        <f t="shared" si="0"/>
        <v>1172.8838825</v>
      </c>
      <c r="D15" s="9">
        <v>369.22395241943099</v>
      </c>
    </row>
    <row r="16" spans="1:4">
      <c r="A16">
        <v>2017</v>
      </c>
      <c r="B16">
        <v>474.65</v>
      </c>
      <c r="C16" s="9">
        <f t="shared" si="0"/>
        <v>1172.8838825</v>
      </c>
      <c r="D16" s="9">
        <v>369.22395241943099</v>
      </c>
    </row>
    <row r="17" spans="1:4">
      <c r="A17">
        <v>2018</v>
      </c>
      <c r="B17">
        <v>474.65</v>
      </c>
      <c r="C17" s="9">
        <f t="shared" si="0"/>
        <v>1172.8838825</v>
      </c>
      <c r="D17" s="9">
        <v>369.22395241943099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7904-6BA6-4FF5-B062-FF4CDE5C51E7}">
  <dimension ref="A1:C32"/>
  <sheetViews>
    <sheetView workbookViewId="0">
      <selection activeCell="O13" sqref="O13"/>
    </sheetView>
  </sheetViews>
  <sheetFormatPr defaultRowHeight="15"/>
  <cols>
    <col min="1" max="1" width="37" bestFit="1" customWidth="1"/>
    <col min="2" max="2" width="22" customWidth="1"/>
  </cols>
  <sheetData>
    <row r="1" spans="1:3">
      <c r="A1" s="1" t="s">
        <v>41</v>
      </c>
    </row>
    <row r="2" spans="1:3">
      <c r="A2" t="s">
        <v>42</v>
      </c>
    </row>
    <row r="3" spans="1:3">
      <c r="A3" t="s">
        <v>43</v>
      </c>
    </row>
    <row r="4" spans="1:3">
      <c r="A4" t="s">
        <v>44</v>
      </c>
    </row>
    <row r="5" spans="1:3">
      <c r="A5" t="s">
        <v>45</v>
      </c>
    </row>
    <row r="6" spans="1:3">
      <c r="A6" t="s">
        <v>46</v>
      </c>
    </row>
    <row r="8" spans="1:3">
      <c r="A8" t="s">
        <v>47</v>
      </c>
      <c r="B8" t="s">
        <v>48</v>
      </c>
    </row>
    <row r="10" spans="1:3">
      <c r="A10" t="s">
        <v>49</v>
      </c>
    </row>
    <row r="11" spans="1:3">
      <c r="A11" t="s">
        <v>50</v>
      </c>
      <c r="B11" t="s">
        <v>47</v>
      </c>
    </row>
    <row r="12" spans="1:3">
      <c r="A12" s="24">
        <v>36161</v>
      </c>
      <c r="B12" s="14">
        <v>125.47499999999999</v>
      </c>
    </row>
    <row r="13" spans="1:3">
      <c r="A13" s="24">
        <v>36526</v>
      </c>
      <c r="B13" s="14">
        <v>132.74166666666667</v>
      </c>
    </row>
    <row r="14" spans="1:3">
      <c r="A14" s="24">
        <v>36892</v>
      </c>
      <c r="B14" s="14">
        <v>134.19166666666666</v>
      </c>
    </row>
    <row r="15" spans="1:3">
      <c r="A15" s="24">
        <v>37257</v>
      </c>
      <c r="B15" s="14">
        <v>131.11666666666667</v>
      </c>
    </row>
    <row r="16" spans="1:3">
      <c r="A16" s="24">
        <v>37622</v>
      </c>
      <c r="B16" s="14">
        <v>138.125</v>
      </c>
      <c r="C16">
        <v>1</v>
      </c>
    </row>
    <row r="17" spans="1:3">
      <c r="A17" s="24">
        <v>37987</v>
      </c>
      <c r="B17" s="14">
        <v>146.67500000000001</v>
      </c>
      <c r="C17" s="23">
        <f>B17/B$16</f>
        <v>1.0619004524886879</v>
      </c>
    </row>
    <row r="18" spans="1:3">
      <c r="A18" s="24">
        <v>38353</v>
      </c>
      <c r="B18" s="14">
        <v>157.4</v>
      </c>
      <c r="C18" s="23">
        <f t="shared" ref="C18:C32" si="0">B18/B$16</f>
        <v>1.1395475113122173</v>
      </c>
    </row>
    <row r="19" spans="1:3">
      <c r="A19" s="24">
        <v>38718</v>
      </c>
      <c r="B19" s="14">
        <v>164.75</v>
      </c>
      <c r="C19" s="23">
        <f t="shared" si="0"/>
        <v>1.1927601809954751</v>
      </c>
    </row>
    <row r="20" spans="1:3">
      <c r="A20" s="24">
        <v>39083</v>
      </c>
      <c r="B20" s="14">
        <v>172.65833333333333</v>
      </c>
      <c r="C20" s="23">
        <f t="shared" si="0"/>
        <v>1.2500150829562595</v>
      </c>
    </row>
    <row r="21" spans="1:3">
      <c r="A21" s="24">
        <v>39448</v>
      </c>
      <c r="B21" s="14">
        <v>189.59166666666667</v>
      </c>
      <c r="C21" s="23">
        <f t="shared" si="0"/>
        <v>1.3726093514328808</v>
      </c>
    </row>
    <row r="22" spans="1:3">
      <c r="A22" s="24">
        <v>39814</v>
      </c>
      <c r="B22" s="14">
        <v>172.90833333333333</v>
      </c>
      <c r="C22" s="23">
        <f t="shared" si="0"/>
        <v>1.2518250377073907</v>
      </c>
    </row>
    <row r="23" spans="1:3">
      <c r="A23" s="24">
        <v>40179</v>
      </c>
      <c r="B23" s="14">
        <v>184.73333333333332</v>
      </c>
      <c r="C23" s="23">
        <f t="shared" si="0"/>
        <v>1.3374358974358973</v>
      </c>
    </row>
    <row r="24" spans="1:3">
      <c r="A24" s="24">
        <v>40544</v>
      </c>
      <c r="B24" s="14">
        <v>201.05</v>
      </c>
      <c r="C24" s="23">
        <f t="shared" si="0"/>
        <v>1.4555656108597286</v>
      </c>
    </row>
    <row r="25" spans="1:3">
      <c r="A25" s="24">
        <v>40909</v>
      </c>
      <c r="B25" s="14">
        <v>202.15833333333333</v>
      </c>
      <c r="C25" s="23">
        <f t="shared" si="0"/>
        <v>1.4635897435897436</v>
      </c>
    </row>
    <row r="26" spans="1:3">
      <c r="A26" s="24">
        <v>41275</v>
      </c>
      <c r="B26" s="14">
        <v>203.40833333333333</v>
      </c>
      <c r="C26" s="23">
        <f t="shared" si="0"/>
        <v>1.4726395173453997</v>
      </c>
    </row>
    <row r="27" spans="1:3">
      <c r="A27" s="24">
        <v>41640</v>
      </c>
      <c r="B27" s="14">
        <v>205.31666666666666</v>
      </c>
      <c r="C27" s="23">
        <f t="shared" si="0"/>
        <v>1.4864555052790347</v>
      </c>
    </row>
    <row r="28" spans="1:3">
      <c r="A28" s="24">
        <v>42005</v>
      </c>
      <c r="B28" s="14">
        <v>190.44166666666666</v>
      </c>
      <c r="C28" s="23">
        <f t="shared" si="0"/>
        <v>1.3787631975867269</v>
      </c>
    </row>
    <row r="29" spans="1:3">
      <c r="A29" s="24">
        <v>42370</v>
      </c>
      <c r="B29" s="14">
        <v>185.375</v>
      </c>
      <c r="C29" s="23">
        <f t="shared" si="0"/>
        <v>1.3420814479638008</v>
      </c>
    </row>
    <row r="30" spans="1:3">
      <c r="A30" s="24">
        <v>42736</v>
      </c>
      <c r="B30" s="14">
        <v>193.53333333333333</v>
      </c>
      <c r="C30" s="23">
        <f t="shared" si="0"/>
        <v>1.4011463046757164</v>
      </c>
    </row>
    <row r="31" spans="1:3">
      <c r="A31" s="24">
        <v>43101</v>
      </c>
      <c r="B31" s="14">
        <v>201.95</v>
      </c>
      <c r="C31" s="23">
        <f t="shared" si="0"/>
        <v>1.4620814479638009</v>
      </c>
    </row>
    <row r="32" spans="1:3">
      <c r="A32" s="24">
        <v>43466</v>
      </c>
      <c r="B32" s="14">
        <v>199.84166666666667</v>
      </c>
      <c r="C32" s="23">
        <f t="shared" si="0"/>
        <v>1.446817496229261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46E4-E4F8-4661-A174-E169182D6AB5}">
  <dimension ref="B1:U41"/>
  <sheetViews>
    <sheetView topLeftCell="A16" workbookViewId="0">
      <selection activeCell="H11" sqref="H11"/>
    </sheetView>
  </sheetViews>
  <sheetFormatPr defaultRowHeight="15"/>
  <cols>
    <col min="1" max="1" width="9.28515625" customWidth="1"/>
    <col min="9" max="9" width="10.85546875" bestFit="1" customWidth="1"/>
    <col min="17" max="17" width="16.42578125" bestFit="1" customWidth="1"/>
    <col min="18" max="18" width="22.85546875" style="17" customWidth="1"/>
    <col min="19" max="19" width="18.7109375" style="17" bestFit="1" customWidth="1"/>
    <col min="20" max="20" width="15.5703125" bestFit="1" customWidth="1"/>
    <col min="21" max="21" width="37.85546875" customWidth="1"/>
  </cols>
  <sheetData>
    <row r="1" spans="2:21">
      <c r="B1" s="1" t="s">
        <v>0</v>
      </c>
    </row>
    <row r="2" spans="2:21">
      <c r="B2" t="s">
        <v>63</v>
      </c>
    </row>
    <row r="3" spans="2:21" ht="30">
      <c r="B3" s="2" t="s">
        <v>1</v>
      </c>
      <c r="C3" s="2" t="s">
        <v>2</v>
      </c>
      <c r="D3" s="82" t="s">
        <v>3</v>
      </c>
      <c r="E3" s="83"/>
      <c r="F3" s="83"/>
      <c r="G3" s="83"/>
      <c r="H3" s="83"/>
      <c r="I3" s="84"/>
      <c r="J3" s="82" t="s">
        <v>4</v>
      </c>
      <c r="K3" s="83"/>
      <c r="L3" s="83"/>
      <c r="M3" s="83"/>
      <c r="N3" s="83"/>
      <c r="O3" s="84"/>
    </row>
    <row r="4" spans="2:21" ht="45">
      <c r="B4" s="3"/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Q4" t="s">
        <v>25</v>
      </c>
      <c r="R4" s="19" t="s">
        <v>23</v>
      </c>
      <c r="S4" s="19" t="s">
        <v>57</v>
      </c>
      <c r="T4" s="17" t="s">
        <v>26</v>
      </c>
      <c r="U4" s="17" t="s">
        <v>28</v>
      </c>
    </row>
    <row r="5" spans="2:21" s="20" customFormat="1">
      <c r="B5" s="30">
        <v>0</v>
      </c>
      <c r="C5" s="31">
        <v>1</v>
      </c>
      <c r="D5" s="32">
        <v>-96000</v>
      </c>
      <c r="E5" s="30"/>
      <c r="F5" s="30"/>
      <c r="G5" s="30"/>
      <c r="H5" s="30"/>
      <c r="I5" s="32">
        <v>-96000</v>
      </c>
      <c r="J5" s="33">
        <v>-96000</v>
      </c>
      <c r="K5" s="30"/>
      <c r="L5" s="30"/>
      <c r="M5" s="30"/>
      <c r="N5" s="30"/>
      <c r="O5" s="34">
        <v>-96000</v>
      </c>
      <c r="Q5" s="20" t="s">
        <v>18</v>
      </c>
      <c r="R5" s="17" t="s">
        <v>27</v>
      </c>
      <c r="S5" s="17" t="s">
        <v>51</v>
      </c>
      <c r="T5" s="17">
        <v>40</v>
      </c>
      <c r="U5" s="18" t="s">
        <v>58</v>
      </c>
    </row>
    <row r="6" spans="2:21">
      <c r="B6" s="4">
        <v>1</v>
      </c>
      <c r="C6" s="5">
        <v>0.94299999999999995</v>
      </c>
      <c r="D6" s="4"/>
      <c r="E6" s="4"/>
      <c r="F6" s="4"/>
      <c r="G6" s="6">
        <v>-2471</v>
      </c>
      <c r="H6" s="6">
        <v>-34969</v>
      </c>
      <c r="I6" s="6">
        <v>-37441</v>
      </c>
      <c r="J6" s="4"/>
      <c r="K6" s="4"/>
      <c r="L6" s="4"/>
      <c r="M6" s="7">
        <v>-2331</v>
      </c>
      <c r="N6" s="7">
        <v>-32990</v>
      </c>
      <c r="O6" s="8">
        <v>-35321</v>
      </c>
      <c r="P6" s="16">
        <f>C5/C6-1</f>
        <v>6.0445387062566303E-2</v>
      </c>
      <c r="Q6" t="s">
        <v>19</v>
      </c>
      <c r="R6" s="17" t="s">
        <v>52</v>
      </c>
      <c r="S6" s="17" t="s">
        <v>55</v>
      </c>
      <c r="T6" s="17">
        <v>40</v>
      </c>
      <c r="U6" s="18" t="s">
        <v>58</v>
      </c>
    </row>
    <row r="7" spans="2:21">
      <c r="B7" s="4">
        <v>2</v>
      </c>
      <c r="C7" s="5">
        <v>0.89</v>
      </c>
      <c r="D7" s="4"/>
      <c r="E7" s="4"/>
      <c r="F7" s="4"/>
      <c r="G7" s="6">
        <v>-2471</v>
      </c>
      <c r="H7" s="6">
        <v>-34969</v>
      </c>
      <c r="I7" s="6">
        <v>-37441</v>
      </c>
      <c r="J7" s="4"/>
      <c r="K7" s="4"/>
      <c r="L7" s="4"/>
      <c r="M7" s="7">
        <v>-2200</v>
      </c>
      <c r="N7" s="7">
        <v>-31123</v>
      </c>
      <c r="O7" s="8">
        <v>-33322</v>
      </c>
      <c r="P7" s="16">
        <f>C6/C7-1</f>
        <v>5.9550561797752755E-2</v>
      </c>
      <c r="Q7" t="s">
        <v>35</v>
      </c>
      <c r="R7" s="17" t="s">
        <v>54</v>
      </c>
      <c r="S7" s="17" t="s">
        <v>54</v>
      </c>
      <c r="T7" s="17">
        <v>20</v>
      </c>
      <c r="U7" t="s">
        <v>37</v>
      </c>
    </row>
    <row r="8" spans="2:21">
      <c r="B8" s="4">
        <v>3</v>
      </c>
      <c r="C8" s="5">
        <v>0.84</v>
      </c>
      <c r="D8" s="4"/>
      <c r="E8" s="4"/>
      <c r="F8" s="4"/>
      <c r="G8" s="6">
        <v>-2471</v>
      </c>
      <c r="H8" s="6">
        <v>-34969</v>
      </c>
      <c r="I8" s="6">
        <v>-37441</v>
      </c>
      <c r="J8" s="4"/>
      <c r="K8" s="4"/>
      <c r="L8" s="4"/>
      <c r="M8" s="7">
        <v>-2075</v>
      </c>
      <c r="N8" s="7">
        <v>-29361</v>
      </c>
      <c r="O8" s="8">
        <v>-31436</v>
      </c>
      <c r="P8" s="16">
        <f>C7/C8-1</f>
        <v>5.9523809523809534E-2</v>
      </c>
      <c r="Q8" t="s">
        <v>36</v>
      </c>
      <c r="R8" s="17" t="s">
        <v>51</v>
      </c>
      <c r="S8" s="17" t="s">
        <v>51</v>
      </c>
      <c r="T8" s="17">
        <v>15</v>
      </c>
      <c r="U8" t="s">
        <v>38</v>
      </c>
    </row>
    <row r="9" spans="2:21">
      <c r="B9" s="4">
        <v>3.52</v>
      </c>
      <c r="C9" s="5">
        <v>0.81499999999999995</v>
      </c>
      <c r="D9" s="4"/>
      <c r="E9" s="6">
        <v>-48000</v>
      </c>
      <c r="F9" s="4"/>
      <c r="G9" s="4"/>
      <c r="H9" s="4"/>
      <c r="I9" s="6">
        <v>-48000</v>
      </c>
      <c r="J9" s="4"/>
      <c r="K9" s="7">
        <v>-39098</v>
      </c>
      <c r="L9" s="4"/>
      <c r="M9" s="4"/>
      <c r="N9" s="4"/>
      <c r="O9" s="8">
        <v>-39098</v>
      </c>
      <c r="Q9" t="s">
        <v>186</v>
      </c>
      <c r="R9" s="17" t="s">
        <v>51</v>
      </c>
      <c r="S9" s="17" t="s">
        <v>51</v>
      </c>
      <c r="T9" s="17" t="s">
        <v>21</v>
      </c>
      <c r="U9" s="17" t="s">
        <v>56</v>
      </c>
    </row>
    <row r="10" spans="2:21">
      <c r="B10" s="4">
        <v>4</v>
      </c>
      <c r="C10" s="5">
        <v>0.79200000000000004</v>
      </c>
      <c r="D10" s="4"/>
      <c r="E10" s="4"/>
      <c r="F10" s="4"/>
      <c r="G10" s="6">
        <v>-2471</v>
      </c>
      <c r="H10" s="6">
        <v>-34969</v>
      </c>
      <c r="I10" s="6">
        <v>-37441</v>
      </c>
      <c r="J10" s="4"/>
      <c r="K10" s="4"/>
      <c r="L10" s="4"/>
      <c r="M10" s="7">
        <v>-1958</v>
      </c>
      <c r="N10" s="7">
        <v>-27699</v>
      </c>
      <c r="O10" s="8">
        <v>-29657</v>
      </c>
      <c r="Q10" t="s">
        <v>20</v>
      </c>
      <c r="R10" s="18" t="s">
        <v>22</v>
      </c>
      <c r="S10" s="17" t="s">
        <v>21</v>
      </c>
      <c r="T10" s="17" t="s">
        <v>21</v>
      </c>
      <c r="U10" s="17" t="s">
        <v>21</v>
      </c>
    </row>
    <row r="11" spans="2:21">
      <c r="B11" s="4">
        <v>5</v>
      </c>
      <c r="C11" s="5">
        <v>0.747</v>
      </c>
      <c r="D11" s="4"/>
      <c r="E11" s="4"/>
      <c r="F11" s="4"/>
      <c r="G11" s="6">
        <v>-2471</v>
      </c>
      <c r="H11" s="6">
        <v>-34969</v>
      </c>
      <c r="I11" s="6">
        <v>-37441</v>
      </c>
      <c r="J11" s="4"/>
      <c r="K11" s="4"/>
      <c r="L11" s="4"/>
      <c r="M11" s="7">
        <v>-1847</v>
      </c>
      <c r="N11" s="7">
        <v>-26131</v>
      </c>
      <c r="O11" s="8">
        <v>-27978</v>
      </c>
      <c r="P11" s="16">
        <f>C10/C11-1</f>
        <v>6.024096385542177E-2</v>
      </c>
    </row>
    <row r="12" spans="2:21">
      <c r="B12" s="4">
        <v>6</v>
      </c>
      <c r="C12" s="5">
        <v>0.70499999999999996</v>
      </c>
      <c r="D12" s="4"/>
      <c r="E12" s="4"/>
      <c r="F12" s="4"/>
      <c r="G12" s="6">
        <v>-2471</v>
      </c>
      <c r="H12" s="6">
        <v>-34969</v>
      </c>
      <c r="I12" s="6">
        <v>-37441</v>
      </c>
      <c r="J12" s="4"/>
      <c r="K12" s="4"/>
      <c r="L12" s="4"/>
      <c r="M12" s="7">
        <v>-1742</v>
      </c>
      <c r="N12" s="7">
        <v>-24652</v>
      </c>
      <c r="O12" s="8">
        <v>-26394</v>
      </c>
      <c r="P12" s="16">
        <f>C11/C12-1</f>
        <v>5.9574468085106469E-2</v>
      </c>
      <c r="R12" s="18" t="s">
        <v>30</v>
      </c>
    </row>
    <row r="13" spans="2:21">
      <c r="B13" s="4">
        <v>7</v>
      </c>
      <c r="C13" s="5">
        <v>0.66500000000000004</v>
      </c>
      <c r="D13" s="4"/>
      <c r="E13" s="4"/>
      <c r="F13" s="4"/>
      <c r="G13" s="6">
        <v>-2471</v>
      </c>
      <c r="H13" s="6">
        <v>-34969</v>
      </c>
      <c r="I13" s="6">
        <v>-37441</v>
      </c>
      <c r="J13" s="4"/>
      <c r="K13" s="4"/>
      <c r="L13" s="4"/>
      <c r="M13" s="7">
        <v>-1644</v>
      </c>
      <c r="N13" s="7">
        <v>-23257</v>
      </c>
      <c r="O13" s="8">
        <v>-24900</v>
      </c>
      <c r="P13" s="16">
        <f>C12/C13-1</f>
        <v>6.0150375939849399E-2</v>
      </c>
      <c r="R13" s="18" t="s">
        <v>31</v>
      </c>
    </row>
    <row r="14" spans="2:21">
      <c r="B14" s="4">
        <v>7.04</v>
      </c>
      <c r="C14" s="5">
        <v>0.66300000000000003</v>
      </c>
      <c r="D14" s="4"/>
      <c r="E14" s="6">
        <v>-48000</v>
      </c>
      <c r="F14" s="4"/>
      <c r="G14" s="4"/>
      <c r="H14" s="4"/>
      <c r="I14" s="6">
        <v>-48000</v>
      </c>
      <c r="J14" s="4"/>
      <c r="K14" s="7">
        <v>-31847</v>
      </c>
      <c r="L14" s="4"/>
      <c r="M14" s="4"/>
      <c r="N14" s="4"/>
      <c r="O14" s="8">
        <v>-31847</v>
      </c>
      <c r="R14" s="18" t="s">
        <v>32</v>
      </c>
    </row>
    <row r="15" spans="2:21">
      <c r="B15" s="4">
        <v>8</v>
      </c>
      <c r="C15" s="5">
        <v>0.627</v>
      </c>
      <c r="D15" s="4"/>
      <c r="E15" s="4"/>
      <c r="F15" s="4"/>
      <c r="G15" s="6">
        <v>-2471</v>
      </c>
      <c r="H15" s="6">
        <v>-34969</v>
      </c>
      <c r="I15" s="6">
        <v>-37441</v>
      </c>
      <c r="J15" s="4"/>
      <c r="K15" s="4"/>
      <c r="L15" s="4"/>
      <c r="M15" s="7">
        <v>-1551</v>
      </c>
      <c r="N15" s="7">
        <v>-21940</v>
      </c>
      <c r="O15" s="8">
        <v>-23491</v>
      </c>
    </row>
    <row r="16" spans="2:21">
      <c r="B16" s="4">
        <v>9</v>
      </c>
      <c r="C16" s="5">
        <v>0.59199999999999997</v>
      </c>
      <c r="D16" s="4"/>
      <c r="E16" s="4"/>
      <c r="F16" s="4"/>
      <c r="G16" s="6">
        <v>-2471</v>
      </c>
      <c r="H16" s="6">
        <v>-34969</v>
      </c>
      <c r="I16" s="6">
        <v>-37441</v>
      </c>
      <c r="J16" s="4"/>
      <c r="K16" s="4"/>
      <c r="L16" s="4"/>
      <c r="M16" s="7">
        <v>-1463</v>
      </c>
      <c r="N16" s="7">
        <v>-20698</v>
      </c>
      <c r="O16" s="8">
        <v>-22161</v>
      </c>
      <c r="P16" s="16">
        <f>C15/C16-1</f>
        <v>5.9121621621621712E-2</v>
      </c>
      <c r="R16" s="18" t="s">
        <v>29</v>
      </c>
    </row>
    <row r="17" spans="2:18">
      <c r="B17" s="4">
        <v>10</v>
      </c>
      <c r="C17" s="5">
        <v>0.55800000000000005</v>
      </c>
      <c r="D17" s="4"/>
      <c r="E17" s="4"/>
      <c r="F17" s="4"/>
      <c r="G17" s="6">
        <v>-2471</v>
      </c>
      <c r="H17" s="6">
        <v>-34969</v>
      </c>
      <c r="I17" s="6">
        <v>-37441</v>
      </c>
      <c r="J17" s="4"/>
      <c r="K17" s="4"/>
      <c r="L17" s="4"/>
      <c r="M17" s="7">
        <v>-1380</v>
      </c>
      <c r="N17" s="7">
        <v>-19527</v>
      </c>
      <c r="O17" s="8">
        <v>-20907</v>
      </c>
      <c r="P17" s="16">
        <f>C16/C17-1</f>
        <v>6.0931899641576859E-2</v>
      </c>
      <c r="R17" s="18" t="s">
        <v>115</v>
      </c>
    </row>
    <row r="18" spans="2:18">
      <c r="B18" s="4">
        <v>10.56</v>
      </c>
      <c r="C18" s="5">
        <v>0.54</v>
      </c>
      <c r="D18" s="4"/>
      <c r="E18" s="6">
        <v>-48000</v>
      </c>
      <c r="F18" s="4"/>
      <c r="G18" s="4"/>
      <c r="H18" s="4"/>
      <c r="I18" s="6">
        <v>-48000</v>
      </c>
      <c r="J18" s="4"/>
      <c r="K18" s="7">
        <v>-25941</v>
      </c>
      <c r="L18" s="4"/>
      <c r="M18" s="4"/>
      <c r="N18" s="4"/>
      <c r="O18" s="8">
        <v>-25941</v>
      </c>
      <c r="P18" s="16"/>
    </row>
    <row r="19" spans="2:18">
      <c r="B19" s="4">
        <v>11</v>
      </c>
      <c r="C19" s="5">
        <v>0.52700000000000002</v>
      </c>
      <c r="D19" s="4"/>
      <c r="E19" s="4"/>
      <c r="F19" s="4"/>
      <c r="G19" s="6">
        <v>-2471</v>
      </c>
      <c r="H19" s="6">
        <v>-34969</v>
      </c>
      <c r="I19" s="6">
        <v>-37441</v>
      </c>
      <c r="J19" s="4"/>
      <c r="K19" s="4"/>
      <c r="L19" s="4"/>
      <c r="M19" s="7">
        <v>-1302</v>
      </c>
      <c r="N19" s="7">
        <v>-18421</v>
      </c>
      <c r="O19" s="8">
        <v>-19723</v>
      </c>
    </row>
    <row r="20" spans="2:18">
      <c r="B20" s="4">
        <v>12</v>
      </c>
      <c r="C20" s="5">
        <v>0.497</v>
      </c>
      <c r="D20" s="4"/>
      <c r="E20" s="4"/>
      <c r="F20" s="4"/>
      <c r="G20" s="6">
        <v>-2471</v>
      </c>
      <c r="H20" s="6">
        <v>-34969</v>
      </c>
      <c r="I20" s="6">
        <v>-37441</v>
      </c>
      <c r="J20" s="4"/>
      <c r="K20" s="4"/>
      <c r="L20" s="4"/>
      <c r="M20" s="7">
        <v>-1228</v>
      </c>
      <c r="N20" s="7">
        <v>-17379</v>
      </c>
      <c r="O20" s="8">
        <v>-18607</v>
      </c>
      <c r="P20" s="16">
        <f>C19/C20-1</f>
        <v>6.0362173038229328E-2</v>
      </c>
    </row>
    <row r="21" spans="2:18">
      <c r="B21" s="4">
        <v>13</v>
      </c>
      <c r="C21" s="5">
        <v>0.46899999999999997</v>
      </c>
      <c r="D21" s="4"/>
      <c r="E21" s="4"/>
      <c r="F21" s="4"/>
      <c r="G21" s="6">
        <v>-2471</v>
      </c>
      <c r="H21" s="6">
        <v>-34969</v>
      </c>
      <c r="I21" s="6">
        <v>-37441</v>
      </c>
      <c r="J21" s="4"/>
      <c r="K21" s="4"/>
      <c r="L21" s="4"/>
      <c r="M21" s="7">
        <v>-1159</v>
      </c>
      <c r="N21" s="7">
        <v>-16395</v>
      </c>
      <c r="O21" s="8">
        <v>-17554</v>
      </c>
      <c r="P21" s="16">
        <f>C20/C21-1</f>
        <v>5.9701492537313383E-2</v>
      </c>
    </row>
    <row r="22" spans="2:18">
      <c r="B22" s="4">
        <v>14</v>
      </c>
      <c r="C22" s="5">
        <v>0.442</v>
      </c>
      <c r="D22" s="4"/>
      <c r="E22" s="4"/>
      <c r="F22" s="4"/>
      <c r="G22" s="6">
        <v>-2471</v>
      </c>
      <c r="H22" s="6">
        <v>-34969</v>
      </c>
      <c r="I22" s="6">
        <v>-37441</v>
      </c>
      <c r="J22" s="4"/>
      <c r="K22" s="4"/>
      <c r="L22" s="4"/>
      <c r="M22" s="7">
        <v>-1093</v>
      </c>
      <c r="N22" s="7">
        <v>-15467</v>
      </c>
      <c r="O22" s="8">
        <v>-16560</v>
      </c>
      <c r="P22" s="16">
        <f>C21/C22-1</f>
        <v>6.1085972850678738E-2</v>
      </c>
    </row>
    <row r="23" spans="2:18">
      <c r="B23" s="4">
        <v>14.08</v>
      </c>
      <c r="C23" s="5">
        <v>0.44</v>
      </c>
      <c r="D23" s="4"/>
      <c r="E23" s="6">
        <v>-48000</v>
      </c>
      <c r="F23" s="4"/>
      <c r="G23" s="4"/>
      <c r="H23" s="4"/>
      <c r="I23" s="6">
        <v>-48000</v>
      </c>
      <c r="J23" s="4"/>
      <c r="K23" s="7">
        <v>-21130</v>
      </c>
      <c r="L23" s="4"/>
      <c r="M23" s="4"/>
      <c r="N23" s="4"/>
      <c r="O23" s="8">
        <v>-21130</v>
      </c>
    </row>
    <row r="24" spans="2:18">
      <c r="B24" s="4">
        <v>15</v>
      </c>
      <c r="C24" s="5">
        <v>0.41699999999999998</v>
      </c>
      <c r="D24" s="4"/>
      <c r="E24" s="4"/>
      <c r="F24" s="4"/>
      <c r="G24" s="6">
        <v>-2471</v>
      </c>
      <c r="H24" s="6">
        <v>-34969</v>
      </c>
      <c r="I24" s="6">
        <v>-37441</v>
      </c>
      <c r="J24" s="4"/>
      <c r="K24" s="4"/>
      <c r="L24" s="4"/>
      <c r="M24" s="7">
        <v>-1031</v>
      </c>
      <c r="N24" s="7">
        <v>-14592</v>
      </c>
      <c r="O24" s="8">
        <v>-15623</v>
      </c>
    </row>
    <row r="25" spans="2:18">
      <c r="B25" s="4">
        <v>16</v>
      </c>
      <c r="C25" s="5">
        <v>0.39400000000000002</v>
      </c>
      <c r="D25" s="4"/>
      <c r="E25" s="4"/>
      <c r="F25" s="4"/>
      <c r="G25" s="6">
        <v>-2471</v>
      </c>
      <c r="H25" s="6">
        <v>-34969</v>
      </c>
      <c r="I25" s="6">
        <v>-37441</v>
      </c>
      <c r="J25" s="4"/>
      <c r="K25" s="4"/>
      <c r="L25" s="4"/>
      <c r="M25" s="10">
        <v>-973</v>
      </c>
      <c r="N25" s="7">
        <v>-13766</v>
      </c>
      <c r="O25" s="8">
        <v>-14738</v>
      </c>
      <c r="P25" s="16">
        <f>C24/C25-1</f>
        <v>5.8375634517766395E-2</v>
      </c>
    </row>
    <row r="26" spans="2:18">
      <c r="B26" s="4">
        <v>17</v>
      </c>
      <c r="C26" s="5">
        <v>0.371</v>
      </c>
      <c r="D26" s="4"/>
      <c r="E26" s="4"/>
      <c r="F26" s="4"/>
      <c r="G26" s="6">
        <v>-2471</v>
      </c>
      <c r="H26" s="6">
        <v>-34969</v>
      </c>
      <c r="I26" s="6">
        <v>-37441</v>
      </c>
      <c r="J26" s="4"/>
      <c r="K26" s="4"/>
      <c r="L26" s="4"/>
      <c r="M26" s="10">
        <v>-918</v>
      </c>
      <c r="N26" s="7">
        <v>-12986</v>
      </c>
      <c r="O26" s="8">
        <v>-13904</v>
      </c>
      <c r="P26" s="16">
        <f>C25/C26-1</f>
        <v>6.1994609164420567E-2</v>
      </c>
    </row>
    <row r="27" spans="2:18">
      <c r="B27" s="4">
        <v>17.600000000000001</v>
      </c>
      <c r="C27" s="5">
        <v>0.35899999999999999</v>
      </c>
      <c r="D27" s="4"/>
      <c r="E27" s="6">
        <v>-48000</v>
      </c>
      <c r="F27" s="4"/>
      <c r="G27" s="4"/>
      <c r="H27" s="4"/>
      <c r="I27" s="6">
        <v>-48000</v>
      </c>
      <c r="J27" s="4"/>
      <c r="K27" s="7">
        <v>-17212</v>
      </c>
      <c r="L27" s="4"/>
      <c r="M27" s="4"/>
      <c r="N27" s="4"/>
      <c r="O27" s="8">
        <v>-17212</v>
      </c>
    </row>
    <row r="28" spans="2:18">
      <c r="B28" s="4">
        <v>18</v>
      </c>
      <c r="C28" s="5">
        <v>0.35</v>
      </c>
      <c r="D28" s="4"/>
      <c r="E28" s="4"/>
      <c r="F28" s="4"/>
      <c r="G28" s="6">
        <v>-2471</v>
      </c>
      <c r="H28" s="6">
        <v>-34969</v>
      </c>
      <c r="I28" s="6">
        <v>-37441</v>
      </c>
      <c r="J28" s="4"/>
      <c r="K28" s="4"/>
      <c r="L28" s="4"/>
      <c r="M28" s="10">
        <v>-866</v>
      </c>
      <c r="N28" s="7">
        <v>-12251</v>
      </c>
      <c r="O28" s="8">
        <v>-13117</v>
      </c>
    </row>
    <row r="29" spans="2:18">
      <c r="B29" s="4">
        <v>19</v>
      </c>
      <c r="C29" s="5">
        <v>0.33100000000000002</v>
      </c>
      <c r="D29" s="4"/>
      <c r="E29" s="4"/>
      <c r="F29" s="4"/>
      <c r="G29" s="6">
        <v>-2471</v>
      </c>
      <c r="H29" s="6">
        <v>-34969</v>
      </c>
      <c r="I29" s="6">
        <v>-37441</v>
      </c>
      <c r="J29" s="4"/>
      <c r="K29" s="4"/>
      <c r="L29" s="4"/>
      <c r="M29" s="10">
        <v>-817</v>
      </c>
      <c r="N29" s="7">
        <v>-11558</v>
      </c>
      <c r="O29" s="8">
        <v>-12375</v>
      </c>
      <c r="P29" s="16">
        <f>C28/C29-1</f>
        <v>5.7401812688821607E-2</v>
      </c>
    </row>
    <row r="30" spans="2:18">
      <c r="B30" s="4">
        <v>20</v>
      </c>
      <c r="C30" s="5">
        <v>0.312</v>
      </c>
      <c r="D30" s="4"/>
      <c r="E30" s="4"/>
      <c r="F30" s="4"/>
      <c r="G30" s="6">
        <v>-2471</v>
      </c>
      <c r="H30" s="6">
        <v>-34969</v>
      </c>
      <c r="I30" s="6">
        <v>-37441</v>
      </c>
      <c r="J30" s="4"/>
      <c r="K30" s="4"/>
      <c r="L30" s="4"/>
      <c r="M30" s="10">
        <v>-771</v>
      </c>
      <c r="N30" s="7">
        <v>-10904</v>
      </c>
      <c r="O30" s="8">
        <v>-11674</v>
      </c>
      <c r="P30" s="16">
        <f>C29/C30-1</f>
        <v>6.0897435897435903E-2</v>
      </c>
    </row>
    <row r="31" spans="2:18">
      <c r="B31" s="4">
        <v>21</v>
      </c>
      <c r="C31" s="5">
        <v>0.29399999999999998</v>
      </c>
      <c r="D31" s="4"/>
      <c r="E31" s="4"/>
      <c r="F31" s="4"/>
      <c r="G31" s="6">
        <v>-2471</v>
      </c>
      <c r="H31" s="6">
        <v>-34969</v>
      </c>
      <c r="I31" s="6">
        <v>-37441</v>
      </c>
      <c r="J31" s="4"/>
      <c r="K31" s="4"/>
      <c r="L31" s="4"/>
      <c r="M31" s="10">
        <v>-727</v>
      </c>
      <c r="N31" s="7">
        <v>-10286</v>
      </c>
      <c r="O31" s="8">
        <v>-11013</v>
      </c>
      <c r="P31" s="16">
        <f>C30/C31-1</f>
        <v>6.1224489795918435E-2</v>
      </c>
    </row>
    <row r="32" spans="2:18">
      <c r="B32" s="4">
        <v>21.12</v>
      </c>
      <c r="C32" s="5">
        <v>0.29199999999999998</v>
      </c>
      <c r="D32" s="4"/>
      <c r="E32" s="6">
        <v>-48000</v>
      </c>
      <c r="F32" s="4"/>
      <c r="G32" s="4"/>
      <c r="H32" s="4"/>
      <c r="I32" s="6">
        <v>-48000</v>
      </c>
      <c r="J32" s="4"/>
      <c r="K32" s="7">
        <v>-14020</v>
      </c>
      <c r="L32" s="4"/>
      <c r="M32" s="4"/>
      <c r="N32" s="4"/>
      <c r="O32" s="8">
        <v>-14020</v>
      </c>
    </row>
    <row r="33" spans="2:16">
      <c r="B33" s="4">
        <v>22</v>
      </c>
      <c r="C33" s="5">
        <v>0.27800000000000002</v>
      </c>
      <c r="D33" s="4"/>
      <c r="E33" s="4"/>
      <c r="F33" s="4"/>
      <c r="G33" s="6">
        <v>-2471</v>
      </c>
      <c r="H33" s="6">
        <v>-34969</v>
      </c>
      <c r="I33" s="6">
        <v>-37441</v>
      </c>
      <c r="J33" s="4"/>
      <c r="K33" s="4"/>
      <c r="L33" s="4"/>
      <c r="M33" s="10">
        <v>-686</v>
      </c>
      <c r="N33" s="7">
        <v>-9704</v>
      </c>
      <c r="O33" s="8">
        <v>-10390</v>
      </c>
    </row>
    <row r="34" spans="2:16">
      <c r="B34" s="4">
        <v>23</v>
      </c>
      <c r="C34" s="5">
        <v>0.26200000000000001</v>
      </c>
      <c r="D34" s="4"/>
      <c r="E34" s="4"/>
      <c r="F34" s="4"/>
      <c r="G34" s="6">
        <v>-2471</v>
      </c>
      <c r="H34" s="6">
        <v>-34969</v>
      </c>
      <c r="I34" s="6">
        <v>-37441</v>
      </c>
      <c r="J34" s="4"/>
      <c r="K34" s="4"/>
      <c r="L34" s="4"/>
      <c r="M34" s="10">
        <v>-647</v>
      </c>
      <c r="N34" s="7">
        <v>-9155</v>
      </c>
      <c r="O34" s="8">
        <v>-9802</v>
      </c>
      <c r="P34" s="16">
        <f>C33/C34-1</f>
        <v>6.1068702290076438E-2</v>
      </c>
    </row>
    <row r="35" spans="2:16">
      <c r="B35" s="4">
        <v>24</v>
      </c>
      <c r="C35" s="5">
        <v>0.247</v>
      </c>
      <c r="D35" s="4"/>
      <c r="E35" s="4"/>
      <c r="F35" s="4"/>
      <c r="G35" s="6">
        <v>-2471</v>
      </c>
      <c r="H35" s="6">
        <v>-34969</v>
      </c>
      <c r="I35" s="6">
        <v>-37441</v>
      </c>
      <c r="J35" s="4"/>
      <c r="K35" s="4"/>
      <c r="L35" s="4"/>
      <c r="M35" s="10">
        <v>-610</v>
      </c>
      <c r="N35" s="7">
        <v>-8637</v>
      </c>
      <c r="O35" s="8">
        <v>-9247</v>
      </c>
      <c r="P35" s="16">
        <f>C34/C35-1</f>
        <v>6.0728744939271273E-2</v>
      </c>
    </row>
    <row r="36" spans="2:16">
      <c r="B36" s="4">
        <v>24.64</v>
      </c>
      <c r="C36" s="5">
        <v>0.23799999999999999</v>
      </c>
      <c r="D36" s="4"/>
      <c r="E36" s="6">
        <v>-48000</v>
      </c>
      <c r="F36" s="4"/>
      <c r="G36" s="4"/>
      <c r="H36" s="4"/>
      <c r="I36" s="6">
        <v>-48000</v>
      </c>
      <c r="J36" s="4"/>
      <c r="K36" s="7">
        <v>-11420</v>
      </c>
      <c r="L36" s="4"/>
      <c r="M36" s="4"/>
      <c r="N36" s="4"/>
      <c r="O36" s="8">
        <v>-11420</v>
      </c>
    </row>
    <row r="37" spans="2:16">
      <c r="B37" s="4">
        <v>25</v>
      </c>
      <c r="C37" s="5">
        <v>0.23300000000000001</v>
      </c>
      <c r="D37" s="4"/>
      <c r="E37" s="4"/>
      <c r="F37" s="6">
        <v>43120</v>
      </c>
      <c r="G37" s="6">
        <v>-2471</v>
      </c>
      <c r="H37" s="6">
        <v>-34969</v>
      </c>
      <c r="I37" s="6">
        <v>5679</v>
      </c>
      <c r="J37" s="4"/>
      <c r="K37" s="4"/>
      <c r="L37" s="7">
        <v>10047</v>
      </c>
      <c r="M37" s="10">
        <v>-576</v>
      </c>
      <c r="N37" s="7">
        <v>-8148</v>
      </c>
      <c r="O37" s="8">
        <v>1323</v>
      </c>
    </row>
    <row r="38" spans="2:16">
      <c r="B38" s="11" t="s">
        <v>11</v>
      </c>
      <c r="C38" s="4"/>
      <c r="D38" s="8">
        <v>-96000</v>
      </c>
      <c r="E38" s="8">
        <v>-336000</v>
      </c>
      <c r="F38" s="8">
        <v>43120</v>
      </c>
      <c r="G38" s="8">
        <v>-61784</v>
      </c>
      <c r="H38" s="8">
        <v>-874234</v>
      </c>
      <c r="I38" s="8">
        <v>-1324899</v>
      </c>
      <c r="J38" s="8">
        <v>-96000</v>
      </c>
      <c r="K38" s="8">
        <v>-160668</v>
      </c>
      <c r="L38" s="8">
        <v>10047</v>
      </c>
      <c r="M38" s="8">
        <v>-31593</v>
      </c>
      <c r="N38" s="8">
        <v>-447026</v>
      </c>
      <c r="O38" s="8">
        <v>-725239</v>
      </c>
    </row>
    <row r="40" spans="2:16">
      <c r="C40" t="s">
        <v>64</v>
      </c>
    </row>
    <row r="41" spans="2:16">
      <c r="C41" t="s">
        <v>65</v>
      </c>
    </row>
  </sheetData>
  <mergeCells count="2">
    <mergeCell ref="D3:I3"/>
    <mergeCell ref="J3:O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AD16-60AE-4C82-8A8F-B2E803386966}">
  <dimension ref="A1:N23"/>
  <sheetViews>
    <sheetView workbookViewId="0">
      <selection activeCell="J26" sqref="J26"/>
    </sheetView>
  </sheetViews>
  <sheetFormatPr defaultRowHeight="15"/>
  <sheetData>
    <row r="1" spans="1:14" ht="15.75" thickBot="1">
      <c r="A1" s="48" t="s">
        <v>1</v>
      </c>
      <c r="B1" s="49" t="s">
        <v>72</v>
      </c>
      <c r="C1" s="49" t="s">
        <v>73</v>
      </c>
      <c r="D1" s="49" t="s">
        <v>74</v>
      </c>
      <c r="E1" s="49" t="s">
        <v>75</v>
      </c>
      <c r="F1" s="49" t="s">
        <v>76</v>
      </c>
      <c r="G1" s="49" t="s">
        <v>77</v>
      </c>
      <c r="H1" s="49" t="s">
        <v>78</v>
      </c>
      <c r="I1" s="49" t="s">
        <v>79</v>
      </c>
      <c r="J1" s="49" t="s">
        <v>80</v>
      </c>
      <c r="K1" s="49" t="s">
        <v>81</v>
      </c>
      <c r="L1" s="49" t="s">
        <v>82</v>
      </c>
      <c r="M1" s="49" t="s">
        <v>83</v>
      </c>
      <c r="N1" s="50" t="s">
        <v>84</v>
      </c>
    </row>
    <row r="2" spans="1:14" ht="15.75" thickBot="1">
      <c r="A2" s="51">
        <v>2020</v>
      </c>
      <c r="B2" s="46">
        <v>2.5</v>
      </c>
      <c r="C2" s="46">
        <v>2.2999999999999998</v>
      </c>
      <c r="D2" s="46">
        <v>1.5</v>
      </c>
      <c r="E2" s="46">
        <v>0.3</v>
      </c>
      <c r="F2" s="46">
        <v>0.1</v>
      </c>
      <c r="G2" s="46"/>
      <c r="H2" s="46"/>
      <c r="I2" s="46"/>
      <c r="J2" s="46"/>
      <c r="K2" s="46"/>
      <c r="L2" s="46"/>
      <c r="M2" s="46"/>
      <c r="N2" s="52"/>
    </row>
    <row r="3" spans="1:14" ht="15.75" thickBot="1">
      <c r="A3" s="51">
        <v>2019</v>
      </c>
      <c r="B3" s="46">
        <v>1.6</v>
      </c>
      <c r="C3" s="46">
        <v>1.5</v>
      </c>
      <c r="D3" s="46">
        <v>1.9</v>
      </c>
      <c r="E3" s="46">
        <v>2</v>
      </c>
      <c r="F3" s="46">
        <v>1.8</v>
      </c>
      <c r="G3" s="46">
        <v>1.6</v>
      </c>
      <c r="H3" s="46">
        <v>1.8</v>
      </c>
      <c r="I3" s="46">
        <v>1.7</v>
      </c>
      <c r="J3" s="46">
        <v>1.7</v>
      </c>
      <c r="K3" s="46">
        <v>1.8</v>
      </c>
      <c r="L3" s="46">
        <v>2.1</v>
      </c>
      <c r="M3" s="46">
        <v>2.2999999999999998</v>
      </c>
      <c r="N3" s="52">
        <v>1.8</v>
      </c>
    </row>
    <row r="4" spans="1:14" ht="15.75" thickBot="1">
      <c r="A4" s="53">
        <v>2018</v>
      </c>
      <c r="B4" s="47">
        <v>2.1</v>
      </c>
      <c r="C4" s="47">
        <v>2.2000000000000002</v>
      </c>
      <c r="D4" s="47">
        <v>2.4</v>
      </c>
      <c r="E4" s="47">
        <v>2.5</v>
      </c>
      <c r="F4" s="47">
        <v>2.8</v>
      </c>
      <c r="G4" s="47">
        <v>2.9</v>
      </c>
      <c r="H4" s="47">
        <v>2.9</v>
      </c>
      <c r="I4" s="47">
        <v>2.7</v>
      </c>
      <c r="J4" s="47">
        <v>2.2999999999999998</v>
      </c>
      <c r="K4" s="47">
        <v>2.5</v>
      </c>
      <c r="L4" s="47">
        <v>2.2000000000000002</v>
      </c>
      <c r="M4" s="47">
        <v>1.9</v>
      </c>
      <c r="N4" s="54">
        <v>2.4</v>
      </c>
    </row>
    <row r="5" spans="1:14" ht="15.75" thickBot="1">
      <c r="A5" s="51">
        <v>2017</v>
      </c>
      <c r="B5" s="46">
        <v>2.5</v>
      </c>
      <c r="C5" s="46">
        <v>2.7</v>
      </c>
      <c r="D5" s="46">
        <v>2.4</v>
      </c>
      <c r="E5" s="46">
        <v>2.2000000000000002</v>
      </c>
      <c r="F5" s="46">
        <v>1.9</v>
      </c>
      <c r="G5" s="46">
        <v>1.6</v>
      </c>
      <c r="H5" s="46">
        <v>1.7</v>
      </c>
      <c r="I5" s="46">
        <v>1.9</v>
      </c>
      <c r="J5" s="46">
        <v>2.2000000000000002</v>
      </c>
      <c r="K5" s="46">
        <v>2</v>
      </c>
      <c r="L5" s="46">
        <v>2.2000000000000002</v>
      </c>
      <c r="M5" s="46">
        <v>2.1</v>
      </c>
      <c r="N5" s="52">
        <v>2.1</v>
      </c>
    </row>
    <row r="6" spans="1:14" ht="15.75" thickBot="1">
      <c r="A6" s="53">
        <v>2016</v>
      </c>
      <c r="B6" s="47">
        <v>1.4</v>
      </c>
      <c r="C6" s="47">
        <v>1</v>
      </c>
      <c r="D6" s="47">
        <v>0.9</v>
      </c>
      <c r="E6" s="47">
        <v>1.1000000000000001</v>
      </c>
      <c r="F6" s="47">
        <v>1</v>
      </c>
      <c r="G6" s="47">
        <v>1</v>
      </c>
      <c r="H6" s="47">
        <v>0.8</v>
      </c>
      <c r="I6" s="47">
        <v>1.1000000000000001</v>
      </c>
      <c r="J6" s="47">
        <v>1.5</v>
      </c>
      <c r="K6" s="47">
        <v>1.6</v>
      </c>
      <c r="L6" s="47">
        <v>1.7</v>
      </c>
      <c r="M6" s="47">
        <v>2.1</v>
      </c>
      <c r="N6" s="54">
        <v>1.3</v>
      </c>
    </row>
    <row r="7" spans="1:14" ht="15.75" thickBot="1">
      <c r="A7" s="51">
        <v>2015</v>
      </c>
      <c r="B7" s="46">
        <v>-0.1</v>
      </c>
      <c r="C7" s="46">
        <v>0</v>
      </c>
      <c r="D7" s="46">
        <v>-0.1</v>
      </c>
      <c r="E7" s="46">
        <v>-0.2</v>
      </c>
      <c r="F7" s="46">
        <v>0</v>
      </c>
      <c r="G7" s="46">
        <v>0.1</v>
      </c>
      <c r="H7" s="46">
        <v>0.2</v>
      </c>
      <c r="I7" s="46">
        <v>0.2</v>
      </c>
      <c r="J7" s="46">
        <v>0</v>
      </c>
      <c r="K7" s="46">
        <v>0.2</v>
      </c>
      <c r="L7" s="46">
        <v>0.5</v>
      </c>
      <c r="M7" s="46">
        <v>0.7</v>
      </c>
      <c r="N7" s="52">
        <v>0.1</v>
      </c>
    </row>
    <row r="8" spans="1:14" ht="15.75" thickBot="1">
      <c r="A8" s="53">
        <v>2014</v>
      </c>
      <c r="B8" s="47">
        <v>1.6</v>
      </c>
      <c r="C8" s="47">
        <v>1.1000000000000001</v>
      </c>
      <c r="D8" s="47">
        <v>1.5</v>
      </c>
      <c r="E8" s="47">
        <v>2</v>
      </c>
      <c r="F8" s="47">
        <v>2.1</v>
      </c>
      <c r="G8" s="47">
        <v>2.1</v>
      </c>
      <c r="H8" s="47">
        <v>2</v>
      </c>
      <c r="I8" s="47">
        <v>1.7</v>
      </c>
      <c r="J8" s="47">
        <v>1.7</v>
      </c>
      <c r="K8" s="47">
        <v>1.7</v>
      </c>
      <c r="L8" s="47">
        <v>1.3</v>
      </c>
      <c r="M8" s="47">
        <v>0.8</v>
      </c>
      <c r="N8" s="54">
        <v>1.6</v>
      </c>
    </row>
    <row r="9" spans="1:14" ht="15.75" thickBot="1">
      <c r="A9" s="51">
        <v>2013</v>
      </c>
      <c r="B9" s="46">
        <v>1.6</v>
      </c>
      <c r="C9" s="46">
        <v>2</v>
      </c>
      <c r="D9" s="46">
        <v>1.5</v>
      </c>
      <c r="E9" s="46">
        <v>1.1000000000000001</v>
      </c>
      <c r="F9" s="46">
        <v>1.4</v>
      </c>
      <c r="G9" s="46">
        <v>1.8</v>
      </c>
      <c r="H9" s="46">
        <v>2</v>
      </c>
      <c r="I9" s="46">
        <v>1.5</v>
      </c>
      <c r="J9" s="46">
        <v>1.2</v>
      </c>
      <c r="K9" s="46">
        <v>1</v>
      </c>
      <c r="L9" s="46">
        <v>1.2</v>
      </c>
      <c r="M9" s="46">
        <v>1.5</v>
      </c>
      <c r="N9" s="52">
        <v>1.5</v>
      </c>
    </row>
    <row r="10" spans="1:14" ht="15.75" thickBot="1">
      <c r="A10" s="53">
        <v>2012</v>
      </c>
      <c r="B10" s="47">
        <v>2.9</v>
      </c>
      <c r="C10" s="47">
        <v>2.9</v>
      </c>
      <c r="D10" s="47">
        <v>2.7</v>
      </c>
      <c r="E10" s="47">
        <v>2.2999999999999998</v>
      </c>
      <c r="F10" s="47">
        <v>1.7</v>
      </c>
      <c r="G10" s="47">
        <v>1.7</v>
      </c>
      <c r="H10" s="47">
        <v>1.4</v>
      </c>
      <c r="I10" s="47">
        <v>1.7</v>
      </c>
      <c r="J10" s="47">
        <v>2</v>
      </c>
      <c r="K10" s="47">
        <v>2.2000000000000002</v>
      </c>
      <c r="L10" s="47">
        <v>1.8</v>
      </c>
      <c r="M10" s="47">
        <v>1.7</v>
      </c>
      <c r="N10" s="54">
        <v>2.1</v>
      </c>
    </row>
    <row r="11" spans="1:14" ht="15.75" thickBot="1">
      <c r="A11" s="51">
        <v>2011</v>
      </c>
      <c r="B11" s="46">
        <v>1.6</v>
      </c>
      <c r="C11" s="46">
        <v>2.1</v>
      </c>
      <c r="D11" s="46">
        <v>2.7</v>
      </c>
      <c r="E11" s="46">
        <v>3.2</v>
      </c>
      <c r="F11" s="46">
        <v>3.6</v>
      </c>
      <c r="G11" s="46">
        <v>3.6</v>
      </c>
      <c r="H11" s="46">
        <v>3.6</v>
      </c>
      <c r="I11" s="46">
        <v>3.8</v>
      </c>
      <c r="J11" s="46">
        <v>3.9</v>
      </c>
      <c r="K11" s="46">
        <v>3.5</v>
      </c>
      <c r="L11" s="46">
        <v>3.4</v>
      </c>
      <c r="M11" s="46">
        <v>3</v>
      </c>
      <c r="N11" s="52">
        <v>3.2</v>
      </c>
    </row>
    <row r="12" spans="1:14" ht="15.75" thickBot="1">
      <c r="A12" s="53">
        <v>2010</v>
      </c>
      <c r="B12" s="47">
        <v>2.6</v>
      </c>
      <c r="C12" s="47">
        <v>2.1</v>
      </c>
      <c r="D12" s="47">
        <v>2.2999999999999998</v>
      </c>
      <c r="E12" s="47">
        <v>2.2000000000000002</v>
      </c>
      <c r="F12" s="47">
        <v>2</v>
      </c>
      <c r="G12" s="47">
        <v>1.1000000000000001</v>
      </c>
      <c r="H12" s="47">
        <v>1.2</v>
      </c>
      <c r="I12" s="47">
        <v>1.1000000000000001</v>
      </c>
      <c r="J12" s="47">
        <v>1.1000000000000001</v>
      </c>
      <c r="K12" s="47">
        <v>1.2</v>
      </c>
      <c r="L12" s="47">
        <v>1.1000000000000001</v>
      </c>
      <c r="M12" s="47">
        <v>1.5</v>
      </c>
      <c r="N12" s="54">
        <v>1.6</v>
      </c>
    </row>
    <row r="13" spans="1:14" ht="15.75" thickBot="1">
      <c r="A13" s="51">
        <v>2009</v>
      </c>
      <c r="B13" s="46">
        <v>0</v>
      </c>
      <c r="C13" s="46">
        <v>0.2</v>
      </c>
      <c r="D13" s="46">
        <v>-0.4</v>
      </c>
      <c r="E13" s="46">
        <v>-0.7</v>
      </c>
      <c r="F13" s="46">
        <v>-1.3</v>
      </c>
      <c r="G13" s="46">
        <v>-1.4</v>
      </c>
      <c r="H13" s="46">
        <v>-2.1</v>
      </c>
      <c r="I13" s="46">
        <v>-1.5</v>
      </c>
      <c r="J13" s="46">
        <v>-1.3</v>
      </c>
      <c r="K13" s="46">
        <v>-0.2</v>
      </c>
      <c r="L13" s="46">
        <v>1.8</v>
      </c>
      <c r="M13" s="46">
        <v>2.7</v>
      </c>
      <c r="N13" s="52">
        <v>-0.4</v>
      </c>
    </row>
    <row r="14" spans="1:14" ht="15.75" thickBot="1">
      <c r="A14" s="53">
        <v>2008</v>
      </c>
      <c r="B14" s="47">
        <v>4.3</v>
      </c>
      <c r="C14" s="47">
        <v>4</v>
      </c>
      <c r="D14" s="47">
        <v>4</v>
      </c>
      <c r="E14" s="47">
        <v>3.9</v>
      </c>
      <c r="F14" s="47">
        <v>4.2</v>
      </c>
      <c r="G14" s="47">
        <v>5</v>
      </c>
      <c r="H14" s="47">
        <v>5.6</v>
      </c>
      <c r="I14" s="47">
        <v>5.4</v>
      </c>
      <c r="J14" s="47">
        <v>4.9000000000000004</v>
      </c>
      <c r="K14" s="47">
        <v>3.7</v>
      </c>
      <c r="L14" s="47">
        <v>1.1000000000000001</v>
      </c>
      <c r="M14" s="47">
        <v>0.1</v>
      </c>
      <c r="N14" s="54">
        <v>3.8</v>
      </c>
    </row>
    <row r="15" spans="1:14" ht="15.75" thickBot="1">
      <c r="A15" s="51">
        <v>2007</v>
      </c>
      <c r="B15" s="46">
        <v>2.1</v>
      </c>
      <c r="C15" s="46">
        <v>2.4</v>
      </c>
      <c r="D15" s="46">
        <v>2.8</v>
      </c>
      <c r="E15" s="46">
        <v>2.6</v>
      </c>
      <c r="F15" s="46">
        <v>2.7</v>
      </c>
      <c r="G15" s="46">
        <v>2.7</v>
      </c>
      <c r="H15" s="46">
        <v>2.4</v>
      </c>
      <c r="I15" s="46">
        <v>2</v>
      </c>
      <c r="J15" s="46">
        <v>2.8</v>
      </c>
      <c r="K15" s="46">
        <v>3.5</v>
      </c>
      <c r="L15" s="46">
        <v>4.3</v>
      </c>
      <c r="M15" s="46">
        <v>4.0999999999999996</v>
      </c>
      <c r="N15" s="52">
        <v>2.8</v>
      </c>
    </row>
    <row r="16" spans="1:14" ht="15.75" thickBot="1">
      <c r="A16" s="53">
        <v>2006</v>
      </c>
      <c r="B16" s="47">
        <v>4</v>
      </c>
      <c r="C16" s="47">
        <v>3.6</v>
      </c>
      <c r="D16" s="47">
        <v>3.4</v>
      </c>
      <c r="E16" s="47">
        <v>3.5</v>
      </c>
      <c r="F16" s="47">
        <v>4.2</v>
      </c>
      <c r="G16" s="47">
        <v>4.3</v>
      </c>
      <c r="H16" s="47">
        <v>4.0999999999999996</v>
      </c>
      <c r="I16" s="47">
        <v>3.8</v>
      </c>
      <c r="J16" s="47">
        <v>2.1</v>
      </c>
      <c r="K16" s="47">
        <v>1.3</v>
      </c>
      <c r="L16" s="47">
        <v>2</v>
      </c>
      <c r="M16" s="47">
        <v>2.5</v>
      </c>
      <c r="N16" s="54">
        <v>3.2</v>
      </c>
    </row>
    <row r="17" spans="1:14" ht="15.75" thickBot="1">
      <c r="A17" s="51">
        <v>2005</v>
      </c>
      <c r="B17" s="46">
        <v>3</v>
      </c>
      <c r="C17" s="46">
        <v>3</v>
      </c>
      <c r="D17" s="46">
        <v>3.1</v>
      </c>
      <c r="E17" s="46">
        <v>3.5</v>
      </c>
      <c r="F17" s="46">
        <v>2.8</v>
      </c>
      <c r="G17" s="46">
        <v>2.5</v>
      </c>
      <c r="H17" s="46">
        <v>3.2</v>
      </c>
      <c r="I17" s="46">
        <v>3.6</v>
      </c>
      <c r="J17" s="46">
        <v>4.7</v>
      </c>
      <c r="K17" s="46">
        <v>4.3</v>
      </c>
      <c r="L17" s="46">
        <v>3.5</v>
      </c>
      <c r="M17" s="46">
        <v>3.4</v>
      </c>
      <c r="N17" s="52">
        <v>3.4</v>
      </c>
    </row>
    <row r="18" spans="1:14" ht="15.75" thickBot="1">
      <c r="A18" s="53">
        <v>2004</v>
      </c>
      <c r="B18" s="47">
        <v>1.9</v>
      </c>
      <c r="C18" s="47">
        <v>1.7</v>
      </c>
      <c r="D18" s="47">
        <v>1.7</v>
      </c>
      <c r="E18" s="47">
        <v>2.2999999999999998</v>
      </c>
      <c r="F18" s="47">
        <v>3.1</v>
      </c>
      <c r="G18" s="47">
        <v>3.3</v>
      </c>
      <c r="H18" s="47">
        <v>3</v>
      </c>
      <c r="I18" s="47">
        <v>2.7</v>
      </c>
      <c r="J18" s="47">
        <v>2.5</v>
      </c>
      <c r="K18" s="47">
        <v>3.2</v>
      </c>
      <c r="L18" s="47">
        <v>3.5</v>
      </c>
      <c r="M18" s="47">
        <v>3.3</v>
      </c>
      <c r="N18" s="54">
        <v>2.7</v>
      </c>
    </row>
    <row r="19" spans="1:14" ht="15.75" thickBot="1">
      <c r="A19" s="51">
        <v>2003</v>
      </c>
      <c r="B19" s="46">
        <v>2.6</v>
      </c>
      <c r="C19" s="46">
        <v>3</v>
      </c>
      <c r="D19" s="46">
        <v>3</v>
      </c>
      <c r="E19" s="46">
        <v>2.2000000000000002</v>
      </c>
      <c r="F19" s="46">
        <v>2.1</v>
      </c>
      <c r="G19" s="46">
        <v>2.1</v>
      </c>
      <c r="H19" s="46">
        <v>2.1</v>
      </c>
      <c r="I19" s="46">
        <v>2.2000000000000002</v>
      </c>
      <c r="J19" s="46">
        <v>2.2999999999999998</v>
      </c>
      <c r="K19" s="46">
        <v>2</v>
      </c>
      <c r="L19" s="46">
        <v>1.8</v>
      </c>
      <c r="M19" s="46">
        <v>1.9</v>
      </c>
      <c r="N19" s="52">
        <v>2.2999999999999998</v>
      </c>
    </row>
    <row r="20" spans="1:14" ht="15.75" thickBot="1">
      <c r="A20" s="53">
        <v>2002</v>
      </c>
      <c r="B20" s="47">
        <v>1.1000000000000001</v>
      </c>
      <c r="C20" s="47">
        <v>1.1000000000000001</v>
      </c>
      <c r="D20" s="47">
        <v>1.5</v>
      </c>
      <c r="E20" s="47">
        <v>1.6</v>
      </c>
      <c r="F20" s="47">
        <v>1.2</v>
      </c>
      <c r="G20" s="47">
        <v>1.1000000000000001</v>
      </c>
      <c r="H20" s="47">
        <v>1.5</v>
      </c>
      <c r="I20" s="47">
        <v>1.8</v>
      </c>
      <c r="J20" s="47">
        <v>1.5</v>
      </c>
      <c r="K20" s="47">
        <v>2</v>
      </c>
      <c r="L20" s="47">
        <v>2.2000000000000002</v>
      </c>
      <c r="M20" s="47">
        <v>2.4</v>
      </c>
      <c r="N20" s="54">
        <v>1.6</v>
      </c>
    </row>
    <row r="21" spans="1:14" ht="15.75" thickBot="1">
      <c r="A21" s="51">
        <v>2001</v>
      </c>
      <c r="B21" s="46">
        <v>3.7</v>
      </c>
      <c r="C21" s="46">
        <v>3.5</v>
      </c>
      <c r="D21" s="46">
        <v>2.9</v>
      </c>
      <c r="E21" s="46">
        <v>3.3</v>
      </c>
      <c r="F21" s="46">
        <v>3.6</v>
      </c>
      <c r="G21" s="46">
        <v>3.2</v>
      </c>
      <c r="H21" s="46">
        <v>2.7</v>
      </c>
      <c r="I21" s="46">
        <v>2.7</v>
      </c>
      <c r="J21" s="46">
        <v>2.6</v>
      </c>
      <c r="K21" s="46">
        <v>2.1</v>
      </c>
      <c r="L21" s="46">
        <v>1.9</v>
      </c>
      <c r="M21" s="46">
        <v>1.6</v>
      </c>
      <c r="N21" s="52">
        <v>2.8</v>
      </c>
    </row>
    <row r="22" spans="1:14">
      <c r="A22" s="55">
        <v>2000</v>
      </c>
      <c r="B22" s="56">
        <v>2.7</v>
      </c>
      <c r="C22" s="56">
        <v>3.2</v>
      </c>
      <c r="D22" s="56">
        <v>3.8</v>
      </c>
      <c r="E22" s="56">
        <v>3.1</v>
      </c>
      <c r="F22" s="56">
        <v>3.2</v>
      </c>
      <c r="G22" s="56">
        <v>3.7</v>
      </c>
      <c r="H22" s="56">
        <v>3.7</v>
      </c>
      <c r="I22" s="56">
        <v>3.4</v>
      </c>
      <c r="J22" s="56">
        <v>3.5</v>
      </c>
      <c r="K22" s="56">
        <v>3.4</v>
      </c>
      <c r="L22" s="56">
        <v>3.4</v>
      </c>
      <c r="M22" s="56">
        <v>3.4</v>
      </c>
      <c r="N22" s="57">
        <v>3.4</v>
      </c>
    </row>
    <row r="23" spans="1:14">
      <c r="M23" t="s">
        <v>85</v>
      </c>
      <c r="N23" s="23">
        <f>AVERAGE(N3:N22)</f>
        <v>2.165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B1D0-083F-4551-81F1-090B1E73EFB1}">
  <dimension ref="A1:AE38"/>
  <sheetViews>
    <sheetView zoomScale="80" zoomScaleNormal="80" workbookViewId="0">
      <selection activeCell="H22" sqref="H22"/>
    </sheetView>
  </sheetViews>
  <sheetFormatPr defaultRowHeight="15"/>
  <cols>
    <col min="1" max="1" width="5.5703125" bestFit="1" customWidth="1"/>
    <col min="2" max="2" width="40.5703125" bestFit="1" customWidth="1"/>
    <col min="3" max="3" width="38.85546875" bestFit="1" customWidth="1"/>
    <col min="4" max="5" width="27.7109375" style="17" bestFit="1" customWidth="1"/>
    <col min="6" max="6" width="11.42578125" bestFit="1" customWidth="1"/>
    <col min="7" max="7" width="17.85546875" bestFit="1" customWidth="1"/>
    <col min="8" max="8" width="30" bestFit="1" customWidth="1"/>
    <col min="9" max="9" width="22.140625" customWidth="1"/>
    <col min="10" max="10" width="17.42578125" bestFit="1" customWidth="1"/>
    <col min="11" max="11" width="20.5703125" customWidth="1"/>
    <col min="12" max="12" width="11.140625" bestFit="1" customWidth="1"/>
    <col min="13" max="13" width="15.7109375" bestFit="1" customWidth="1"/>
    <col min="14" max="14" width="11.42578125" bestFit="1" customWidth="1"/>
    <col min="17" max="17" width="15.5703125" bestFit="1" customWidth="1"/>
    <col min="18" max="18" width="16.7109375" customWidth="1"/>
    <col min="25" max="25" width="15" bestFit="1" customWidth="1"/>
    <col min="26" max="26" width="11.42578125" bestFit="1" customWidth="1"/>
    <col min="27" max="27" width="15.85546875" bestFit="1" customWidth="1"/>
  </cols>
  <sheetData>
    <row r="1" spans="1:31">
      <c r="F1" s="85" t="s">
        <v>18</v>
      </c>
      <c r="G1" s="85"/>
      <c r="H1" s="85"/>
      <c r="I1" s="85"/>
      <c r="J1" s="85" t="s">
        <v>19</v>
      </c>
      <c r="K1" s="85"/>
      <c r="L1" s="85"/>
      <c r="M1" s="85"/>
      <c r="N1" s="85" t="s">
        <v>60</v>
      </c>
      <c r="O1" s="85"/>
      <c r="P1" s="85"/>
      <c r="Q1" s="85"/>
      <c r="R1" s="85"/>
      <c r="S1" s="85"/>
      <c r="T1" s="85" t="s">
        <v>61</v>
      </c>
      <c r="U1" s="85"/>
      <c r="V1" s="85"/>
      <c r="W1" s="85"/>
      <c r="X1" s="85"/>
      <c r="Y1" s="85"/>
      <c r="Z1" s="85" t="s">
        <v>62</v>
      </c>
      <c r="AA1" s="85"/>
      <c r="AB1" s="85"/>
      <c r="AC1" s="85"/>
      <c r="AD1" s="85"/>
      <c r="AE1" s="85"/>
    </row>
    <row r="2" spans="1:31">
      <c r="F2" s="85" t="s">
        <v>3</v>
      </c>
      <c r="G2" s="85"/>
      <c r="H2" s="85" t="s">
        <v>4</v>
      </c>
      <c r="I2" s="85"/>
      <c r="J2" s="85" t="s">
        <v>3</v>
      </c>
      <c r="K2" s="85"/>
      <c r="L2" s="85" t="s">
        <v>4</v>
      </c>
      <c r="M2" s="85"/>
      <c r="N2" s="85" t="s">
        <v>3</v>
      </c>
      <c r="O2" s="85"/>
      <c r="P2" s="85"/>
      <c r="Q2" s="85" t="s">
        <v>4</v>
      </c>
      <c r="R2" s="85"/>
      <c r="S2" s="85"/>
      <c r="T2" s="85" t="s">
        <v>3</v>
      </c>
      <c r="U2" s="85"/>
      <c r="V2" s="85"/>
      <c r="W2" s="85" t="s">
        <v>4</v>
      </c>
      <c r="X2" s="85"/>
      <c r="Y2" s="85"/>
      <c r="Z2" s="85" t="s">
        <v>3</v>
      </c>
      <c r="AA2" s="85"/>
      <c r="AB2" s="85"/>
      <c r="AC2" s="85" t="s">
        <v>4</v>
      </c>
      <c r="AD2" s="85"/>
      <c r="AE2" s="85"/>
    </row>
    <row r="3" spans="1:31" s="21" customFormat="1" ht="15" customHeight="1">
      <c r="A3" s="21" t="s">
        <v>1</v>
      </c>
      <c r="B3" s="25" t="s">
        <v>66</v>
      </c>
      <c r="C3" s="25" t="s">
        <v>67</v>
      </c>
      <c r="D3" s="21" t="s">
        <v>68</v>
      </c>
      <c r="E3" s="21" t="s">
        <v>69</v>
      </c>
      <c r="F3" s="21" t="s">
        <v>33</v>
      </c>
      <c r="G3" s="21" t="s">
        <v>59</v>
      </c>
      <c r="H3" s="21" t="s">
        <v>33</v>
      </c>
      <c r="I3" s="21" t="s">
        <v>59</v>
      </c>
      <c r="J3" s="21" t="s">
        <v>33</v>
      </c>
      <c r="K3" s="21" t="s">
        <v>59</v>
      </c>
      <c r="L3" s="21" t="s">
        <v>33</v>
      </c>
      <c r="M3" s="21" t="s">
        <v>59</v>
      </c>
      <c r="N3" s="21" t="s">
        <v>33</v>
      </c>
      <c r="O3" s="21" t="s">
        <v>59</v>
      </c>
      <c r="P3" s="21" t="s">
        <v>34</v>
      </c>
      <c r="Q3" s="21" t="s">
        <v>33</v>
      </c>
      <c r="R3" s="21" t="s">
        <v>59</v>
      </c>
      <c r="S3" s="21" t="s">
        <v>34</v>
      </c>
      <c r="T3" s="21" t="s">
        <v>33</v>
      </c>
      <c r="U3" s="21" t="s">
        <v>59</v>
      </c>
      <c r="V3" s="21" t="s">
        <v>34</v>
      </c>
      <c r="W3" s="21" t="s">
        <v>33</v>
      </c>
      <c r="X3" s="21" t="s">
        <v>59</v>
      </c>
      <c r="Y3" s="21" t="s">
        <v>34</v>
      </c>
      <c r="Z3" s="21" t="s">
        <v>33</v>
      </c>
      <c r="AA3" s="21" t="s">
        <v>59</v>
      </c>
      <c r="AB3" s="21" t="s">
        <v>34</v>
      </c>
      <c r="AC3" s="21" t="s">
        <v>33</v>
      </c>
      <c r="AD3" s="21" t="s">
        <v>59</v>
      </c>
      <c r="AE3" s="21" t="s">
        <v>34</v>
      </c>
    </row>
    <row r="4" spans="1:31">
      <c r="A4">
        <v>2003</v>
      </c>
      <c r="B4" s="17">
        <v>1</v>
      </c>
      <c r="C4" s="17">
        <v>1</v>
      </c>
      <c r="D4" s="42">
        <v>0</v>
      </c>
      <c r="E4" s="26">
        <v>0</v>
      </c>
      <c r="F4" s="35">
        <v>0</v>
      </c>
    </row>
    <row r="5" spans="1:31">
      <c r="A5">
        <v>2004</v>
      </c>
      <c r="B5" s="27">
        <f>B4/(1+0.03)</f>
        <v>0.970873786407767</v>
      </c>
      <c r="C5" s="27">
        <f>C4/(1+0.07)</f>
        <v>0.93457943925233644</v>
      </c>
      <c r="D5" s="35">
        <f t="shared" ref="D5:D19" si="0">(0.03-(B23/B22-1))/(1+(B23/B22-1))</f>
        <v>-2.6947160791872732E-17</v>
      </c>
      <c r="E5" s="37">
        <f t="shared" ref="E5:E19" si="1">(0.07-(B23/B22-1))/(1+(B23/B22-1))</f>
        <v>3.8834951456310662E-2</v>
      </c>
      <c r="F5" s="35">
        <f>0.03-C23</f>
        <v>-2.7755575615628914E-17</v>
      </c>
    </row>
    <row r="6" spans="1:31">
      <c r="A6">
        <v>2005</v>
      </c>
      <c r="B6" s="27">
        <f>B5/(1+0.03)</f>
        <v>0.94259590913375435</v>
      </c>
      <c r="C6" s="27">
        <f>C5/(1+0.07)</f>
        <v>0.87343872827321156</v>
      </c>
      <c r="D6" s="35">
        <f t="shared" si="0"/>
        <v>8.4905660377359638E-4</v>
      </c>
      <c r="E6" s="37">
        <f t="shared" si="1"/>
        <v>3.9716981132075488E-2</v>
      </c>
      <c r="F6" s="35">
        <f>0.03-C24</f>
        <v>8.7378640776700212E-4</v>
      </c>
    </row>
    <row r="7" spans="1:31">
      <c r="A7">
        <v>2006</v>
      </c>
      <c r="B7" s="27">
        <f t="shared" ref="B7:B19" si="2">B6/(1+0.03)</f>
        <v>0.9151416593531595</v>
      </c>
      <c r="C7" s="27">
        <f t="shared" ref="C7:C19" si="3">C6/(1+0.07)</f>
        <v>0.81629787689085187</v>
      </c>
      <c r="D7" s="35">
        <f t="shared" si="0"/>
        <v>-7.4545454545454472E-3</v>
      </c>
      <c r="E7" s="37">
        <f t="shared" si="1"/>
        <v>3.1090909090909107E-2</v>
      </c>
      <c r="F7" s="35">
        <f t="shared" ref="F7:F19" si="4">0.03-C25</f>
        <v>-7.7358490566037663E-3</v>
      </c>
    </row>
    <row r="8" spans="1:31">
      <c r="A8">
        <v>2007</v>
      </c>
      <c r="B8" s="27">
        <f t="shared" si="2"/>
        <v>0.88848704791568878</v>
      </c>
      <c r="C8" s="27">
        <f t="shared" si="3"/>
        <v>0.76289521204752508</v>
      </c>
      <c r="D8" s="35">
        <f t="shared" si="0"/>
        <v>2.6548672566373208E-3</v>
      </c>
      <c r="E8" s="37">
        <f t="shared" si="1"/>
        <v>4.1592920353982467E-2</v>
      </c>
      <c r="F8" s="35">
        <f t="shared" si="4"/>
        <v>2.7272727272728836E-3</v>
      </c>
    </row>
    <row r="9" spans="1:31">
      <c r="A9">
        <v>2008</v>
      </c>
      <c r="B9" s="27">
        <f t="shared" si="2"/>
        <v>0.86260878438416388</v>
      </c>
      <c r="C9" s="27">
        <f t="shared" si="3"/>
        <v>0.71298617948366827</v>
      </c>
      <c r="D9" s="35">
        <f t="shared" si="0"/>
        <v>-5.2136752136752677E-3</v>
      </c>
      <c r="E9" s="37">
        <f t="shared" si="1"/>
        <v>3.3418803418803371E-2</v>
      </c>
      <c r="F9" s="35">
        <f t="shared" si="4"/>
        <v>-5.3982300884956314E-3</v>
      </c>
    </row>
    <row r="10" spans="1:31">
      <c r="A10">
        <v>2009</v>
      </c>
      <c r="B10" s="27">
        <f t="shared" si="2"/>
        <v>0.83748425668365423</v>
      </c>
      <c r="C10" s="27">
        <f t="shared" si="3"/>
        <v>0.66634222381651231</v>
      </c>
      <c r="D10" s="35">
        <f t="shared" si="0"/>
        <v>0.03</v>
      </c>
      <c r="E10" s="37">
        <f t="shared" si="1"/>
        <v>7.0000000000000007E-2</v>
      </c>
      <c r="F10" s="35">
        <f t="shared" si="4"/>
        <v>0.03</v>
      </c>
    </row>
    <row r="11" spans="1:31">
      <c r="A11">
        <v>2010</v>
      </c>
      <c r="B11" s="27">
        <f t="shared" si="2"/>
        <v>0.81309151134335356</v>
      </c>
      <c r="C11" s="27">
        <f t="shared" si="3"/>
        <v>0.62274974188459087</v>
      </c>
      <c r="D11" s="35">
        <f t="shared" si="0"/>
        <v>1.2689075630252161E-2</v>
      </c>
      <c r="E11" s="37">
        <f t="shared" si="1"/>
        <v>5.2016806722689143E-2</v>
      </c>
      <c r="F11" s="35">
        <f t="shared" si="4"/>
        <v>1.2905982905982966E-2</v>
      </c>
    </row>
    <row r="12" spans="1:31">
      <c r="A12">
        <v>2011</v>
      </c>
      <c r="B12" s="27">
        <f t="shared" si="2"/>
        <v>0.7894092343139355</v>
      </c>
      <c r="C12" s="27">
        <f t="shared" si="3"/>
        <v>0.58200910456503818</v>
      </c>
      <c r="D12" s="35">
        <f t="shared" si="0"/>
        <v>4.6721311475408523E-3</v>
      </c>
      <c r="E12" s="37">
        <f t="shared" si="1"/>
        <v>4.3688524590163806E-2</v>
      </c>
      <c r="F12" s="35">
        <f t="shared" si="4"/>
        <v>4.789915966386421E-3</v>
      </c>
    </row>
    <row r="13" spans="1:31">
      <c r="A13">
        <v>2012</v>
      </c>
      <c r="B13" s="27">
        <f t="shared" si="2"/>
        <v>0.76641673234362673</v>
      </c>
      <c r="C13" s="27">
        <f t="shared" si="3"/>
        <v>0.54393374258414784</v>
      </c>
      <c r="D13" s="35">
        <f t="shared" si="0"/>
        <v>5.2800000000000806E-3</v>
      </c>
      <c r="E13" s="37">
        <f t="shared" si="1"/>
        <v>4.4320000000000088E-2</v>
      </c>
      <c r="F13" s="35">
        <f t="shared" si="4"/>
        <v>5.4098360655738531E-3</v>
      </c>
    </row>
    <row r="14" spans="1:31">
      <c r="A14">
        <v>2013</v>
      </c>
      <c r="B14" s="27">
        <f t="shared" si="2"/>
        <v>0.74409391489672494</v>
      </c>
      <c r="C14" s="27">
        <f t="shared" si="3"/>
        <v>0.50834929213471758</v>
      </c>
      <c r="D14" s="35">
        <f t="shared" si="0"/>
        <v>1.3779527559055102E-2</v>
      </c>
      <c r="E14" s="37">
        <f t="shared" si="1"/>
        <v>5.3149606299212587E-2</v>
      </c>
      <c r="F14" s="35">
        <f t="shared" si="4"/>
        <v>1.3999999999999985E-2</v>
      </c>
    </row>
    <row r="15" spans="1:31">
      <c r="A15">
        <v>2014</v>
      </c>
      <c r="B15" s="27">
        <f t="shared" si="2"/>
        <v>0.7224212765987621</v>
      </c>
      <c r="C15" s="27">
        <f t="shared" si="3"/>
        <v>0.4750927963875865</v>
      </c>
      <c r="D15" s="35">
        <f t="shared" si="0"/>
        <v>1.4031007751938012E-2</v>
      </c>
      <c r="E15" s="37">
        <f t="shared" si="1"/>
        <v>5.3410852713178331E-2</v>
      </c>
      <c r="F15" s="35">
        <f t="shared" si="4"/>
        <v>1.4251968503937035E-2</v>
      </c>
    </row>
    <row r="16" spans="1:31">
      <c r="A16">
        <v>2015</v>
      </c>
      <c r="B16" s="27">
        <f t="shared" si="2"/>
        <v>0.70137988019297293</v>
      </c>
      <c r="C16" s="27">
        <f t="shared" si="3"/>
        <v>0.444011959240735</v>
      </c>
      <c r="D16" s="35">
        <f t="shared" si="0"/>
        <v>0.03</v>
      </c>
      <c r="E16" s="37">
        <f t="shared" si="1"/>
        <v>7.0000000000000007E-2</v>
      </c>
      <c r="F16" s="35">
        <f t="shared" si="4"/>
        <v>0.03</v>
      </c>
    </row>
    <row r="17" spans="1:11">
      <c r="A17">
        <v>2016</v>
      </c>
      <c r="B17" s="27">
        <f t="shared" si="2"/>
        <v>0.68095133999317758</v>
      </c>
      <c r="C17" s="27">
        <f t="shared" si="3"/>
        <v>0.41496444788853737</v>
      </c>
      <c r="D17" s="35">
        <f t="shared" si="0"/>
        <v>2.2076923076923063E-2</v>
      </c>
      <c r="E17" s="37">
        <f t="shared" si="1"/>
        <v>6.1769230769230764E-2</v>
      </c>
      <c r="F17" s="35">
        <f t="shared" si="4"/>
        <v>2.2248062015503861E-2</v>
      </c>
    </row>
    <row r="18" spans="1:11">
      <c r="A18">
        <v>2017</v>
      </c>
      <c r="B18" s="27">
        <f t="shared" si="2"/>
        <v>0.66111780581861901</v>
      </c>
      <c r="C18" s="27">
        <f t="shared" si="3"/>
        <v>0.38781724101732462</v>
      </c>
      <c r="D18" s="45">
        <f t="shared" si="0"/>
        <v>6.7669172932331625E-3</v>
      </c>
      <c r="E18" s="37">
        <f t="shared" si="1"/>
        <v>4.5864661654135427E-2</v>
      </c>
      <c r="F18" s="35">
        <f t="shared" si="4"/>
        <v>6.923076923077004E-3</v>
      </c>
    </row>
    <row r="19" spans="1:11">
      <c r="A19">
        <v>2018</v>
      </c>
      <c r="B19" s="27">
        <f t="shared" si="2"/>
        <v>0.64186194739671742</v>
      </c>
      <c r="C19" s="27">
        <f t="shared" si="3"/>
        <v>0.36244601964235945</v>
      </c>
      <c r="D19" s="35">
        <f t="shared" si="0"/>
        <v>7.279411764705937E-3</v>
      </c>
      <c r="E19" s="37">
        <f t="shared" si="1"/>
        <v>4.6397058823529479E-2</v>
      </c>
      <c r="F19" s="35">
        <f t="shared" si="4"/>
        <v>7.4436090225564466E-3</v>
      </c>
    </row>
    <row r="20" spans="1:11">
      <c r="D20" s="15"/>
      <c r="E20" s="15"/>
    </row>
    <row r="21" spans="1:11" ht="30">
      <c r="A21" s="21" t="s">
        <v>1</v>
      </c>
      <c r="B21" s="29" t="s">
        <v>39</v>
      </c>
      <c r="C21" s="29" t="s">
        <v>70</v>
      </c>
      <c r="D21" s="38" t="s">
        <v>40</v>
      </c>
      <c r="E21" s="38" t="s">
        <v>40</v>
      </c>
      <c r="G21" s="61" t="s">
        <v>25</v>
      </c>
      <c r="H21" s="19" t="s">
        <v>23</v>
      </c>
      <c r="I21" s="19" t="s">
        <v>57</v>
      </c>
      <c r="J21" s="19" t="s">
        <v>26</v>
      </c>
      <c r="K21" s="19" t="s">
        <v>28</v>
      </c>
    </row>
    <row r="22" spans="1:11">
      <c r="A22">
        <v>2003</v>
      </c>
      <c r="B22" s="17">
        <v>1</v>
      </c>
      <c r="C22" s="17">
        <v>0</v>
      </c>
      <c r="D22" s="39">
        <v>1</v>
      </c>
      <c r="E22" s="39">
        <v>0</v>
      </c>
      <c r="G22" s="20" t="s">
        <v>18</v>
      </c>
      <c r="H22" s="17" t="s">
        <v>27</v>
      </c>
      <c r="I22" s="17" t="s">
        <v>51</v>
      </c>
      <c r="J22" s="17">
        <v>40</v>
      </c>
      <c r="K22" s="18" t="s">
        <v>58</v>
      </c>
    </row>
    <row r="23" spans="1:11">
      <c r="A23">
        <v>2004</v>
      </c>
      <c r="B23" s="17">
        <v>1.03</v>
      </c>
      <c r="C23" s="35">
        <f>B23/B22-1</f>
        <v>3.0000000000000027E-2</v>
      </c>
      <c r="D23" s="40">
        <v>1.0619004524886879</v>
      </c>
      <c r="E23" s="41">
        <f>D23/D22-1</f>
        <v>6.1900452488687918E-2</v>
      </c>
      <c r="G23" t="s">
        <v>19</v>
      </c>
      <c r="H23" s="17" t="s">
        <v>52</v>
      </c>
      <c r="I23" s="17" t="s">
        <v>55</v>
      </c>
      <c r="J23" s="17">
        <v>40</v>
      </c>
      <c r="K23" s="18" t="s">
        <v>58</v>
      </c>
    </row>
    <row r="24" spans="1:11">
      <c r="A24">
        <v>2005</v>
      </c>
      <c r="B24" s="17">
        <v>1.06</v>
      </c>
      <c r="C24" s="35">
        <f>B24/B23-1</f>
        <v>2.9126213592232997E-2</v>
      </c>
      <c r="D24" s="40">
        <v>1.1395475113122173</v>
      </c>
      <c r="E24" s="41">
        <f t="shared" ref="E24:E37" si="5">D24/D23-1</f>
        <v>7.312084540651087E-2</v>
      </c>
      <c r="G24" t="s">
        <v>35</v>
      </c>
      <c r="H24" s="17" t="s">
        <v>54</v>
      </c>
      <c r="I24" s="17" t="s">
        <v>54</v>
      </c>
      <c r="J24" s="17">
        <v>20</v>
      </c>
      <c r="K24" t="s">
        <v>37</v>
      </c>
    </row>
    <row r="25" spans="1:11">
      <c r="A25">
        <v>2006</v>
      </c>
      <c r="B25" s="17">
        <v>1.1000000000000001</v>
      </c>
      <c r="C25" s="35">
        <f>B25/B24-1</f>
        <v>3.7735849056603765E-2</v>
      </c>
      <c r="D25" s="40">
        <v>1.1927601809954751</v>
      </c>
      <c r="E25" s="41">
        <f t="shared" si="5"/>
        <v>4.6696315120711374E-2</v>
      </c>
      <c r="G25" t="s">
        <v>36</v>
      </c>
      <c r="H25" s="17" t="s">
        <v>51</v>
      </c>
      <c r="I25" s="17" t="s">
        <v>51</v>
      </c>
      <c r="J25" s="17">
        <v>15</v>
      </c>
      <c r="K25" t="s">
        <v>38</v>
      </c>
    </row>
    <row r="26" spans="1:11">
      <c r="A26">
        <v>2007</v>
      </c>
      <c r="B26" s="17">
        <v>1.1299999999999999</v>
      </c>
      <c r="C26" s="35">
        <f t="shared" ref="C26:C37" si="6">B26/B25-1</f>
        <v>2.7272727272727115E-2</v>
      </c>
      <c r="D26" s="40">
        <v>1.2500150829562595</v>
      </c>
      <c r="E26" s="41">
        <f t="shared" si="5"/>
        <v>4.8002023267577298E-2</v>
      </c>
      <c r="G26" t="s">
        <v>24</v>
      </c>
      <c r="H26" s="17" t="s">
        <v>51</v>
      </c>
      <c r="I26" s="17" t="s">
        <v>51</v>
      </c>
      <c r="J26" s="17" t="s">
        <v>21</v>
      </c>
      <c r="K26" s="17" t="s">
        <v>56</v>
      </c>
    </row>
    <row r="27" spans="1:11">
      <c r="A27">
        <v>2008</v>
      </c>
      <c r="B27" s="17">
        <v>1.17</v>
      </c>
      <c r="C27" s="35">
        <f t="shared" si="6"/>
        <v>3.539823008849563E-2</v>
      </c>
      <c r="D27" s="40">
        <v>1.3726093514328808</v>
      </c>
      <c r="E27" s="41">
        <f t="shared" si="5"/>
        <v>9.8074231381823251E-2</v>
      </c>
      <c r="G27" t="s">
        <v>20</v>
      </c>
      <c r="H27" s="18" t="s">
        <v>22</v>
      </c>
      <c r="I27" s="17" t="s">
        <v>21</v>
      </c>
      <c r="J27" s="17" t="s">
        <v>21</v>
      </c>
      <c r="K27" s="17" t="s">
        <v>21</v>
      </c>
    </row>
    <row r="28" spans="1:11">
      <c r="A28">
        <v>2009</v>
      </c>
      <c r="B28" s="17">
        <v>1.17</v>
      </c>
      <c r="C28" s="35">
        <f t="shared" si="6"/>
        <v>0</v>
      </c>
      <c r="D28" s="40">
        <v>1.2518250377073907</v>
      </c>
      <c r="E28" s="41">
        <f t="shared" si="5"/>
        <v>-8.7996132038152042E-2</v>
      </c>
    </row>
    <row r="29" spans="1:11">
      <c r="A29">
        <v>2010</v>
      </c>
      <c r="B29" s="17">
        <v>1.19</v>
      </c>
      <c r="C29" s="35">
        <f t="shared" si="6"/>
        <v>1.7094017094017033E-2</v>
      </c>
      <c r="D29" s="40">
        <v>1.3374358974358973</v>
      </c>
      <c r="E29" s="41">
        <f t="shared" si="5"/>
        <v>6.838883801628981E-2</v>
      </c>
    </row>
    <row r="30" spans="1:11">
      <c r="A30">
        <v>2011</v>
      </c>
      <c r="B30" s="17">
        <v>1.22</v>
      </c>
      <c r="C30" s="35">
        <f t="shared" si="6"/>
        <v>2.5210084033613578E-2</v>
      </c>
      <c r="D30" s="40">
        <v>1.4555656108597286</v>
      </c>
      <c r="E30" s="41">
        <f t="shared" si="5"/>
        <v>8.8325514254781856E-2</v>
      </c>
    </row>
    <row r="31" spans="1:11">
      <c r="A31">
        <v>2012</v>
      </c>
      <c r="B31" s="17">
        <v>1.25</v>
      </c>
      <c r="C31" s="35">
        <f>B31/B30-1</f>
        <v>2.4590163934426146E-2</v>
      </c>
      <c r="D31" s="40">
        <v>1.4635897435897436</v>
      </c>
      <c r="E31" s="41">
        <f t="shared" si="5"/>
        <v>5.5127248611455126E-3</v>
      </c>
    </row>
    <row r="32" spans="1:11">
      <c r="A32">
        <v>2013</v>
      </c>
      <c r="B32" s="17">
        <v>1.27</v>
      </c>
      <c r="C32" s="35">
        <f t="shared" si="6"/>
        <v>1.6000000000000014E-2</v>
      </c>
      <c r="D32" s="40">
        <v>1.4726395173453997</v>
      </c>
      <c r="E32" s="41">
        <f t="shared" si="5"/>
        <v>6.1832721876415864E-3</v>
      </c>
    </row>
    <row r="33" spans="1:5">
      <c r="A33">
        <v>2014</v>
      </c>
      <c r="B33" s="17">
        <v>1.29</v>
      </c>
      <c r="C33" s="35">
        <f t="shared" si="6"/>
        <v>1.5748031496062964E-2</v>
      </c>
      <c r="D33" s="40">
        <v>1.4864555052790347</v>
      </c>
      <c r="E33" s="41">
        <f t="shared" si="5"/>
        <v>9.3817854070219475E-3</v>
      </c>
    </row>
    <row r="34" spans="1:5">
      <c r="A34">
        <v>2015</v>
      </c>
      <c r="B34" s="17">
        <v>1.29</v>
      </c>
      <c r="C34" s="35">
        <f t="shared" si="6"/>
        <v>0</v>
      </c>
      <c r="D34" s="40">
        <v>1.3787631975867269</v>
      </c>
      <c r="E34" s="41">
        <f>D34/D33-1</f>
        <v>-7.2449062423898036E-2</v>
      </c>
    </row>
    <row r="35" spans="1:5">
      <c r="A35">
        <v>2016</v>
      </c>
      <c r="B35" s="27">
        <v>1.3</v>
      </c>
      <c r="C35" s="35">
        <f t="shared" si="6"/>
        <v>7.7519379844961378E-3</v>
      </c>
      <c r="D35" s="40">
        <v>1.3420814479638008</v>
      </c>
      <c r="E35" s="41">
        <f t="shared" si="5"/>
        <v>-2.6604822124010052E-2</v>
      </c>
    </row>
    <row r="36" spans="1:5">
      <c r="A36">
        <v>2017</v>
      </c>
      <c r="B36" s="17">
        <v>1.33</v>
      </c>
      <c r="C36" s="35">
        <f t="shared" si="6"/>
        <v>2.3076923076922995E-2</v>
      </c>
      <c r="D36" s="40">
        <v>1.4011463046757164</v>
      </c>
      <c r="E36" s="41">
        <f t="shared" si="5"/>
        <v>4.4009889862890672E-2</v>
      </c>
    </row>
    <row r="37" spans="1:5">
      <c r="A37">
        <v>2018</v>
      </c>
      <c r="B37" s="17">
        <v>1.36</v>
      </c>
      <c r="C37" s="35">
        <f t="shared" si="6"/>
        <v>2.2556390977443552E-2</v>
      </c>
      <c r="D37" s="40">
        <v>1.4620814479638009</v>
      </c>
      <c r="E37" s="41">
        <f t="shared" si="5"/>
        <v>4.348949362728205E-2</v>
      </c>
    </row>
    <row r="38" spans="1:5">
      <c r="B38" s="28">
        <f>1.36^(1/15)</f>
        <v>1.0207105271007744</v>
      </c>
      <c r="C38" s="58">
        <f>AVERAGE(C23:C37)</f>
        <v>2.0770704573802798E-2</v>
      </c>
      <c r="E38" s="58">
        <f>AVERAGE(E23:E37)</f>
        <v>2.70690246197536E-2</v>
      </c>
    </row>
  </sheetData>
  <mergeCells count="15">
    <mergeCell ref="N2:P2"/>
    <mergeCell ref="Q2:S2"/>
    <mergeCell ref="N1:S1"/>
    <mergeCell ref="F2:G2"/>
    <mergeCell ref="F1:I1"/>
    <mergeCell ref="H2:I2"/>
    <mergeCell ref="J1:M1"/>
    <mergeCell ref="J2:K2"/>
    <mergeCell ref="L2:M2"/>
    <mergeCell ref="T1:Y1"/>
    <mergeCell ref="T2:V2"/>
    <mergeCell ref="W2:Y2"/>
    <mergeCell ref="Z1:AE1"/>
    <mergeCell ref="Z2:AB2"/>
    <mergeCell ref="AC2:AE2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52F8-E546-45AB-94D0-933ED43304F2}">
  <dimension ref="A1:E18"/>
  <sheetViews>
    <sheetView workbookViewId="0">
      <selection activeCell="C18" sqref="C18"/>
    </sheetView>
  </sheetViews>
  <sheetFormatPr defaultRowHeight="15"/>
  <cols>
    <col min="2" max="2" width="40.28515625" bestFit="1" customWidth="1"/>
    <col min="3" max="3" width="38.7109375" bestFit="1" customWidth="1"/>
    <col min="4" max="5" width="27" bestFit="1" customWidth="1"/>
  </cols>
  <sheetData>
    <row r="1" spans="1:5">
      <c r="A1" s="21" t="s">
        <v>1</v>
      </c>
      <c r="B1" s="29" t="s">
        <v>39</v>
      </c>
      <c r="C1" s="29" t="s">
        <v>70</v>
      </c>
      <c r="D1" s="38" t="s">
        <v>40</v>
      </c>
      <c r="E1" s="38" t="s">
        <v>40</v>
      </c>
    </row>
    <row r="2" spans="1:5">
      <c r="A2">
        <v>2003</v>
      </c>
      <c r="B2" s="17">
        <v>1</v>
      </c>
      <c r="C2" s="35">
        <v>0</v>
      </c>
      <c r="D2" s="39">
        <v>1</v>
      </c>
      <c r="E2" s="43">
        <v>0</v>
      </c>
    </row>
    <row r="3" spans="1:5">
      <c r="A3">
        <v>2004</v>
      </c>
      <c r="B3" s="17">
        <v>1.03</v>
      </c>
      <c r="C3" s="44">
        <f>B3/B2-1</f>
        <v>3.0000000000000027E-2</v>
      </c>
      <c r="D3" s="40">
        <v>1.0619004524886879</v>
      </c>
      <c r="E3" s="41">
        <f>D3/D2-1</f>
        <v>6.1900452488687918E-2</v>
      </c>
    </row>
    <row r="4" spans="1:5">
      <c r="A4">
        <v>2005</v>
      </c>
      <c r="B4" s="17">
        <v>1.06</v>
      </c>
      <c r="C4" s="35">
        <f>B4/B3-1</f>
        <v>2.9126213592232997E-2</v>
      </c>
      <c r="D4" s="40">
        <v>1.1395475113122173</v>
      </c>
      <c r="E4" s="41">
        <f t="shared" ref="E4:E17" si="0">D4/D3-1</f>
        <v>7.312084540651087E-2</v>
      </c>
    </row>
    <row r="5" spans="1:5">
      <c r="A5">
        <v>2006</v>
      </c>
      <c r="B5" s="17">
        <v>1.1000000000000001</v>
      </c>
      <c r="C5" s="35">
        <f>B5/B4-1</f>
        <v>3.7735849056603765E-2</v>
      </c>
      <c r="D5" s="40">
        <v>1.1927601809954751</v>
      </c>
      <c r="E5" s="41">
        <f t="shared" si="0"/>
        <v>4.6696315120711374E-2</v>
      </c>
    </row>
    <row r="6" spans="1:5">
      <c r="A6">
        <v>2007</v>
      </c>
      <c r="B6" s="17">
        <v>1.1299999999999999</v>
      </c>
      <c r="C6" s="35">
        <f t="shared" ref="C6:C17" si="1">B6/B5-1</f>
        <v>2.7272727272727115E-2</v>
      </c>
      <c r="D6" s="40">
        <v>1.2500150829562595</v>
      </c>
      <c r="E6" s="41">
        <f t="shared" si="0"/>
        <v>4.8002023267577298E-2</v>
      </c>
    </row>
    <row r="7" spans="1:5">
      <c r="A7">
        <v>2008</v>
      </c>
      <c r="B7" s="17">
        <v>1.17</v>
      </c>
      <c r="C7" s="35">
        <f t="shared" si="1"/>
        <v>3.539823008849563E-2</v>
      </c>
      <c r="D7" s="40">
        <v>1.3726093514328808</v>
      </c>
      <c r="E7" s="41">
        <f t="shared" si="0"/>
        <v>9.8074231381823251E-2</v>
      </c>
    </row>
    <row r="8" spans="1:5">
      <c r="A8">
        <v>2009</v>
      </c>
      <c r="B8" s="17">
        <v>1.17</v>
      </c>
      <c r="C8" s="35">
        <f t="shared" si="1"/>
        <v>0</v>
      </c>
      <c r="D8" s="40">
        <v>1.2518250377073907</v>
      </c>
      <c r="E8" s="41">
        <f t="shared" si="0"/>
        <v>-8.7996132038152042E-2</v>
      </c>
    </row>
    <row r="9" spans="1:5">
      <c r="A9">
        <v>2010</v>
      </c>
      <c r="B9" s="17">
        <v>1.19</v>
      </c>
      <c r="C9" s="35">
        <f t="shared" si="1"/>
        <v>1.7094017094017033E-2</v>
      </c>
      <c r="D9" s="40">
        <v>1.3374358974358973</v>
      </c>
      <c r="E9" s="41">
        <f t="shared" si="0"/>
        <v>6.838883801628981E-2</v>
      </c>
    </row>
    <row r="10" spans="1:5">
      <c r="A10">
        <v>2011</v>
      </c>
      <c r="B10" s="17">
        <v>1.22</v>
      </c>
      <c r="C10" s="35">
        <f t="shared" si="1"/>
        <v>2.5210084033613578E-2</v>
      </c>
      <c r="D10" s="40">
        <v>1.4555656108597286</v>
      </c>
      <c r="E10" s="41">
        <f t="shared" si="0"/>
        <v>8.8325514254781856E-2</v>
      </c>
    </row>
    <row r="11" spans="1:5">
      <c r="A11">
        <v>2012</v>
      </c>
      <c r="B11" s="17">
        <v>1.25</v>
      </c>
      <c r="C11" s="35">
        <f>B11/B10-1</f>
        <v>2.4590163934426146E-2</v>
      </c>
      <c r="D11" s="40">
        <v>1.4635897435897436</v>
      </c>
      <c r="E11" s="41">
        <f t="shared" si="0"/>
        <v>5.5127248611455126E-3</v>
      </c>
    </row>
    <row r="12" spans="1:5">
      <c r="A12">
        <v>2013</v>
      </c>
      <c r="B12" s="17">
        <v>1.27</v>
      </c>
      <c r="C12" s="35">
        <f t="shared" si="1"/>
        <v>1.6000000000000014E-2</v>
      </c>
      <c r="D12" s="40">
        <v>1.4726395173453997</v>
      </c>
      <c r="E12" s="41">
        <f t="shared" si="0"/>
        <v>6.1832721876415864E-3</v>
      </c>
    </row>
    <row r="13" spans="1:5">
      <c r="A13">
        <v>2014</v>
      </c>
      <c r="B13" s="17">
        <v>1.29</v>
      </c>
      <c r="C13" s="35">
        <f t="shared" si="1"/>
        <v>1.5748031496062964E-2</v>
      </c>
      <c r="D13" s="40">
        <v>1.4864555052790347</v>
      </c>
      <c r="E13" s="41">
        <f t="shared" si="0"/>
        <v>9.3817854070219475E-3</v>
      </c>
    </row>
    <row r="14" spans="1:5">
      <c r="A14">
        <v>2015</v>
      </c>
      <c r="B14" s="17">
        <v>1.29</v>
      </c>
      <c r="C14" s="35">
        <f t="shared" si="1"/>
        <v>0</v>
      </c>
      <c r="D14" s="40">
        <v>1.3787631975867269</v>
      </c>
      <c r="E14" s="41">
        <f>D14/D13-1</f>
        <v>-7.2449062423898036E-2</v>
      </c>
    </row>
    <row r="15" spans="1:5">
      <c r="A15">
        <v>2016</v>
      </c>
      <c r="B15" s="17">
        <v>1.3</v>
      </c>
      <c r="C15" s="35">
        <f t="shared" si="1"/>
        <v>7.7519379844961378E-3</v>
      </c>
      <c r="D15" s="40">
        <v>1.3420814479638008</v>
      </c>
      <c r="E15" s="41">
        <f t="shared" si="0"/>
        <v>-2.6604822124010052E-2</v>
      </c>
    </row>
    <row r="16" spans="1:5">
      <c r="A16">
        <v>2017</v>
      </c>
      <c r="B16" s="17">
        <v>1.33</v>
      </c>
      <c r="C16" s="35">
        <f t="shared" si="1"/>
        <v>2.3076923076922995E-2</v>
      </c>
      <c r="D16" s="40">
        <v>1.4011463046757164</v>
      </c>
      <c r="E16" s="41">
        <f t="shared" si="0"/>
        <v>4.4009889862890672E-2</v>
      </c>
    </row>
    <row r="17" spans="1:5">
      <c r="A17">
        <v>2018</v>
      </c>
      <c r="B17" s="17">
        <v>1.36</v>
      </c>
      <c r="C17" s="35">
        <f t="shared" si="1"/>
        <v>2.2556390977443552E-2</v>
      </c>
      <c r="D17" s="40">
        <v>1.4620814479638009</v>
      </c>
      <c r="E17" s="41">
        <f t="shared" si="0"/>
        <v>4.348949362728205E-2</v>
      </c>
    </row>
    <row r="18" spans="1:5">
      <c r="C18" s="63">
        <f>AVERAGE(C2:C17)</f>
        <v>1.9472535537940122E-2</v>
      </c>
      <c r="E18" s="63">
        <f>AVERAGE(E2:E17)</f>
        <v>2.5377210581019001E-2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7CB2-4356-4DFA-9AAC-D8FCAA7E56EF}">
  <dimension ref="A1:N55"/>
  <sheetViews>
    <sheetView workbookViewId="0">
      <selection activeCell="I29" sqref="I29"/>
    </sheetView>
  </sheetViews>
  <sheetFormatPr defaultRowHeight="15"/>
  <cols>
    <col min="1" max="1" width="24.28515625" bestFit="1" customWidth="1"/>
    <col min="3" max="3" width="24.42578125" bestFit="1" customWidth="1"/>
    <col min="4" max="4" width="28.42578125" bestFit="1" customWidth="1"/>
    <col min="7" max="7" width="17.7109375" bestFit="1" customWidth="1"/>
    <col min="8" max="8" width="15.28515625" bestFit="1" customWidth="1"/>
    <col min="9" max="9" width="21" customWidth="1"/>
    <col min="10" max="10" width="15.42578125" customWidth="1"/>
    <col min="11" max="11" width="21.140625" bestFit="1" customWidth="1"/>
    <col min="12" max="12" width="15.85546875" customWidth="1"/>
    <col min="13" max="13" width="11.42578125" customWidth="1"/>
    <col min="14" max="14" width="14.5703125" customWidth="1"/>
  </cols>
  <sheetData>
    <row r="1" spans="1:14">
      <c r="A1" t="s">
        <v>116</v>
      </c>
      <c r="B1" t="s">
        <v>250</v>
      </c>
      <c r="C1" t="s">
        <v>252</v>
      </c>
      <c r="D1" t="s">
        <v>251</v>
      </c>
    </row>
    <row r="2" spans="1:14">
      <c r="A2" t="s">
        <v>196</v>
      </c>
      <c r="B2" t="s">
        <v>131</v>
      </c>
      <c r="C2">
        <v>0</v>
      </c>
      <c r="D2">
        <v>0</v>
      </c>
      <c r="G2" t="s">
        <v>116</v>
      </c>
      <c r="H2" t="s">
        <v>250</v>
      </c>
      <c r="I2" t="s">
        <v>252</v>
      </c>
      <c r="J2" t="s">
        <v>251</v>
      </c>
    </row>
    <row r="3" spans="1:14">
      <c r="A3" t="s">
        <v>197</v>
      </c>
      <c r="B3" t="s">
        <v>132</v>
      </c>
      <c r="C3">
        <v>185.46199999999999</v>
      </c>
      <c r="D3">
        <v>43.5473</v>
      </c>
      <c r="G3" s="72" t="s">
        <v>214</v>
      </c>
      <c r="H3" s="72" t="s">
        <v>149</v>
      </c>
      <c r="I3" s="75">
        <v>-498.96300000000002</v>
      </c>
      <c r="J3" s="75">
        <v>-22.1663</v>
      </c>
    </row>
    <row r="4" spans="1:14">
      <c r="A4" t="s">
        <v>198</v>
      </c>
      <c r="B4" t="s">
        <v>133</v>
      </c>
      <c r="C4">
        <v>252.756</v>
      </c>
      <c r="D4">
        <v>62.586199999999998</v>
      </c>
      <c r="G4" s="72" t="s">
        <v>232</v>
      </c>
      <c r="H4" s="72" t="s">
        <v>167</v>
      </c>
      <c r="I4" s="75">
        <v>-492.94299999999998</v>
      </c>
      <c r="J4" s="75">
        <v>-22.628499999999999</v>
      </c>
    </row>
    <row r="5" spans="1:14">
      <c r="A5" t="s">
        <v>199</v>
      </c>
      <c r="B5" t="s">
        <v>134</v>
      </c>
      <c r="C5">
        <v>-2461.4899999999998</v>
      </c>
      <c r="D5">
        <v>-14.2509</v>
      </c>
      <c r="G5" s="72" t="s">
        <v>233</v>
      </c>
      <c r="H5" s="72" t="s">
        <v>168</v>
      </c>
      <c r="I5" s="75">
        <v>-121.54600000000001</v>
      </c>
      <c r="J5" s="75">
        <v>-9.6169799999999999</v>
      </c>
    </row>
    <row r="6" spans="1:14">
      <c r="A6" t="s">
        <v>200</v>
      </c>
      <c r="B6" t="s">
        <v>135</v>
      </c>
      <c r="C6">
        <v>642.65499999999997</v>
      </c>
      <c r="D6">
        <v>-25.741299999999999</v>
      </c>
      <c r="G6" s="72" t="s">
        <v>234</v>
      </c>
      <c r="H6" s="72" t="s">
        <v>169</v>
      </c>
      <c r="I6" s="75">
        <v>-70.647900000000007</v>
      </c>
      <c r="J6" s="75">
        <v>-5.7590300000000001</v>
      </c>
    </row>
    <row r="7" spans="1:14">
      <c r="A7" t="s">
        <v>201</v>
      </c>
      <c r="B7" t="s">
        <v>136</v>
      </c>
      <c r="C7">
        <v>705.28399999999999</v>
      </c>
      <c r="D7">
        <v>-29.708200000000001</v>
      </c>
      <c r="G7" s="72" t="s">
        <v>235</v>
      </c>
      <c r="H7" s="72" t="s">
        <v>170</v>
      </c>
      <c r="I7" s="75">
        <v>-35.299599999999998</v>
      </c>
      <c r="J7" s="75">
        <v>5.6379200000000003</v>
      </c>
    </row>
    <row r="8" spans="1:14">
      <c r="A8" t="s">
        <v>202</v>
      </c>
      <c r="B8" t="s">
        <v>137</v>
      </c>
      <c r="C8">
        <v>-661.56</v>
      </c>
      <c r="D8">
        <v>-13.9916</v>
      </c>
      <c r="G8" s="72" t="s">
        <v>242</v>
      </c>
      <c r="H8" s="72" t="s">
        <v>177</v>
      </c>
      <c r="I8" s="75">
        <v>970.76199999999994</v>
      </c>
      <c r="J8" s="75">
        <v>26.475100000000001</v>
      </c>
    </row>
    <row r="9" spans="1:14">
      <c r="A9" t="s">
        <v>203</v>
      </c>
      <c r="B9" t="s">
        <v>138</v>
      </c>
      <c r="C9">
        <v>2640.76</v>
      </c>
      <c r="D9">
        <v>-20.857800000000001</v>
      </c>
      <c r="G9" s="72" t="s">
        <v>243</v>
      </c>
      <c r="H9" s="72" t="s">
        <v>178</v>
      </c>
      <c r="I9" s="75">
        <v>986.572</v>
      </c>
      <c r="J9" s="75">
        <v>27.223199999999999</v>
      </c>
    </row>
    <row r="10" spans="1:14">
      <c r="A10" t="s">
        <v>204</v>
      </c>
      <c r="B10" t="s">
        <v>139</v>
      </c>
      <c r="C10">
        <v>2542.0700000000002</v>
      </c>
      <c r="D10">
        <v>-23.321000000000002</v>
      </c>
      <c r="G10" s="72"/>
      <c r="H10" s="72"/>
      <c r="I10" s="72"/>
      <c r="J10" s="72"/>
    </row>
    <row r="11" spans="1:14">
      <c r="A11" t="s">
        <v>205</v>
      </c>
      <c r="B11" t="s">
        <v>140</v>
      </c>
      <c r="C11">
        <v>1840.88</v>
      </c>
      <c r="D11">
        <v>33.467500000000001</v>
      </c>
    </row>
    <row r="12" spans="1:14">
      <c r="A12" t="s">
        <v>206</v>
      </c>
      <c r="B12" t="s">
        <v>141</v>
      </c>
      <c r="C12">
        <v>1355.32</v>
      </c>
      <c r="D12">
        <v>34.396099999999997</v>
      </c>
    </row>
    <row r="13" spans="1:14">
      <c r="A13" t="s">
        <v>207</v>
      </c>
      <c r="B13" t="s">
        <v>142</v>
      </c>
      <c r="C13">
        <v>1366.23</v>
      </c>
      <c r="D13">
        <v>35.251300000000001</v>
      </c>
    </row>
    <row r="14" spans="1:14">
      <c r="A14" t="s">
        <v>208</v>
      </c>
      <c r="B14" t="s">
        <v>143</v>
      </c>
      <c r="C14">
        <v>2147.75</v>
      </c>
      <c r="D14">
        <v>47.602499999999999</v>
      </c>
      <c r="G14" t="s">
        <v>253</v>
      </c>
      <c r="H14" t="s">
        <v>254</v>
      </c>
      <c r="I14" t="s">
        <v>255</v>
      </c>
      <c r="J14" t="s">
        <v>256</v>
      </c>
      <c r="K14" t="s">
        <v>261</v>
      </c>
      <c r="L14" t="s">
        <v>252</v>
      </c>
      <c r="M14" t="s">
        <v>259</v>
      </c>
    </row>
    <row r="15" spans="1:14">
      <c r="A15" t="s">
        <v>209</v>
      </c>
      <c r="B15" t="s">
        <v>144</v>
      </c>
      <c r="C15">
        <v>1556.38</v>
      </c>
      <c r="D15">
        <v>48.445300000000003</v>
      </c>
      <c r="G15" t="s">
        <v>257</v>
      </c>
      <c r="H15" s="77">
        <v>913862306.87942898</v>
      </c>
      <c r="I15" s="77">
        <v>2189136160.6268301</v>
      </c>
      <c r="J15" s="77">
        <f>I15-H15</f>
        <v>1275273853.7474012</v>
      </c>
      <c r="K15" s="23">
        <v>1890.1423700042501</v>
      </c>
      <c r="L15" t="s">
        <v>21</v>
      </c>
      <c r="M15" t="s">
        <v>21</v>
      </c>
      <c r="N15" t="s">
        <v>260</v>
      </c>
    </row>
    <row r="16" spans="1:14">
      <c r="A16" t="s">
        <v>210</v>
      </c>
      <c r="B16" t="s">
        <v>145</v>
      </c>
      <c r="C16">
        <v>1557.29</v>
      </c>
      <c r="D16">
        <v>49.543199999999999</v>
      </c>
      <c r="G16" t="s">
        <v>258</v>
      </c>
      <c r="H16" s="77">
        <v>929862305.04546201</v>
      </c>
      <c r="I16" s="77">
        <v>2192369216.4544501</v>
      </c>
      <c r="J16" s="77">
        <f>I16-H16</f>
        <v>1262506911.408988</v>
      </c>
      <c r="K16" s="23">
        <v>1657.5349720617498</v>
      </c>
      <c r="L16" s="79">
        <f>(J15-J16)/(K15-K16)/523</f>
        <v>104.94498382459517</v>
      </c>
      <c r="M16" s="78">
        <f>(J15-J16)/(K15-K16)</f>
        <v>54886.226540263277</v>
      </c>
      <c r="N16" s="9">
        <v>2725.8863636363599</v>
      </c>
    </row>
    <row r="17" spans="1:8">
      <c r="A17" t="s">
        <v>211</v>
      </c>
      <c r="B17" t="s">
        <v>146</v>
      </c>
      <c r="C17">
        <v>3019.66</v>
      </c>
      <c r="D17">
        <v>67.526600000000002</v>
      </c>
    </row>
    <row r="18" spans="1:8">
      <c r="A18" t="s">
        <v>212</v>
      </c>
      <c r="B18" t="s">
        <v>147</v>
      </c>
      <c r="C18">
        <v>1941.94</v>
      </c>
      <c r="D18">
        <v>68.003900000000002</v>
      </c>
    </row>
    <row r="19" spans="1:8">
      <c r="A19" t="s">
        <v>213</v>
      </c>
      <c r="B19" t="s">
        <v>148</v>
      </c>
      <c r="C19">
        <v>1943.45</v>
      </c>
      <c r="D19">
        <v>69.479600000000005</v>
      </c>
    </row>
    <row r="20" spans="1:8">
      <c r="A20" t="s">
        <v>214</v>
      </c>
      <c r="B20" s="74" t="s">
        <v>149</v>
      </c>
      <c r="C20" s="74">
        <v>-498.96300000000002</v>
      </c>
      <c r="D20">
        <v>-22.1663</v>
      </c>
    </row>
    <row r="21" spans="1:8">
      <c r="A21" t="s">
        <v>215</v>
      </c>
      <c r="B21" t="s">
        <v>150</v>
      </c>
      <c r="C21">
        <v>-7.6656500000000003</v>
      </c>
      <c r="D21">
        <v>-0.78794299999999995</v>
      </c>
    </row>
    <row r="22" spans="1:8">
      <c r="A22" t="s">
        <v>216</v>
      </c>
      <c r="B22" t="s">
        <v>151</v>
      </c>
      <c r="C22">
        <v>51.824800000000003</v>
      </c>
      <c r="D22">
        <v>5.52989</v>
      </c>
    </row>
    <row r="23" spans="1:8">
      <c r="A23" t="s">
        <v>217</v>
      </c>
      <c r="B23" t="s">
        <v>152</v>
      </c>
      <c r="C23">
        <v>403.166</v>
      </c>
      <c r="D23">
        <v>-10.4993</v>
      </c>
    </row>
    <row r="24" spans="1:8">
      <c r="A24" t="s">
        <v>218</v>
      </c>
      <c r="B24" t="s">
        <v>153</v>
      </c>
      <c r="C24">
        <v>265.21699999999998</v>
      </c>
      <c r="D24">
        <v>-30.008199999999999</v>
      </c>
    </row>
    <row r="25" spans="1:8">
      <c r="A25" t="s">
        <v>219</v>
      </c>
      <c r="B25" t="s">
        <v>154</v>
      </c>
      <c r="C25">
        <v>319.38600000000002</v>
      </c>
      <c r="D25">
        <v>-37.215699999999998</v>
      </c>
      <c r="H25" s="23"/>
    </row>
    <row r="26" spans="1:8">
      <c r="A26" t="s">
        <v>220</v>
      </c>
      <c r="B26" t="s">
        <v>155</v>
      </c>
      <c r="C26" s="67">
        <v>9188.0499999999993</v>
      </c>
      <c r="D26">
        <v>-12.1271</v>
      </c>
      <c r="H26" s="23"/>
    </row>
    <row r="27" spans="1:8">
      <c r="A27" t="s">
        <v>221</v>
      </c>
      <c r="B27" t="s">
        <v>156</v>
      </c>
      <c r="C27">
        <v>534.33600000000001</v>
      </c>
      <c r="D27">
        <v>-21.512499999999999</v>
      </c>
      <c r="H27" s="23"/>
    </row>
    <row r="28" spans="1:8">
      <c r="A28" t="s">
        <v>222</v>
      </c>
      <c r="B28" t="s">
        <v>157</v>
      </c>
      <c r="C28">
        <v>588.58699999999999</v>
      </c>
      <c r="D28">
        <v>-24.979099999999999</v>
      </c>
    </row>
    <row r="29" spans="1:8">
      <c r="A29" t="s">
        <v>223</v>
      </c>
      <c r="B29" t="s">
        <v>158</v>
      </c>
      <c r="C29">
        <v>1441.21</v>
      </c>
      <c r="D29">
        <v>29.159500000000001</v>
      </c>
    </row>
    <row r="30" spans="1:8">
      <c r="A30" t="s">
        <v>224</v>
      </c>
      <c r="B30" t="s">
        <v>159</v>
      </c>
      <c r="C30">
        <v>1133.75</v>
      </c>
      <c r="D30">
        <v>30.159199999999998</v>
      </c>
    </row>
    <row r="31" spans="1:8">
      <c r="A31" t="s">
        <v>225</v>
      </c>
      <c r="B31" t="s">
        <v>160</v>
      </c>
      <c r="C31">
        <v>1146.73</v>
      </c>
      <c r="D31">
        <v>30.958300000000001</v>
      </c>
    </row>
    <row r="32" spans="1:8">
      <c r="A32" t="s">
        <v>226</v>
      </c>
      <c r="B32" t="s">
        <v>161</v>
      </c>
      <c r="C32">
        <v>1570.64</v>
      </c>
      <c r="D32">
        <v>40.795000000000002</v>
      </c>
    </row>
    <row r="33" spans="1:4">
      <c r="A33" t="s">
        <v>227</v>
      </c>
      <c r="B33" t="s">
        <v>162</v>
      </c>
      <c r="C33">
        <v>1259.32</v>
      </c>
      <c r="D33">
        <v>41.804900000000004</v>
      </c>
    </row>
    <row r="34" spans="1:4">
      <c r="A34" t="s">
        <v>228</v>
      </c>
      <c r="B34" t="s">
        <v>163</v>
      </c>
      <c r="C34">
        <v>1275.44</v>
      </c>
      <c r="D34">
        <v>42.805999999999997</v>
      </c>
    </row>
    <row r="35" spans="1:4">
      <c r="A35" t="s">
        <v>229</v>
      </c>
      <c r="B35" t="s">
        <v>164</v>
      </c>
      <c r="C35">
        <v>1865.76</v>
      </c>
      <c r="D35">
        <v>55.468000000000004</v>
      </c>
    </row>
    <row r="36" spans="1:4">
      <c r="A36" t="s">
        <v>230</v>
      </c>
      <c r="B36" t="s">
        <v>165</v>
      </c>
      <c r="C36">
        <v>1431.39</v>
      </c>
      <c r="D36">
        <v>56.365499999999997</v>
      </c>
    </row>
    <row r="37" spans="1:4">
      <c r="A37" t="s">
        <v>231</v>
      </c>
      <c r="B37" t="s">
        <v>166</v>
      </c>
      <c r="C37">
        <v>1442.77</v>
      </c>
      <c r="D37">
        <v>57.652000000000001</v>
      </c>
    </row>
    <row r="38" spans="1:4">
      <c r="A38" t="s">
        <v>232</v>
      </c>
      <c r="B38" s="74" t="s">
        <v>167</v>
      </c>
      <c r="C38" s="74">
        <v>-492.94299999999998</v>
      </c>
      <c r="D38">
        <v>-22.628499999999999</v>
      </c>
    </row>
    <row r="39" spans="1:4">
      <c r="A39" t="s">
        <v>233</v>
      </c>
      <c r="B39" s="74" t="s">
        <v>168</v>
      </c>
      <c r="C39" s="74">
        <v>-121.54600000000001</v>
      </c>
      <c r="D39">
        <v>-9.6169799999999999</v>
      </c>
    </row>
    <row r="40" spans="1:4">
      <c r="A40" t="s">
        <v>234</v>
      </c>
      <c r="B40" s="74" t="s">
        <v>169</v>
      </c>
      <c r="C40" s="74">
        <v>-70.647900000000007</v>
      </c>
      <c r="D40">
        <v>-5.7590300000000001</v>
      </c>
    </row>
    <row r="41" spans="1:4">
      <c r="A41" t="s">
        <v>235</v>
      </c>
      <c r="B41" s="74" t="s">
        <v>170</v>
      </c>
      <c r="C41" s="74">
        <v>-35.299599999999998</v>
      </c>
      <c r="D41">
        <v>5.6379200000000003</v>
      </c>
    </row>
    <row r="42" spans="1:4">
      <c r="A42" t="s">
        <v>236</v>
      </c>
      <c r="B42" t="s">
        <v>171</v>
      </c>
      <c r="C42">
        <v>87.396500000000003</v>
      </c>
      <c r="D42">
        <v>-70.956199999999995</v>
      </c>
    </row>
    <row r="43" spans="1:4">
      <c r="A43" t="s">
        <v>237</v>
      </c>
      <c r="B43" t="s">
        <v>172</v>
      </c>
      <c r="C43">
        <v>131.65</v>
      </c>
      <c r="D43">
        <v>-109.8</v>
      </c>
    </row>
    <row r="44" spans="1:4">
      <c r="A44" t="s">
        <v>238</v>
      </c>
      <c r="B44" t="s">
        <v>173</v>
      </c>
      <c r="C44">
        <v>177.41399999999999</v>
      </c>
      <c r="D44">
        <v>-8.1516300000000008</v>
      </c>
    </row>
    <row r="45" spans="1:4">
      <c r="A45" t="s">
        <v>239</v>
      </c>
      <c r="B45" t="s">
        <v>174</v>
      </c>
      <c r="C45">
        <v>198.64099999999999</v>
      </c>
      <c r="D45">
        <v>-23.176500000000001</v>
      </c>
    </row>
    <row r="46" spans="1:4">
      <c r="A46" t="s">
        <v>240</v>
      </c>
      <c r="B46" t="s">
        <v>175</v>
      </c>
      <c r="C46">
        <v>242.74799999999999</v>
      </c>
      <c r="D46">
        <v>-29.070499999999999</v>
      </c>
    </row>
    <row r="47" spans="1:4">
      <c r="A47" t="s">
        <v>241</v>
      </c>
      <c r="B47" s="76" t="s">
        <v>176</v>
      </c>
      <c r="C47" s="76">
        <v>1165.5899999999999</v>
      </c>
      <c r="D47" s="76">
        <v>25.4343</v>
      </c>
    </row>
    <row r="48" spans="1:4">
      <c r="A48" t="s">
        <v>242</v>
      </c>
      <c r="B48" s="74" t="s">
        <v>177</v>
      </c>
      <c r="C48" s="74">
        <v>970.76199999999994</v>
      </c>
      <c r="D48">
        <v>26.475100000000001</v>
      </c>
    </row>
    <row r="49" spans="1:4">
      <c r="A49" t="s">
        <v>243</v>
      </c>
      <c r="B49" s="74" t="s">
        <v>178</v>
      </c>
      <c r="C49" s="74">
        <v>986.572</v>
      </c>
      <c r="D49">
        <v>27.223199999999999</v>
      </c>
    </row>
    <row r="50" spans="1:4">
      <c r="A50" t="s">
        <v>244</v>
      </c>
      <c r="B50" t="s">
        <v>179</v>
      </c>
      <c r="C50">
        <v>1230.96</v>
      </c>
      <c r="D50">
        <v>35.056600000000003</v>
      </c>
    </row>
    <row r="51" spans="1:4">
      <c r="A51" t="s">
        <v>245</v>
      </c>
      <c r="B51" t="s">
        <v>180</v>
      </c>
      <c r="C51">
        <v>1048.46</v>
      </c>
      <c r="D51">
        <v>36.160299999999999</v>
      </c>
    </row>
    <row r="52" spans="1:4">
      <c r="A52" t="s">
        <v>246</v>
      </c>
      <c r="B52" t="s">
        <v>181</v>
      </c>
      <c r="C52">
        <v>1059.31</v>
      </c>
      <c r="D52">
        <v>37.080300000000001</v>
      </c>
    </row>
    <row r="53" spans="1:4">
      <c r="A53" t="s">
        <v>247</v>
      </c>
      <c r="B53" t="s">
        <v>182</v>
      </c>
      <c r="C53">
        <v>1328.03</v>
      </c>
      <c r="D53">
        <v>46.322600000000001</v>
      </c>
    </row>
    <row r="54" spans="1:4">
      <c r="A54" t="s">
        <v>248</v>
      </c>
      <c r="B54" t="s">
        <v>183</v>
      </c>
      <c r="C54">
        <v>1117.06</v>
      </c>
      <c r="D54">
        <v>47.448500000000003</v>
      </c>
    </row>
    <row r="55" spans="1:4">
      <c r="A55" t="s">
        <v>249</v>
      </c>
      <c r="B55" t="s">
        <v>184</v>
      </c>
      <c r="C55">
        <v>1130.9000000000001</v>
      </c>
      <c r="D55">
        <v>48.591999999999999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DWT</vt:lpstr>
      <vt:lpstr>GP</vt:lpstr>
      <vt:lpstr>Crop_corn</vt:lpstr>
      <vt:lpstr>Crop_soybean</vt:lpstr>
      <vt:lpstr>switchgrass</vt:lpstr>
      <vt:lpstr>Alfred PPI</vt:lpstr>
      <vt:lpstr>Example</vt:lpstr>
      <vt:lpstr>CPI_inflation</vt:lpstr>
      <vt:lpstr>Summary</vt:lpstr>
      <vt:lpstr>Inflation</vt:lpstr>
      <vt:lpstr>cost efficiency_nutrient remova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Shaobin</dc:creator>
  <cp:lastModifiedBy>Shaobin</cp:lastModifiedBy>
  <dcterms:created xsi:type="dcterms:W3CDTF">2015-06-05T18:17:20Z</dcterms:created>
  <dcterms:modified xsi:type="dcterms:W3CDTF">2021-04-23T21:44:47Z</dcterms:modified>
</cp:coreProperties>
</file>