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/>
  <xr:revisionPtr revIDLastSave="0" documentId="13_ncr:1_{407F13F7-5B34-484B-8BFF-891FD06B6918}" xr6:coauthVersionLast="46" xr6:coauthVersionMax="46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1" sheetId="12" state="hidden" r:id="rId1"/>
    <sheet name="Wet_milling" sheetId="2" r:id="rId2"/>
    <sheet name="Dry_grind" sheetId="9" r:id="rId3"/>
  </sheets>
  <definedNames>
    <definedName name="_xlnm.Print_Area" localSheetId="1">Wet_milling!$B$1:$H$34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" i="9" l="1"/>
  <c r="J16" i="9" s="1"/>
  <c r="J11" i="9"/>
  <c r="J10" i="9"/>
  <c r="F5" i="9"/>
  <c r="H21" i="2"/>
  <c r="G21" i="2"/>
  <c r="F21" i="2"/>
  <c r="E21" i="2"/>
  <c r="H5" i="2" l="1"/>
  <c r="H27" i="2" s="1"/>
  <c r="H7" i="2"/>
  <c r="H29" i="2" s="1"/>
  <c r="H6" i="2"/>
  <c r="H8" i="2"/>
  <c r="H28" i="2"/>
  <c r="G28" i="2"/>
  <c r="H20" i="2"/>
  <c r="G20" i="2"/>
  <c r="G22" i="2"/>
  <c r="F8" i="2"/>
  <c r="F30" i="2" s="1"/>
  <c r="F7" i="2"/>
  <c r="F29" i="2" s="1"/>
  <c r="F5" i="2"/>
  <c r="F27" i="2" s="1"/>
  <c r="F6" i="2"/>
  <c r="G5" i="2"/>
  <c r="G27" i="2" s="1"/>
  <c r="G7" i="2"/>
  <c r="G6" i="2"/>
  <c r="G8" i="2"/>
  <c r="G30" i="2" s="1"/>
  <c r="F28" i="2"/>
  <c r="H30" i="2"/>
  <c r="G29" i="2"/>
  <c r="H22" i="2"/>
  <c r="F20" i="2"/>
  <c r="F22" i="2" s="1"/>
  <c r="E20" i="2"/>
  <c r="D21" i="2"/>
  <c r="D20" i="2"/>
  <c r="D5" i="9"/>
  <c r="D27" i="9"/>
  <c r="F27" i="9" l="1"/>
  <c r="H14" i="9" l="1"/>
  <c r="G14" i="9"/>
  <c r="F14" i="9"/>
  <c r="E14" i="9" l="1"/>
  <c r="D14" i="9"/>
  <c r="H21" i="9"/>
  <c r="G21" i="9"/>
  <c r="F21" i="9"/>
  <c r="F22" i="9"/>
  <c r="F20" i="9" s="1"/>
  <c r="E21" i="9"/>
  <c r="D21" i="9"/>
  <c r="F29" i="9"/>
  <c r="F28" i="9"/>
  <c r="F7" i="9"/>
  <c r="F6" i="9"/>
  <c r="D2" i="2"/>
  <c r="D22" i="2" s="1"/>
  <c r="D27" i="2" l="1"/>
  <c r="D6" i="2"/>
  <c r="D8" i="2"/>
  <c r="D28" i="2"/>
  <c r="D30" i="2"/>
  <c r="D5" i="2"/>
  <c r="D7" i="2"/>
  <c r="D29" i="2"/>
  <c r="H2" i="9"/>
  <c r="G2" i="9"/>
  <c r="F3" i="9"/>
  <c r="E2" i="9"/>
  <c r="D2" i="9"/>
  <c r="D7" i="9" l="1"/>
  <c r="D22" i="9"/>
  <c r="D20" i="9" s="1"/>
  <c r="G27" i="9"/>
  <c r="G22" i="9"/>
  <c r="G20" i="9" s="1"/>
  <c r="E27" i="9"/>
  <c r="E22" i="9"/>
  <c r="E20" i="9" s="1"/>
  <c r="H27" i="9"/>
  <c r="H28" i="9"/>
  <c r="H22" i="9"/>
  <c r="H20" i="9" s="1"/>
  <c r="E29" i="9"/>
  <c r="E28" i="9"/>
  <c r="E6" i="9"/>
  <c r="E5" i="9"/>
  <c r="E7" i="9"/>
  <c r="H7" i="9"/>
  <c r="H6" i="9"/>
  <c r="H5" i="9"/>
  <c r="H29" i="9"/>
  <c r="D29" i="9"/>
  <c r="D6" i="9"/>
  <c r="D28" i="9"/>
  <c r="G29" i="9"/>
  <c r="G28" i="9"/>
  <c r="G7" i="9"/>
  <c r="G5" i="9"/>
  <c r="G6" i="9"/>
  <c r="G3" i="9" l="1"/>
  <c r="H3" i="9"/>
  <c r="E3" i="9"/>
  <c r="D3" i="9"/>
  <c r="E2" i="2" l="1"/>
  <c r="E5" i="2" l="1"/>
  <c r="E6" i="2"/>
  <c r="E30" i="2"/>
  <c r="E29" i="2"/>
  <c r="E7" i="2"/>
  <c r="E8" i="2"/>
  <c r="E28" i="2"/>
  <c r="E27" i="2"/>
  <c r="E22" i="2"/>
</calcChain>
</file>

<file path=xl/sharedStrings.xml><?xml version="1.0" encoding="utf-8"?>
<sst xmlns="http://schemas.openxmlformats.org/spreadsheetml/2006/main" count="236" uniqueCount="115">
  <si>
    <t>Inputs</t>
  </si>
  <si>
    <t>Capital cost for P recovery unit ($)</t>
  </si>
  <si>
    <t>Operating cost for P recovery unit ($/year)</t>
  </si>
  <si>
    <t>Energy consumtpion</t>
  </si>
  <si>
    <t>Water consumption</t>
  </si>
  <si>
    <t>Operational electricity for P recovery unit (kWh/MT corn grain)</t>
  </si>
  <si>
    <t>Operational natural gas for P recovery unit (MJ/MT corn grain)</t>
  </si>
  <si>
    <t>Operating cost for baseline ($/year)</t>
  </si>
  <si>
    <t>Capital cost for baseline ($)</t>
  </si>
  <si>
    <t>Amount of P in corn (% db)</t>
  </si>
  <si>
    <t>P content in CGF without P recovery (mg/g)</t>
  </si>
  <si>
    <t>Ethanol (gallon / MT corn grain)</t>
  </si>
  <si>
    <t>DDGS (kg /MT corn grain)</t>
  </si>
  <si>
    <t>P content in DDGS without P recovery (mg/g)</t>
  </si>
  <si>
    <t>P content in DDGS after P recovery (mg/g)</t>
  </si>
  <si>
    <t>Baseline cost (no recovered P)</t>
  </si>
  <si>
    <t>Notation in Scenario</t>
  </si>
  <si>
    <t>Corn oil (kg/ MT corn grain)</t>
  </si>
  <si>
    <t xml:space="preserve">Product Outputs </t>
  </si>
  <si>
    <t>Direct fixed capital cost ($)</t>
  </si>
  <si>
    <t>Baseline revenue</t>
  </si>
  <si>
    <t>S1_0.67</t>
  </si>
  <si>
    <t>S1_0.84</t>
  </si>
  <si>
    <t>S1_0.95</t>
  </si>
  <si>
    <t>S2_0.67</t>
  </si>
  <si>
    <t>S2_0.84</t>
  </si>
  <si>
    <t>S2_0.95</t>
  </si>
  <si>
    <t>P related</t>
  </si>
  <si>
    <t>Product Output</t>
  </si>
  <si>
    <t>Recovered phosphorus unit</t>
  </si>
  <si>
    <t>Water usefor P recovery unit (m3/MT corn grain)</t>
  </si>
  <si>
    <t>Water use for whole plant (m3/MT corn grain)</t>
  </si>
  <si>
    <t>Base</t>
  </si>
  <si>
    <t>Capi</t>
  </si>
  <si>
    <t>DFC</t>
  </si>
  <si>
    <t>Oper</t>
  </si>
  <si>
    <t>Util</t>
  </si>
  <si>
    <t>Mater</t>
  </si>
  <si>
    <t>FDC</t>
  </si>
  <si>
    <t>reve</t>
  </si>
  <si>
    <t>Elec</t>
  </si>
  <si>
    <t>NG</t>
  </si>
  <si>
    <t>Water</t>
  </si>
  <si>
    <t xml:space="preserve">Total P </t>
  </si>
  <si>
    <t>P Complex</t>
  </si>
  <si>
    <t>P Recovery</t>
  </si>
  <si>
    <t>S1_5</t>
  </si>
  <si>
    <t>S2_5</t>
  </si>
  <si>
    <t>Category</t>
  </si>
  <si>
    <t>rP product</t>
  </si>
  <si>
    <t xml:space="preserve">Product outputs </t>
  </si>
  <si>
    <t>P complex recovered (kg/yr, Ca, N, Solubles)</t>
  </si>
  <si>
    <t>Plant capacity (MT corn/yr)</t>
  </si>
  <si>
    <t>Plant capacity (MT corn/hr)</t>
  </si>
  <si>
    <t>NA</t>
  </si>
  <si>
    <t>Water use (kg/kg corn grain)</t>
  </si>
  <si>
    <t>Operational electricity for entire model with P recovery unit  (kWh/MT corn grain)</t>
  </si>
  <si>
    <t>Operating cost for P recovery unit ($/yr)</t>
  </si>
  <si>
    <t>MT = metric ton</t>
  </si>
  <si>
    <t>Starch (MT starch /MT corn grain)</t>
  </si>
  <si>
    <t>Corn Gluten Feed (MT CGF/MT corn grain)</t>
  </si>
  <si>
    <t>Corn Gluten Meal (MT CGM/MT corn grain)</t>
  </si>
  <si>
    <t>Dried germ (MT/MT corn grain)</t>
  </si>
  <si>
    <t>P Reovered (kg/yr, phytin)</t>
  </si>
  <si>
    <t>Operational natural gas for entire model with P recovery unit (MJ/MT corn grain)</t>
  </si>
  <si>
    <t>recovered Phosphorus (phytin, kg/yr)</t>
  </si>
  <si>
    <t>recovered Phosphorus (complex, kg/yr)</t>
  </si>
  <si>
    <t>recovered Phosphorus (phytin, kg/kg corn grain)</t>
  </si>
  <si>
    <t>Total cost ($/kg P recovery)</t>
  </si>
  <si>
    <t>Baseline</t>
  </si>
  <si>
    <t>Cost change due to P recovery</t>
  </si>
  <si>
    <t>Direct fixed capital cost change (Δ$)</t>
  </si>
  <si>
    <t>Operating cost change for baseline (Δ$/yr)</t>
  </si>
  <si>
    <t>Utility cost change (Δ$/yr)</t>
  </si>
  <si>
    <t>Feedstock change (Δ$/yr)</t>
  </si>
  <si>
    <t>Facility-dependent cost change (Δ$/yr)</t>
  </si>
  <si>
    <t>Chemical cost change(Δ$/yr)</t>
  </si>
  <si>
    <t>Chemical cost ($/yr)</t>
  </si>
  <si>
    <t>Total Capital Investment for baseline ($)</t>
  </si>
  <si>
    <t>Utility cost ($/yr)</t>
  </si>
  <si>
    <t>Feedstock cost ($/yr)</t>
  </si>
  <si>
    <t>Facility-dependent cost  ($/yr)</t>
  </si>
  <si>
    <t>2.1M</t>
  </si>
  <si>
    <t>5.0M</t>
  </si>
  <si>
    <t>120M</t>
  </si>
  <si>
    <t>0.67M</t>
  </si>
  <si>
    <t>0.95M</t>
  </si>
  <si>
    <t>1.7M</t>
  </si>
  <si>
    <t>40M</t>
  </si>
  <si>
    <t>80M</t>
  </si>
  <si>
    <t>240M</t>
  </si>
  <si>
    <t>300M</t>
  </si>
  <si>
    <t>40M: capacity is 40 Million gallon/yr</t>
  </si>
  <si>
    <t>80M: capacity is 80 Million gallon/yr</t>
  </si>
  <si>
    <t>120M: capacity is 120 Million gallon/yr</t>
  </si>
  <si>
    <t>240M: capacity is 240 Million gallon/yr</t>
  </si>
  <si>
    <t>300M: capacity is 300 Million gallon/yr</t>
  </si>
  <si>
    <t>0.67M: capacity is 0.67 million ton/yr</t>
  </si>
  <si>
    <t>0.95M: capacity is 0.95 million ton/yr</t>
  </si>
  <si>
    <t>1.7M: capacity is 1.7 million ton/yr</t>
  </si>
  <si>
    <t>2.1M: capacity is 2.1 million ton/yr</t>
  </si>
  <si>
    <t>5.0M: capacity is 5.0 million ton/yr</t>
  </si>
  <si>
    <t>kg/yr</t>
  </si>
  <si>
    <t>gal/yr</t>
  </si>
  <si>
    <t>gal/kg</t>
  </si>
  <si>
    <t>kg/gal</t>
  </si>
  <si>
    <t>Operational electricity (kWh/MT corn grain)</t>
  </si>
  <si>
    <t>Operational natural gas (MJ/MT corn grain)</t>
  </si>
  <si>
    <t>Operational electricity for whole plant (kWh/MT corn grain)</t>
  </si>
  <si>
    <t>Operational natural gas for whole plant (MJ/MT corn grain)</t>
  </si>
  <si>
    <r>
      <t>Total Capital Investment change from baseline (</t>
    </r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$)</t>
    </r>
  </si>
  <si>
    <t>Ethanol</t>
  </si>
  <si>
    <t>kg/year</t>
  </si>
  <si>
    <t>L/year</t>
  </si>
  <si>
    <t>gal/year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</si>
</sst>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E+00"/>
    <numFmt numFmtId="165" formatCode="0.000"/>
    <numFmt numFmtId="166" formatCode="0.0"/>
    <numFmt numFmtId="167" formatCode="0.0000"/>
    <numFmt numFmtId="168" formatCode="&quot;$&quot;#,##0"/>
    <numFmt numFmtId="169" formatCode="_(* #,##0_);_(* \(#,##0\);_(* &quot;-&quot;??_);_(@_)"/>
    <numFmt numFmtId="170" formatCode="&quot;$&quot;#,##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7" fillId="0" borderId="0"/>
  </cellStyleXfs>
  <cellXfs count="109">
    <xf numFmtId="0" fontId="0" fillId="0" borderId="0" xfId="0"/>
    <xf numFmtId="0" fontId="0" fillId="5" borderId="0" xfId="0" applyFont="1" applyFill="1" applyAlignment="1">
      <alignment wrapText="1"/>
    </xf>
    <xf numFmtId="0" fontId="0" fillId="4" borderId="0" xfId="0" applyFont="1" applyFill="1" applyAlignment="1">
      <alignment wrapText="1"/>
    </xf>
    <xf numFmtId="0" fontId="0" fillId="7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4" fillId="6" borderId="0" xfId="0" applyFont="1" applyFill="1" applyAlignment="1">
      <alignment horizontal="right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3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 wrapText="1"/>
    </xf>
    <xf numFmtId="0" fontId="3" fillId="7" borderId="0" xfId="0" applyFont="1" applyFill="1" applyAlignment="1">
      <alignment horizontal="left" vertical="center" wrapText="1"/>
    </xf>
    <xf numFmtId="0" fontId="3" fillId="6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left" vertical="center"/>
    </xf>
    <xf numFmtId="168" fontId="0" fillId="5" borderId="0" xfId="3" applyNumberFormat="1" applyFont="1" applyFill="1" applyAlignment="1">
      <alignment horizontal="center" vertical="center" wrapText="1"/>
    </xf>
    <xf numFmtId="170" fontId="0" fillId="5" borderId="0" xfId="3" applyNumberFormat="1" applyFont="1" applyFill="1" applyAlignment="1">
      <alignment horizontal="center" vertical="center" wrapText="1"/>
    </xf>
    <xf numFmtId="0" fontId="1" fillId="6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1" fillId="2" borderId="0" xfId="0" applyFont="1" applyFill="1" applyAlignment="1">
      <alignment horizontal="left" vertical="center"/>
    </xf>
    <xf numFmtId="0" fontId="0" fillId="2" borderId="0" xfId="0" applyFont="1" applyFill="1" applyAlignment="1">
      <alignment wrapText="1"/>
    </xf>
    <xf numFmtId="0" fontId="0" fillId="2" borderId="0" xfId="0" applyFont="1" applyFill="1" applyBorder="1" applyAlignment="1">
      <alignment horizontal="center"/>
    </xf>
    <xf numFmtId="0" fontId="0" fillId="3" borderId="0" xfId="0" applyFont="1" applyFill="1" applyAlignment="1">
      <alignment wrapText="1"/>
    </xf>
    <xf numFmtId="0" fontId="1" fillId="4" borderId="0" xfId="0" applyFont="1" applyFill="1" applyAlignment="1">
      <alignment horizontal="left" vertical="center" wrapText="1"/>
    </xf>
    <xf numFmtId="0" fontId="1" fillId="7" borderId="0" xfId="0" applyFont="1" applyFill="1" applyAlignment="1">
      <alignment horizontal="left" vertical="center" wrapText="1"/>
    </xf>
    <xf numFmtId="167" fontId="0" fillId="7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left" vertical="center" wrapText="1"/>
    </xf>
    <xf numFmtId="0" fontId="0" fillId="6" borderId="0" xfId="0" applyFont="1" applyFill="1" applyAlignment="1">
      <alignment horizontal="left" wrapText="1"/>
    </xf>
    <xf numFmtId="0" fontId="1" fillId="5" borderId="0" xfId="0" applyFont="1" applyFill="1" applyAlignment="1">
      <alignment horizontal="left" vertical="center"/>
    </xf>
    <xf numFmtId="166" fontId="0" fillId="3" borderId="0" xfId="0" applyNumberFormat="1" applyFont="1" applyFill="1" applyBorder="1" applyAlignment="1">
      <alignment horizontal="center"/>
    </xf>
    <xf numFmtId="1" fontId="0" fillId="3" borderId="0" xfId="0" applyNumberFormat="1" applyFont="1" applyFill="1" applyBorder="1" applyAlignment="1">
      <alignment horizontal="center"/>
    </xf>
    <xf numFmtId="0" fontId="0" fillId="4" borderId="0" xfId="0" applyFont="1" applyFill="1" applyAlignment="1">
      <alignment horizontal="left" wrapText="1"/>
    </xf>
    <xf numFmtId="0" fontId="0" fillId="7" borderId="0" xfId="0" applyFont="1" applyFill="1" applyAlignment="1">
      <alignment horizontal="left" wrapText="1"/>
    </xf>
    <xf numFmtId="0" fontId="0" fillId="6" borderId="0" xfId="0" applyFont="1" applyFill="1" applyAlignment="1">
      <alignment wrapText="1"/>
    </xf>
    <xf numFmtId="0" fontId="0" fillId="3" borderId="0" xfId="0" applyFont="1" applyFill="1" applyAlignment="1">
      <alignment vertical="center" wrapText="1"/>
    </xf>
    <xf numFmtId="0" fontId="0" fillId="3" borderId="0" xfId="0" applyFont="1" applyFill="1" applyBorder="1" applyAlignment="1">
      <alignment horizontal="center" vertical="center"/>
    </xf>
    <xf numFmtId="169" fontId="0" fillId="0" borderId="0" xfId="2" applyNumberFormat="1" applyFont="1" applyFill="1" applyAlignment="1">
      <alignment horizontal="center" wrapText="1"/>
    </xf>
    <xf numFmtId="2" fontId="1" fillId="5" borderId="0" xfId="0" applyNumberFormat="1" applyFont="1" applyFill="1" applyBorder="1" applyAlignment="1">
      <alignment horizontal="center"/>
    </xf>
    <xf numFmtId="11" fontId="0" fillId="3" borderId="0" xfId="0" applyNumberFormat="1" applyFont="1" applyFill="1" applyBorder="1" applyAlignment="1">
      <alignment horizontal="center"/>
    </xf>
    <xf numFmtId="164" fontId="0" fillId="0" borderId="0" xfId="2" applyNumberFormat="1" applyFont="1" applyFill="1" applyAlignment="1">
      <alignment horizontal="center" wrapText="1"/>
    </xf>
    <xf numFmtId="164" fontId="0" fillId="0" borderId="0" xfId="2" applyNumberFormat="1" applyFont="1" applyFill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1" fontId="0" fillId="2" borderId="0" xfId="0" applyNumberFormat="1" applyFont="1" applyFill="1" applyBorder="1" applyAlignment="1">
      <alignment horizontal="center"/>
    </xf>
    <xf numFmtId="1" fontId="0" fillId="2" borderId="0" xfId="0" applyNumberFormat="1" applyFont="1" applyFill="1" applyAlignment="1">
      <alignment horizontal="center" wrapText="1"/>
    </xf>
    <xf numFmtId="2" fontId="0" fillId="3" borderId="0" xfId="0" applyNumberFormat="1" applyFont="1" applyFill="1" applyAlignment="1">
      <alignment horizontal="center" wrapText="1"/>
    </xf>
    <xf numFmtId="2" fontId="0" fillId="3" borderId="0" xfId="0" applyNumberFormat="1" applyFont="1" applyFill="1" applyBorder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0" fillId="3" borderId="0" xfId="0" applyNumberFormat="1" applyFont="1" applyFill="1" applyBorder="1" applyAlignment="1">
      <alignment horizontal="center"/>
    </xf>
    <xf numFmtId="11" fontId="0" fillId="6" borderId="0" xfId="0" applyNumberFormat="1" applyFont="1" applyFill="1" applyAlignment="1">
      <alignment horizontal="center" wrapText="1"/>
    </xf>
    <xf numFmtId="0" fontId="0" fillId="3" borderId="0" xfId="0" applyFont="1" applyFill="1" applyAlignment="1">
      <alignment horizontal="center" vertical="center" wrapText="1"/>
    </xf>
    <xf numFmtId="0" fontId="0" fillId="7" borderId="0" xfId="0" applyFont="1" applyFill="1" applyAlignment="1">
      <alignment horizontal="center" wrapText="1"/>
    </xf>
    <xf numFmtId="1" fontId="0" fillId="7" borderId="0" xfId="0" applyNumberFormat="1" applyFont="1" applyFill="1" applyBorder="1" applyAlignment="1">
      <alignment horizontal="center"/>
    </xf>
    <xf numFmtId="0" fontId="0" fillId="5" borderId="0" xfId="0" applyFont="1" applyFill="1" applyAlignment="1">
      <alignment horizontal="center" wrapText="1"/>
    </xf>
    <xf numFmtId="1" fontId="0" fillId="5" borderId="0" xfId="0" applyNumberFormat="1" applyFont="1" applyFill="1" applyBorder="1" applyAlignment="1">
      <alignment horizontal="center"/>
    </xf>
    <xf numFmtId="0" fontId="0" fillId="5" borderId="0" xfId="0" applyFont="1" applyFill="1" applyAlignment="1">
      <alignment horizontal="center" vertical="top" wrapText="1"/>
    </xf>
    <xf numFmtId="165" fontId="0" fillId="5" borderId="0" xfId="0" applyNumberFormat="1" applyFont="1" applyFill="1" applyBorder="1" applyAlignment="1">
      <alignment horizontal="center" vertical="top"/>
    </xf>
    <xf numFmtId="0" fontId="0" fillId="3" borderId="0" xfId="0" applyFont="1" applyFill="1" applyAlignment="1">
      <alignment horizontal="center" wrapText="1"/>
    </xf>
    <xf numFmtId="167" fontId="0" fillId="7" borderId="0" xfId="0" applyNumberFormat="1" applyFont="1" applyFill="1" applyBorder="1" applyAlignment="1">
      <alignment horizontal="center"/>
    </xf>
    <xf numFmtId="11" fontId="0" fillId="6" borderId="0" xfId="3" applyNumberFormat="1" applyFont="1" applyFill="1" applyAlignment="1">
      <alignment horizontal="center" wrapText="1"/>
    </xf>
    <xf numFmtId="11" fontId="0" fillId="6" borderId="0" xfId="0" applyNumberFormat="1" applyFont="1" applyFill="1" applyBorder="1" applyAlignment="1">
      <alignment horizontal="center"/>
    </xf>
    <xf numFmtId="11" fontId="0" fillId="3" borderId="0" xfId="2" applyNumberFormat="1" applyFont="1" applyFill="1" applyAlignment="1">
      <alignment horizontal="center"/>
    </xf>
    <xf numFmtId="11" fontId="0" fillId="5" borderId="0" xfId="3" applyNumberFormat="1" applyFont="1" applyFill="1" applyAlignment="1">
      <alignment horizontal="center" vertical="center" wrapText="1"/>
    </xf>
    <xf numFmtId="11" fontId="0" fillId="5" borderId="0" xfId="3" applyNumberFormat="1" applyFont="1" applyFill="1" applyAlignment="1">
      <alignment horizontal="center" vertical="center"/>
    </xf>
    <xf numFmtId="11" fontId="0" fillId="6" borderId="0" xfId="1" applyNumberFormat="1" applyFont="1" applyFill="1" applyAlignment="1">
      <alignment horizontal="center" wrapText="1"/>
    </xf>
    <xf numFmtId="11" fontId="0" fillId="6" borderId="0" xfId="3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 wrapText="1"/>
    </xf>
    <xf numFmtId="165" fontId="0" fillId="3" borderId="0" xfId="0" applyNumberFormat="1" applyFont="1" applyFill="1" applyAlignment="1">
      <alignment horizontal="center"/>
    </xf>
    <xf numFmtId="0" fontId="0" fillId="0" borderId="0" xfId="0" applyFont="1" applyFill="1"/>
    <xf numFmtId="167" fontId="0" fillId="7" borderId="0" xfId="0" applyNumberFormat="1" applyFont="1" applyFill="1" applyAlignment="1">
      <alignment horizontal="center" vertical="center" wrapText="1"/>
    </xf>
    <xf numFmtId="0" fontId="0" fillId="7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 wrapText="1"/>
    </xf>
    <xf numFmtId="2" fontId="1" fillId="5" borderId="0" xfId="0" applyNumberFormat="1" applyFont="1" applyFill="1" applyAlignment="1">
      <alignment horizontal="center" vertical="center" wrapText="1"/>
    </xf>
    <xf numFmtId="0" fontId="0" fillId="3" borderId="0" xfId="0" applyFont="1" applyFill="1" applyAlignment="1">
      <alignment horizontal="left"/>
    </xf>
    <xf numFmtId="0" fontId="0" fillId="3" borderId="0" xfId="0" applyFont="1" applyFill="1" applyAlignment="1">
      <alignment horizontal="left" wrapText="1"/>
    </xf>
    <xf numFmtId="11" fontId="0" fillId="3" borderId="0" xfId="0" applyNumberFormat="1" applyFont="1" applyFill="1" applyAlignment="1">
      <alignment horizontal="center"/>
    </xf>
    <xf numFmtId="0" fontId="0" fillId="5" borderId="0" xfId="0" applyFont="1" applyFill="1" applyAlignment="1">
      <alignment vertical="top" wrapText="1"/>
    </xf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1" fontId="0" fillId="3" borderId="0" xfId="0" applyNumberFormat="1" applyFont="1" applyFill="1" applyAlignment="1">
      <alignment horizontal="center" vertical="center" wrapText="1"/>
    </xf>
    <xf numFmtId="11" fontId="0" fillId="7" borderId="0" xfId="0" applyNumberFormat="1" applyFont="1" applyFill="1" applyAlignment="1">
      <alignment horizontal="center" wrapText="1"/>
    </xf>
    <xf numFmtId="11" fontId="0" fillId="7" borderId="0" xfId="0" applyNumberFormat="1" applyFont="1" applyFill="1" applyAlignment="1">
      <alignment horizontal="center"/>
    </xf>
    <xf numFmtId="3" fontId="0" fillId="0" borderId="0" xfId="0" applyNumberFormat="1" applyFont="1"/>
    <xf numFmtId="11" fontId="0" fillId="6" borderId="0" xfId="0" applyNumberFormat="1" applyFont="1" applyFill="1" applyAlignment="1">
      <alignment horizontal="center"/>
    </xf>
    <xf numFmtId="167" fontId="0" fillId="0" borderId="0" xfId="0" applyNumberFormat="1" applyFont="1"/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>
      <alignment wrapText="1"/>
    </xf>
    <xf numFmtId="0" fontId="0" fillId="0" borderId="0" xfId="0" applyFont="1" applyBorder="1" applyAlignment="1">
      <alignment horizontal="center"/>
    </xf>
    <xf numFmtId="2" fontId="0" fillId="4" borderId="0" xfId="0" applyNumberFormat="1" applyFont="1" applyFill="1" applyAlignment="1">
      <alignment horizontal="center" wrapText="1"/>
    </xf>
    <xf numFmtId="166" fontId="0" fillId="4" borderId="0" xfId="0" applyNumberFormat="1" applyFont="1" applyFill="1" applyAlignment="1">
      <alignment horizontal="center" wrapText="1"/>
    </xf>
    <xf numFmtId="1" fontId="0" fillId="0" borderId="0" xfId="0" applyNumberFormat="1" applyFont="1" applyAlignment="1"/>
    <xf numFmtId="165" fontId="0" fillId="0" borderId="0" xfId="0" applyNumberFormat="1" applyFont="1" applyAlignment="1"/>
    <xf numFmtId="3" fontId="6" fillId="8" borderId="1" xfId="0" applyNumberFormat="1" applyFont="1" applyFill="1" applyBorder="1" applyAlignment="1">
      <alignment horizontal="left"/>
    </xf>
    <xf numFmtId="165" fontId="0" fillId="3" borderId="0" xfId="0" applyNumberFormat="1" applyFont="1" applyFill="1" applyAlignment="1">
      <alignment horizontal="center" wrapText="1"/>
    </xf>
    <xf numFmtId="0" fontId="6" fillId="0" borderId="0" xfId="0" applyFont="1" applyAlignment="1">
      <alignment horizontal="left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5">
    <cellStyle name="Comma" xfId="2" builtinId="3"/>
    <cellStyle name="Currency" xfId="3" builtinId="4"/>
    <cellStyle name="Normal" xfId="0" builtinId="0"/>
    <cellStyle name="Normal 2" xfId="4" xr:uid="{CB93AC80-FADA-4A80-B45D-80F439E010B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CBBC2-A698-4233-8EC3-E17E1252AEB6}">
  <dimension ref="B2:J28"/>
  <sheetViews>
    <sheetView workbookViewId="0">
      <selection activeCell="J4" sqref="J4:J10"/>
    </sheetView>
  </sheetViews>
  <sheetFormatPr defaultRowHeight="15" x14ac:dyDescent="0.25"/>
  <cols>
    <col min="2" max="2" width="10.42578125" bestFit="1" customWidth="1"/>
    <col min="3" max="10" width="13.7109375" bestFit="1" customWidth="1"/>
  </cols>
  <sheetData>
    <row r="2" spans="2:10" x14ac:dyDescent="0.25">
      <c r="B2" s="9"/>
      <c r="C2" s="106" t="s">
        <v>32</v>
      </c>
      <c r="D2" s="106"/>
      <c r="E2" s="106"/>
      <c r="F2" s="106"/>
      <c r="G2" s="106"/>
      <c r="H2" s="106"/>
    </row>
    <row r="3" spans="2:10" x14ac:dyDescent="0.25">
      <c r="B3" s="9"/>
      <c r="C3" s="10" t="s">
        <v>21</v>
      </c>
      <c r="D3" s="10" t="s">
        <v>22</v>
      </c>
      <c r="E3" s="10" t="s">
        <v>23</v>
      </c>
      <c r="F3" s="10" t="s">
        <v>24</v>
      </c>
      <c r="G3" s="10" t="s">
        <v>25</v>
      </c>
      <c r="H3" s="10" t="s">
        <v>26</v>
      </c>
      <c r="I3" s="10" t="s">
        <v>46</v>
      </c>
      <c r="J3" s="10" t="s">
        <v>47</v>
      </c>
    </row>
    <row r="4" spans="2:10" x14ac:dyDescent="0.25">
      <c r="B4" s="9" t="s">
        <v>33</v>
      </c>
      <c r="C4" s="9">
        <v>129390000</v>
      </c>
      <c r="D4" s="9">
        <v>129617000</v>
      </c>
      <c r="E4" s="9">
        <v>129808000</v>
      </c>
      <c r="F4" s="9">
        <v>129390000</v>
      </c>
      <c r="G4" s="9">
        <v>129623000</v>
      </c>
      <c r="H4" s="9">
        <v>129808000</v>
      </c>
      <c r="I4" s="9">
        <v>377532000</v>
      </c>
      <c r="J4" s="9">
        <v>377542000</v>
      </c>
    </row>
    <row r="5" spans="2:10" x14ac:dyDescent="0.25">
      <c r="B5" s="9" t="s">
        <v>34</v>
      </c>
      <c r="C5" s="9">
        <v>111860000</v>
      </c>
      <c r="D5" s="9">
        <v>109982000</v>
      </c>
      <c r="E5" s="9">
        <v>108767000</v>
      </c>
      <c r="F5" s="9">
        <v>111860000</v>
      </c>
      <c r="G5" s="9">
        <v>109988000</v>
      </c>
      <c r="H5" s="9">
        <v>108767000</v>
      </c>
      <c r="I5" s="9">
        <v>291006000</v>
      </c>
      <c r="J5" s="9">
        <v>291015000</v>
      </c>
    </row>
    <row r="6" spans="2:10" x14ac:dyDescent="0.25">
      <c r="B6" s="9" t="s">
        <v>35</v>
      </c>
      <c r="C6" s="9">
        <v>154837000</v>
      </c>
      <c r="D6" s="9">
        <v>178623000</v>
      </c>
      <c r="E6" s="9">
        <v>194510000</v>
      </c>
      <c r="F6" s="9">
        <v>154837000</v>
      </c>
      <c r="G6" s="9">
        <v>178625000</v>
      </c>
      <c r="H6" s="9">
        <v>194510000</v>
      </c>
      <c r="I6" s="9">
        <v>852491000</v>
      </c>
      <c r="J6" s="9">
        <v>852497000</v>
      </c>
    </row>
    <row r="7" spans="2:10" x14ac:dyDescent="0.25">
      <c r="B7" s="9" t="s">
        <v>36</v>
      </c>
      <c r="C7" s="9">
        <v>36975446</v>
      </c>
      <c r="D7" s="9">
        <v>38542020</v>
      </c>
      <c r="E7" s="9">
        <v>39596041</v>
      </c>
      <c r="F7" s="9">
        <v>36975446</v>
      </c>
      <c r="G7" s="9">
        <v>38542327</v>
      </c>
      <c r="H7" s="9">
        <v>39596041</v>
      </c>
      <c r="I7" s="9">
        <v>679950577</v>
      </c>
      <c r="J7" s="9">
        <v>109051669</v>
      </c>
    </row>
    <row r="8" spans="2:10" x14ac:dyDescent="0.25">
      <c r="B8" s="9" t="s">
        <v>37</v>
      </c>
      <c r="C8" s="9">
        <v>91603063</v>
      </c>
      <c r="D8" s="9">
        <v>114223021</v>
      </c>
      <c r="E8" s="9">
        <v>129303064</v>
      </c>
      <c r="F8" s="9">
        <v>91603065</v>
      </c>
      <c r="G8" s="9">
        <v>114223022</v>
      </c>
      <c r="H8" s="9">
        <v>129303063</v>
      </c>
      <c r="I8" s="9">
        <v>679950577</v>
      </c>
      <c r="J8" s="9">
        <v>679950571</v>
      </c>
    </row>
    <row r="9" spans="2:10" x14ac:dyDescent="0.25">
      <c r="B9" s="9" t="s">
        <v>38</v>
      </c>
      <c r="C9" s="9">
        <v>23116000</v>
      </c>
      <c r="D9" s="9">
        <v>22716000</v>
      </c>
      <c r="E9" s="9">
        <v>22468000</v>
      </c>
      <c r="F9" s="9">
        <v>23116000</v>
      </c>
      <c r="G9" s="9">
        <v>22717000</v>
      </c>
      <c r="H9" s="9">
        <v>22468000</v>
      </c>
      <c r="I9" s="9">
        <v>60350000</v>
      </c>
      <c r="J9" s="9">
        <v>60352000</v>
      </c>
    </row>
    <row r="10" spans="2:10" x14ac:dyDescent="0.25">
      <c r="B10" s="9" t="s">
        <v>39</v>
      </c>
      <c r="C10" s="9">
        <v>178944000</v>
      </c>
      <c r="D10" s="9">
        <v>223062000</v>
      </c>
      <c r="E10" s="9">
        <v>252474000</v>
      </c>
      <c r="F10" s="9">
        <v>178944000</v>
      </c>
      <c r="G10" s="9">
        <v>223062000</v>
      </c>
      <c r="H10" s="9">
        <v>252474000</v>
      </c>
      <c r="I10" s="9">
        <v>1327815000</v>
      </c>
      <c r="J10" s="9">
        <v>1327837000</v>
      </c>
    </row>
    <row r="11" spans="2:10" x14ac:dyDescent="0.25">
      <c r="B11" s="9" t="s">
        <v>40</v>
      </c>
      <c r="C11" s="9">
        <v>151846004</v>
      </c>
      <c r="D11" s="9">
        <v>156678010</v>
      </c>
      <c r="E11" s="9">
        <v>159987191</v>
      </c>
      <c r="F11" s="9">
        <v>151848466</v>
      </c>
      <c r="G11" s="9">
        <v>156679901</v>
      </c>
      <c r="H11" s="9">
        <v>159986023</v>
      </c>
      <c r="I11" s="9">
        <v>552854954</v>
      </c>
      <c r="J11" s="9">
        <v>552857139</v>
      </c>
    </row>
    <row r="12" spans="2:10" x14ac:dyDescent="0.25">
      <c r="B12" s="9" t="s">
        <v>41</v>
      </c>
      <c r="C12" s="9">
        <v>60135000</v>
      </c>
      <c r="D12" s="9">
        <v>63248000</v>
      </c>
      <c r="E12" s="9">
        <v>65323000</v>
      </c>
      <c r="F12" s="9">
        <v>60135000</v>
      </c>
      <c r="G12" s="9">
        <v>63249000</v>
      </c>
      <c r="H12" s="9">
        <v>65323000</v>
      </c>
      <c r="I12" s="9">
        <v>142172000</v>
      </c>
      <c r="J12" s="9">
        <v>142182000</v>
      </c>
    </row>
    <row r="13" spans="2:10" x14ac:dyDescent="0.25">
      <c r="B13" s="9" t="s">
        <v>42</v>
      </c>
      <c r="C13" s="9">
        <v>1073367031</v>
      </c>
      <c r="D13" s="9">
        <v>1072392812</v>
      </c>
      <c r="E13" s="9">
        <v>1071762026</v>
      </c>
      <c r="F13" s="9">
        <v>1073367461</v>
      </c>
      <c r="G13" s="9">
        <v>1072393128</v>
      </c>
      <c r="H13" s="9">
        <v>1071761814</v>
      </c>
      <c r="I13" s="9">
        <v>3036976765</v>
      </c>
      <c r="J13" s="9">
        <v>3036984817</v>
      </c>
    </row>
    <row r="14" spans="2:10" x14ac:dyDescent="0.25">
      <c r="B14" s="9" t="s">
        <v>43</v>
      </c>
      <c r="C14" s="9"/>
      <c r="D14" s="9"/>
      <c r="E14" s="9"/>
      <c r="F14" s="9"/>
      <c r="G14" s="9"/>
      <c r="H14" s="9"/>
      <c r="I14" s="9"/>
      <c r="J14" s="9"/>
    </row>
    <row r="15" spans="2:10" x14ac:dyDescent="0.25">
      <c r="B15" s="9" t="s">
        <v>44</v>
      </c>
      <c r="C15" s="9"/>
      <c r="D15" s="9"/>
      <c r="E15" s="9"/>
      <c r="F15" s="9"/>
      <c r="G15" s="9"/>
      <c r="H15" s="9"/>
      <c r="I15" s="9"/>
      <c r="J15" s="9"/>
    </row>
    <row r="16" spans="2:10" x14ac:dyDescent="0.25">
      <c r="B16" s="9"/>
      <c r="C16" s="9"/>
      <c r="D16" s="9"/>
      <c r="E16" s="9"/>
      <c r="F16" s="9"/>
      <c r="G16" s="9"/>
      <c r="H16" s="9"/>
      <c r="I16" s="9"/>
      <c r="J16" s="9"/>
    </row>
    <row r="17" spans="2:10" x14ac:dyDescent="0.25">
      <c r="B17" s="9"/>
      <c r="C17" s="9"/>
      <c r="D17" s="9"/>
      <c r="E17" s="9"/>
      <c r="F17" s="9"/>
      <c r="G17" s="9"/>
      <c r="H17" s="9"/>
      <c r="I17" s="9"/>
      <c r="J17" s="9"/>
    </row>
    <row r="18" spans="2:10" x14ac:dyDescent="0.25">
      <c r="B18" s="9"/>
      <c r="C18" s="9"/>
      <c r="D18" s="9"/>
      <c r="E18" s="9"/>
      <c r="F18" s="9"/>
      <c r="G18" s="9"/>
      <c r="H18" s="9"/>
      <c r="I18" s="9"/>
      <c r="J18" s="9"/>
    </row>
    <row r="19" spans="2:10" x14ac:dyDescent="0.25">
      <c r="B19" s="9"/>
      <c r="C19" s="106" t="s">
        <v>45</v>
      </c>
      <c r="D19" s="106"/>
      <c r="E19" s="106"/>
      <c r="F19" s="106"/>
      <c r="G19" s="106"/>
      <c r="H19" s="106"/>
      <c r="I19" s="9"/>
      <c r="J19" s="9"/>
    </row>
    <row r="20" spans="2:10" x14ac:dyDescent="0.25">
      <c r="B20" s="9"/>
      <c r="C20" s="10" t="s">
        <v>21</v>
      </c>
      <c r="D20" s="10" t="s">
        <v>22</v>
      </c>
      <c r="E20" s="10" t="s">
        <v>23</v>
      </c>
      <c r="F20" s="10" t="s">
        <v>24</v>
      </c>
      <c r="G20" s="10" t="s">
        <v>25</v>
      </c>
      <c r="H20" s="10" t="s">
        <v>26</v>
      </c>
      <c r="I20" s="10" t="s">
        <v>46</v>
      </c>
      <c r="J20" s="10" t="s">
        <v>47</v>
      </c>
    </row>
    <row r="21" spans="2:10" x14ac:dyDescent="0.25">
      <c r="B21" s="9" t="s">
        <v>33</v>
      </c>
      <c r="C21" s="9">
        <v>136126000</v>
      </c>
      <c r="D21" s="9">
        <v>136163000</v>
      </c>
      <c r="E21" s="9">
        <v>136085000</v>
      </c>
      <c r="F21" s="9">
        <v>136126000</v>
      </c>
      <c r="G21" s="9">
        <v>136173000</v>
      </c>
      <c r="H21" s="9">
        <v>136090000</v>
      </c>
      <c r="I21" s="9">
        <v>398901000</v>
      </c>
      <c r="J21" s="9">
        <v>398997000</v>
      </c>
    </row>
    <row r="22" spans="2:10" x14ac:dyDescent="0.25">
      <c r="B22" s="9" t="s">
        <v>35</v>
      </c>
      <c r="C22" s="9">
        <v>157034000</v>
      </c>
      <c r="D22" s="9">
        <v>180914000</v>
      </c>
      <c r="E22" s="9">
        <v>196805000</v>
      </c>
      <c r="F22" s="9">
        <v>157034000</v>
      </c>
      <c r="G22" s="9">
        <v>181029000</v>
      </c>
      <c r="H22" s="9">
        <v>196962000</v>
      </c>
      <c r="I22" s="9">
        <v>862274000</v>
      </c>
      <c r="J22" s="9">
        <v>863122000</v>
      </c>
    </row>
    <row r="23" spans="2:10" x14ac:dyDescent="0.25">
      <c r="B23" s="9" t="s">
        <v>39</v>
      </c>
      <c r="C23" s="9">
        <v>179035000</v>
      </c>
      <c r="D23" s="9">
        <v>223214000</v>
      </c>
      <c r="E23" s="9">
        <v>252667000</v>
      </c>
      <c r="F23" s="9">
        <v>179035000</v>
      </c>
      <c r="G23" s="9">
        <v>223291000</v>
      </c>
      <c r="H23" s="9">
        <v>252778000</v>
      </c>
      <c r="I23" s="9">
        <v>1328732000</v>
      </c>
      <c r="J23" s="9">
        <v>1329324000</v>
      </c>
    </row>
    <row r="24" spans="2:10" x14ac:dyDescent="0.25">
      <c r="B24" s="9" t="s">
        <v>40</v>
      </c>
      <c r="C24" s="9">
        <v>152283827</v>
      </c>
      <c r="D24" s="9">
        <v>157234005</v>
      </c>
      <c r="E24" s="9">
        <v>160426137</v>
      </c>
      <c r="F24" s="9">
        <v>152288709</v>
      </c>
      <c r="G24" s="9">
        <v>157232800</v>
      </c>
      <c r="H24" s="9">
        <v>160415827</v>
      </c>
      <c r="I24" s="9">
        <v>553905073</v>
      </c>
      <c r="J24" s="9">
        <v>553918748</v>
      </c>
    </row>
    <row r="25" spans="2:10" x14ac:dyDescent="0.25">
      <c r="B25" s="9" t="s">
        <v>41</v>
      </c>
      <c r="C25" s="9">
        <v>60302000</v>
      </c>
      <c r="D25" s="9">
        <v>63448000</v>
      </c>
      <c r="E25" s="9">
        <v>65547000</v>
      </c>
      <c r="F25" s="9">
        <v>60295000</v>
      </c>
      <c r="G25" s="9">
        <v>63441000</v>
      </c>
      <c r="H25" s="9">
        <v>65534000</v>
      </c>
      <c r="I25" s="9">
        <v>143443000</v>
      </c>
      <c r="J25" s="9">
        <v>143383000</v>
      </c>
    </row>
    <row r="26" spans="2:10" x14ac:dyDescent="0.25">
      <c r="B26" s="9" t="s">
        <v>42</v>
      </c>
      <c r="C26" s="9">
        <v>1073367158</v>
      </c>
      <c r="D26" s="9">
        <v>1072415045</v>
      </c>
      <c r="E26" s="9">
        <v>1071764519</v>
      </c>
      <c r="F26" s="9">
        <v>1073367994</v>
      </c>
      <c r="G26" s="9">
        <v>1072414816</v>
      </c>
      <c r="H26" s="9">
        <v>1071762048</v>
      </c>
      <c r="I26" s="9">
        <v>3041073326</v>
      </c>
      <c r="J26" s="9">
        <v>3040915152</v>
      </c>
    </row>
    <row r="27" spans="2:10" x14ac:dyDescent="0.25">
      <c r="B27" s="9" t="s">
        <v>43</v>
      </c>
      <c r="C27" s="9"/>
      <c r="D27" s="9"/>
      <c r="E27" s="9"/>
      <c r="F27" s="9"/>
      <c r="G27" s="9"/>
      <c r="H27" s="9"/>
      <c r="I27" s="9"/>
      <c r="J27" s="9"/>
    </row>
    <row r="28" spans="2:10" x14ac:dyDescent="0.25">
      <c r="B28" s="9" t="s">
        <v>44</v>
      </c>
      <c r="C28" s="9"/>
      <c r="D28" s="9"/>
      <c r="E28" s="9"/>
      <c r="F28" s="9"/>
      <c r="G28" s="9"/>
      <c r="H28" s="9"/>
      <c r="I28" s="9"/>
      <c r="J28" s="9"/>
    </row>
  </sheetData>
  <mergeCells count="2">
    <mergeCell ref="C2:H2"/>
    <mergeCell ref="C19:H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1"/>
  <sheetViews>
    <sheetView tabSelected="1" zoomScale="80" zoomScaleNormal="80" workbookViewId="0">
      <selection activeCell="F13" sqref="F13"/>
    </sheetView>
  </sheetViews>
  <sheetFormatPr defaultRowHeight="15.75" x14ac:dyDescent="0.25"/>
  <cols>
    <col min="1" max="1" width="21.7109375" style="22" customWidth="1"/>
    <col min="2" max="2" width="29.5703125" style="8" customWidth="1"/>
    <col min="3" max="3" width="62.85546875" style="22" bestFit="1" customWidth="1"/>
    <col min="4" max="4" width="18.85546875" style="88" bestFit="1" customWidth="1"/>
    <col min="5" max="5" width="16.140625" style="88" bestFit="1" customWidth="1"/>
    <col min="6" max="8" width="13.85546875" style="88" bestFit="1" customWidth="1"/>
    <col min="9" max="9" width="9.140625" style="22"/>
    <col min="10" max="10" width="24" style="22" customWidth="1"/>
    <col min="11" max="11" width="12" style="22" bestFit="1" customWidth="1"/>
    <col min="12" max="16384" width="9.140625" style="22"/>
  </cols>
  <sheetData>
    <row r="1" spans="1:14" x14ac:dyDescent="0.25">
      <c r="C1" s="46" t="s">
        <v>48</v>
      </c>
      <c r="D1" s="47" t="s">
        <v>85</v>
      </c>
      <c r="E1" s="47" t="s">
        <v>86</v>
      </c>
      <c r="F1" s="47" t="s">
        <v>87</v>
      </c>
      <c r="G1" s="47" t="s">
        <v>82</v>
      </c>
      <c r="H1" s="47" t="s">
        <v>83</v>
      </c>
      <c r="J1" s="50" t="s">
        <v>16</v>
      </c>
    </row>
    <row r="2" spans="1:14" ht="15" customHeight="1" x14ac:dyDescent="0.25">
      <c r="A2" s="107" t="s">
        <v>69</v>
      </c>
      <c r="B2" s="11" t="s">
        <v>0</v>
      </c>
      <c r="C2" s="25" t="s">
        <v>52</v>
      </c>
      <c r="D2" s="74">
        <f>D3*24*330</f>
        <v>673200</v>
      </c>
      <c r="E2" s="74">
        <f t="shared" ref="E2" si="0">E3*24*330</f>
        <v>950400</v>
      </c>
      <c r="F2" s="74">
        <v>1702800</v>
      </c>
      <c r="G2" s="74">
        <v>2098800</v>
      </c>
      <c r="H2" s="74">
        <v>4997520</v>
      </c>
      <c r="I2" s="89">
        <v>0</v>
      </c>
      <c r="J2" s="22" t="s">
        <v>97</v>
      </c>
    </row>
    <row r="3" spans="1:14" ht="15" customHeight="1" x14ac:dyDescent="0.25">
      <c r="A3" s="107"/>
      <c r="B3" s="11" t="s">
        <v>0</v>
      </c>
      <c r="C3" s="25" t="s">
        <v>53</v>
      </c>
      <c r="D3" s="75">
        <v>85</v>
      </c>
      <c r="E3" s="74">
        <v>120</v>
      </c>
      <c r="F3" s="74">
        <v>215</v>
      </c>
      <c r="G3" s="74">
        <v>265</v>
      </c>
      <c r="H3" s="74">
        <v>631</v>
      </c>
      <c r="I3" s="89">
        <v>1</v>
      </c>
      <c r="J3" s="22" t="s">
        <v>98</v>
      </c>
    </row>
    <row r="4" spans="1:14" ht="15" customHeight="1" x14ac:dyDescent="0.25">
      <c r="A4" s="107"/>
      <c r="B4" s="11" t="s">
        <v>0</v>
      </c>
      <c r="C4" s="25" t="s">
        <v>9</v>
      </c>
      <c r="D4" s="75">
        <v>0.26</v>
      </c>
      <c r="E4" s="74">
        <v>0.26</v>
      </c>
      <c r="F4" s="74">
        <v>0.26</v>
      </c>
      <c r="G4" s="74">
        <v>0.26</v>
      </c>
      <c r="H4" s="74">
        <v>0.26</v>
      </c>
      <c r="I4" s="89">
        <v>2</v>
      </c>
      <c r="J4" s="22" t="s">
        <v>99</v>
      </c>
    </row>
    <row r="5" spans="1:14" ht="15" customHeight="1" x14ac:dyDescent="0.25">
      <c r="A5" s="107"/>
      <c r="B5" s="12" t="s">
        <v>50</v>
      </c>
      <c r="C5" s="27" t="s">
        <v>59</v>
      </c>
      <c r="D5" s="76">
        <f>371143.15/D2</f>
        <v>0.55131186868686877</v>
      </c>
      <c r="E5" s="76">
        <f>526247.75/E2</f>
        <v>0.55371185816498314</v>
      </c>
      <c r="F5" s="76">
        <f>941706.5/F2</f>
        <v>0.55303412027249232</v>
      </c>
      <c r="G5" s="76">
        <f>1163284.5/G2</f>
        <v>0.55426172098341908</v>
      </c>
      <c r="H5" s="76">
        <f>2769725/H2</f>
        <v>0.55421989306696118</v>
      </c>
      <c r="I5" s="89">
        <v>3</v>
      </c>
      <c r="J5" s="22" t="s">
        <v>100</v>
      </c>
    </row>
    <row r="6" spans="1:14" ht="15" customHeight="1" x14ac:dyDescent="0.25">
      <c r="A6" s="107"/>
      <c r="B6" s="12" t="s">
        <v>50</v>
      </c>
      <c r="C6" s="27" t="s">
        <v>60</v>
      </c>
      <c r="D6" s="76">
        <f>133364/D2</f>
        <v>0.19810457516339869</v>
      </c>
      <c r="E6" s="76">
        <f>189099/E2</f>
        <v>0.19896780303030304</v>
      </c>
      <c r="F6" s="76">
        <f>338388/F2</f>
        <v>0.19872445384073292</v>
      </c>
      <c r="G6" s="76">
        <f>417999/G2</f>
        <v>0.1991609491137793</v>
      </c>
      <c r="H6" s="76">
        <f>995233/H2</f>
        <v>0.19914537610654884</v>
      </c>
      <c r="I6" s="89">
        <v>4</v>
      </c>
      <c r="J6" s="22" t="s">
        <v>101</v>
      </c>
    </row>
    <row r="7" spans="1:14" ht="15" customHeight="1" x14ac:dyDescent="0.25">
      <c r="A7" s="107"/>
      <c r="B7" s="12" t="s">
        <v>50</v>
      </c>
      <c r="C7" s="27" t="s">
        <v>61</v>
      </c>
      <c r="D7" s="76">
        <f>42431/D2</f>
        <v>6.3028817587641117E-2</v>
      </c>
      <c r="E7" s="76">
        <f>60163/E2</f>
        <v>6.3302819865319868E-2</v>
      </c>
      <c r="F7" s="76">
        <f>107660/F2</f>
        <v>6.3225276015973692E-2</v>
      </c>
      <c r="G7" s="76">
        <f>132992/G2</f>
        <v>6.3365732799695068E-2</v>
      </c>
      <c r="H7" s="76">
        <f>316647/H2</f>
        <v>6.3360826970177211E-2</v>
      </c>
      <c r="I7" s="89">
        <v>5</v>
      </c>
      <c r="J7" s="22" t="s">
        <v>58</v>
      </c>
    </row>
    <row r="8" spans="1:14" ht="15" customHeight="1" x14ac:dyDescent="0.25">
      <c r="A8" s="107"/>
      <c r="B8" s="12" t="s">
        <v>50</v>
      </c>
      <c r="C8" s="27" t="s">
        <v>62</v>
      </c>
      <c r="D8" s="76">
        <f>44675910/D2/1000</f>
        <v>6.6363502673796787E-2</v>
      </c>
      <c r="E8" s="76">
        <f>63346439/E2/1000</f>
        <v>6.6652397937710439E-2</v>
      </c>
      <c r="F8" s="76">
        <f>113356786/F2/1000</f>
        <v>6.6570816302560482E-2</v>
      </c>
      <c r="G8" s="76">
        <f>140028971/1000/G2</f>
        <v>6.6718587287974071E-2</v>
      </c>
      <c r="H8" s="76">
        <f>333402311/1000/H2</f>
        <v>6.671355212185244E-2</v>
      </c>
      <c r="I8" s="89">
        <v>6</v>
      </c>
    </row>
    <row r="9" spans="1:14" ht="15" customHeight="1" x14ac:dyDescent="0.25">
      <c r="A9" s="107"/>
      <c r="B9" s="13" t="s">
        <v>3</v>
      </c>
      <c r="C9" s="2" t="s">
        <v>106</v>
      </c>
      <c r="D9" s="100">
        <v>140.76808805970148</v>
      </c>
      <c r="E9" s="100">
        <v>134.11094736842105</v>
      </c>
      <c r="F9" s="100">
        <v>129.03465882352941</v>
      </c>
      <c r="G9" s="100">
        <v>127.90855000000001</v>
      </c>
      <c r="H9" s="100">
        <v>124.2127266</v>
      </c>
      <c r="I9" s="89">
        <v>7</v>
      </c>
      <c r="J9" s="77"/>
    </row>
    <row r="10" spans="1:14" s="77" customFormat="1" ht="15" customHeight="1" x14ac:dyDescent="0.25">
      <c r="A10" s="107"/>
      <c r="B10" s="13" t="s">
        <v>3</v>
      </c>
      <c r="C10" s="2" t="s">
        <v>107</v>
      </c>
      <c r="D10" s="100">
        <v>2633.1053684179105</v>
      </c>
      <c r="E10" s="100">
        <v>2633.098804336842</v>
      </c>
      <c r="F10" s="100">
        <v>2633.1448937999999</v>
      </c>
      <c r="G10" s="100">
        <v>2633.0941504380953</v>
      </c>
      <c r="H10" s="100">
        <v>2633.0984711599999</v>
      </c>
      <c r="I10" s="89">
        <v>8</v>
      </c>
    </row>
    <row r="11" spans="1:14" s="77" customFormat="1" ht="15" customHeight="1" x14ac:dyDescent="0.25">
      <c r="A11" s="107"/>
      <c r="B11" s="14" t="s">
        <v>4</v>
      </c>
      <c r="C11" s="3" t="s">
        <v>31</v>
      </c>
      <c r="D11" s="78">
        <v>1.5940000000000001</v>
      </c>
      <c r="E11" s="78">
        <v>1.1279999999999999</v>
      </c>
      <c r="F11" s="79">
        <v>0.86899999999999999</v>
      </c>
      <c r="G11" s="79">
        <v>0.79500000000000004</v>
      </c>
      <c r="H11" s="79">
        <v>0.60799999999999998</v>
      </c>
      <c r="I11" s="89">
        <v>9</v>
      </c>
      <c r="J11" s="22"/>
      <c r="K11" s="22"/>
      <c r="L11" s="22"/>
      <c r="M11" s="22"/>
      <c r="N11" s="22"/>
    </row>
    <row r="12" spans="1:14" s="77" customFormat="1" ht="15" customHeight="1" x14ac:dyDescent="0.25">
      <c r="A12" s="107"/>
      <c r="B12" s="80" t="s">
        <v>27</v>
      </c>
      <c r="C12" s="1" t="s">
        <v>10</v>
      </c>
      <c r="D12" s="81">
        <v>12</v>
      </c>
      <c r="E12" s="81">
        <v>12</v>
      </c>
      <c r="F12" s="81">
        <v>12</v>
      </c>
      <c r="G12" s="81">
        <v>12</v>
      </c>
      <c r="H12" s="81">
        <v>12</v>
      </c>
      <c r="I12" s="89">
        <v>10</v>
      </c>
      <c r="J12" s="22"/>
      <c r="K12" s="22"/>
      <c r="L12" s="22"/>
      <c r="M12" s="22"/>
      <c r="N12" s="22"/>
    </row>
    <row r="13" spans="1:14" s="77" customFormat="1" ht="15" customHeight="1" x14ac:dyDescent="0.25">
      <c r="A13" s="107"/>
      <c r="B13" s="15" t="s">
        <v>15</v>
      </c>
      <c r="C13" s="38" t="s">
        <v>78</v>
      </c>
      <c r="D13" s="67">
        <v>115046400</v>
      </c>
      <c r="E13" s="67">
        <v>129808000</v>
      </c>
      <c r="F13" s="67">
        <v>195115200</v>
      </c>
      <c r="G13" s="67">
        <v>234637200</v>
      </c>
      <c r="H13" s="67">
        <v>434431200</v>
      </c>
      <c r="I13" s="89">
        <v>11</v>
      </c>
      <c r="J13" s="22"/>
      <c r="K13" s="22"/>
      <c r="L13" s="22"/>
      <c r="M13" s="22"/>
      <c r="N13" s="22"/>
    </row>
    <row r="14" spans="1:14" s="77" customFormat="1" ht="15" customHeight="1" x14ac:dyDescent="0.25">
      <c r="A14" s="107"/>
      <c r="B14" s="15" t="s">
        <v>15</v>
      </c>
      <c r="C14" s="5" t="s">
        <v>19</v>
      </c>
      <c r="D14" s="67">
        <v>109568000</v>
      </c>
      <c r="E14" s="67">
        <v>108767000</v>
      </c>
      <c r="F14" s="73">
        <v>185824000</v>
      </c>
      <c r="G14" s="67">
        <v>223464000</v>
      </c>
      <c r="H14" s="67">
        <v>413744000</v>
      </c>
      <c r="I14" s="89">
        <v>12</v>
      </c>
      <c r="J14" s="22"/>
      <c r="K14" s="22"/>
      <c r="L14" s="22"/>
      <c r="M14" s="22"/>
      <c r="N14" s="22"/>
    </row>
    <row r="15" spans="1:14" s="77" customFormat="1" ht="15" customHeight="1" x14ac:dyDescent="0.25">
      <c r="A15" s="107"/>
      <c r="B15" s="15" t="s">
        <v>15</v>
      </c>
      <c r="C15" s="38" t="s">
        <v>7</v>
      </c>
      <c r="D15" s="67">
        <v>128308197</v>
      </c>
      <c r="E15" s="67">
        <v>194510000</v>
      </c>
      <c r="F15" s="67">
        <v>304489164</v>
      </c>
      <c r="G15" s="67">
        <v>374267090</v>
      </c>
      <c r="H15" s="67">
        <v>866662804</v>
      </c>
      <c r="I15" s="89">
        <v>13</v>
      </c>
      <c r="J15" s="22"/>
      <c r="K15" s="22"/>
      <c r="L15" s="22"/>
      <c r="M15" s="22"/>
      <c r="N15" s="22"/>
    </row>
    <row r="16" spans="1:14" s="77" customFormat="1" ht="15" customHeight="1" x14ac:dyDescent="0.25">
      <c r="A16" s="107"/>
      <c r="B16" s="15" t="s">
        <v>15</v>
      </c>
      <c r="C16" s="5" t="s">
        <v>79</v>
      </c>
      <c r="D16" s="67">
        <v>14394043</v>
      </c>
      <c r="E16" s="67">
        <v>19775485</v>
      </c>
      <c r="F16" s="73">
        <v>34521417</v>
      </c>
      <c r="G16" s="67">
        <v>42405358</v>
      </c>
      <c r="H16" s="67">
        <v>99110343</v>
      </c>
      <c r="I16" s="89">
        <v>14</v>
      </c>
      <c r="J16" s="22"/>
      <c r="K16" s="22"/>
      <c r="L16" s="22"/>
      <c r="M16" s="22"/>
      <c r="N16" s="22"/>
    </row>
    <row r="17" spans="1:14" ht="15" customHeight="1" x14ac:dyDescent="0.25">
      <c r="A17" s="107"/>
      <c r="B17" s="15" t="s">
        <v>15</v>
      </c>
      <c r="C17" s="5" t="s">
        <v>80</v>
      </c>
      <c r="D17" s="67">
        <v>92993155.567567572</v>
      </c>
      <c r="E17" s="67">
        <v>131284454.91891894</v>
      </c>
      <c r="F17" s="73">
        <v>235217981.72972974</v>
      </c>
      <c r="G17" s="67">
        <v>289919837.94594598</v>
      </c>
      <c r="H17" s="67">
        <v>690337425.44864869</v>
      </c>
      <c r="I17" s="89">
        <v>15</v>
      </c>
    </row>
    <row r="18" spans="1:14" ht="15" customHeight="1" x14ac:dyDescent="0.25">
      <c r="A18" s="107"/>
      <c r="B18" s="15" t="s">
        <v>15</v>
      </c>
      <c r="C18" s="5" t="s">
        <v>81</v>
      </c>
      <c r="D18" s="67">
        <v>16962000</v>
      </c>
      <c r="E18" s="67">
        <v>20559000</v>
      </c>
      <c r="F18" s="73">
        <v>28800000</v>
      </c>
      <c r="G18" s="67">
        <v>34688000</v>
      </c>
      <c r="H18" s="67">
        <v>64335000</v>
      </c>
      <c r="I18" s="89">
        <v>16</v>
      </c>
    </row>
    <row r="19" spans="1:14" ht="15" customHeight="1" x14ac:dyDescent="0.25">
      <c r="A19" s="107"/>
      <c r="B19" s="21" t="s">
        <v>15</v>
      </c>
      <c r="C19" s="5" t="s">
        <v>77</v>
      </c>
      <c r="D19" s="67">
        <v>816998.432432428</v>
      </c>
      <c r="E19" s="67">
        <v>1729948.0810810626</v>
      </c>
      <c r="F19" s="67">
        <v>2807765.2702702582</v>
      </c>
      <c r="G19" s="67">
        <v>4111894.0540540218</v>
      </c>
      <c r="H19" s="67">
        <v>9738035.5513513088</v>
      </c>
      <c r="I19" s="89">
        <v>17</v>
      </c>
    </row>
    <row r="20" spans="1:14" ht="15.75" customHeight="1" x14ac:dyDescent="0.25">
      <c r="A20" s="107" t="s">
        <v>29</v>
      </c>
      <c r="B20" s="12" t="s">
        <v>49</v>
      </c>
      <c r="C20" s="82" t="s">
        <v>63</v>
      </c>
      <c r="D20" s="69">
        <f>1042.56*1000</f>
        <v>1042560</v>
      </c>
      <c r="E20" s="69">
        <f>1478.26*1000</f>
        <v>1478260</v>
      </c>
      <c r="F20" s="69">
        <f>2645.3*1000</f>
        <v>2645300</v>
      </c>
      <c r="G20" s="69">
        <f>3267.73*1000</f>
        <v>3267730</v>
      </c>
      <c r="H20" s="69">
        <f>7780.321*1000</f>
        <v>7780321</v>
      </c>
      <c r="I20" s="89">
        <v>18</v>
      </c>
    </row>
    <row r="21" spans="1:14" ht="15.75" customHeight="1" x14ac:dyDescent="0.25">
      <c r="A21" s="107"/>
      <c r="B21" s="12" t="s">
        <v>49</v>
      </c>
      <c r="C21" s="82" t="s">
        <v>51</v>
      </c>
      <c r="D21" s="69">
        <f>4391.598*(1-0.099517)*1000</f>
        <v>3954559.3418339998</v>
      </c>
      <c r="E21" s="69">
        <f>6226.834*(1-0.099508)*1000</f>
        <v>5607214.2023279993</v>
      </c>
      <c r="F21" s="69">
        <f>11142.823*(1-0.099514)*1000</f>
        <v>10033956.111978002</v>
      </c>
      <c r="G21" s="69">
        <f>13764.686*(1-0.09515)*1000</f>
        <v>12454976.1271</v>
      </c>
      <c r="H21" s="69">
        <f>32773.182*(1-0.099518)*1000</f>
        <v>29511660.473724</v>
      </c>
      <c r="I21" s="89">
        <v>19</v>
      </c>
    </row>
    <row r="22" spans="1:14" ht="16.5" customHeight="1" x14ac:dyDescent="0.25">
      <c r="A22" s="107"/>
      <c r="B22" s="12" t="s">
        <v>49</v>
      </c>
      <c r="C22" s="83" t="s">
        <v>67</v>
      </c>
      <c r="D22" s="84">
        <f>D20/(D2*1000)</f>
        <v>1.548663101604278E-3</v>
      </c>
      <c r="E22" s="84">
        <f>E20/(E2*1000)</f>
        <v>1.5554082491582492E-3</v>
      </c>
      <c r="F22" s="69">
        <f>F20/(F2*1000)</f>
        <v>1.5535001174536058E-3</v>
      </c>
      <c r="G22" s="69">
        <f>G20/(G2*1000)</f>
        <v>1.5569515913855536E-3</v>
      </c>
      <c r="H22" s="69">
        <f>H20/(H2*1000)</f>
        <v>1.5568363908498616E-3</v>
      </c>
      <c r="I22" s="89">
        <v>20</v>
      </c>
    </row>
    <row r="23" spans="1:14" ht="15" customHeight="1" x14ac:dyDescent="0.25">
      <c r="A23" s="107"/>
      <c r="B23" s="16" t="s">
        <v>27</v>
      </c>
      <c r="C23" s="1" t="s">
        <v>1</v>
      </c>
      <c r="D23" s="70"/>
      <c r="E23" s="70"/>
      <c r="F23" s="71"/>
      <c r="G23" s="71"/>
      <c r="H23" s="71"/>
      <c r="I23" s="89">
        <v>21</v>
      </c>
    </row>
    <row r="24" spans="1:14" ht="15" customHeight="1" x14ac:dyDescent="0.25">
      <c r="A24" s="107"/>
      <c r="B24" s="16" t="s">
        <v>27</v>
      </c>
      <c r="C24" s="1" t="s">
        <v>2</v>
      </c>
      <c r="D24" s="70"/>
      <c r="E24" s="70"/>
      <c r="F24" s="71"/>
      <c r="G24" s="71"/>
      <c r="H24" s="71"/>
      <c r="I24" s="89">
        <v>22</v>
      </c>
    </row>
    <row r="25" spans="1:14" ht="15" customHeight="1" x14ac:dyDescent="0.25">
      <c r="A25" s="107"/>
      <c r="B25" s="16" t="s">
        <v>27</v>
      </c>
      <c r="C25" s="85" t="s">
        <v>54</v>
      </c>
      <c r="D25" s="70"/>
      <c r="E25" s="70"/>
      <c r="F25" s="70"/>
      <c r="G25" s="70"/>
      <c r="H25" s="70"/>
      <c r="I25" s="89">
        <v>23</v>
      </c>
    </row>
    <row r="26" spans="1:14" s="87" customFormat="1" ht="15" customHeight="1" x14ac:dyDescent="0.25">
      <c r="A26" s="107"/>
      <c r="B26" s="16" t="s">
        <v>27</v>
      </c>
      <c r="C26" s="1" t="s">
        <v>14</v>
      </c>
      <c r="D26" s="42">
        <v>2.5</v>
      </c>
      <c r="E26" s="42">
        <v>2.5</v>
      </c>
      <c r="F26" s="42">
        <v>2.5</v>
      </c>
      <c r="G26" s="42">
        <v>2.5</v>
      </c>
      <c r="H26" s="42">
        <v>2.5</v>
      </c>
      <c r="I26" s="89">
        <v>24</v>
      </c>
      <c r="J26" s="22"/>
      <c r="K26" s="22"/>
      <c r="L26" s="22"/>
      <c r="M26" s="22"/>
      <c r="N26" s="22"/>
    </row>
    <row r="27" spans="1:14" ht="17.25" customHeight="1" x14ac:dyDescent="0.25">
      <c r="A27" s="107"/>
      <c r="B27" s="20" t="s">
        <v>50</v>
      </c>
      <c r="C27" s="27" t="s">
        <v>59</v>
      </c>
      <c r="D27" s="104">
        <f>371143.15/D2</f>
        <v>0.55131186868686877</v>
      </c>
      <c r="E27" s="104">
        <f>526247.75/E2</f>
        <v>0.55371185816498314</v>
      </c>
      <c r="F27" s="104">
        <f>F5</f>
        <v>0.55303412027249232</v>
      </c>
      <c r="G27" s="104">
        <f>G5</f>
        <v>0.55426172098341908</v>
      </c>
      <c r="H27" s="104">
        <f>H5</f>
        <v>0.55421989306696118</v>
      </c>
      <c r="I27" s="89">
        <v>25</v>
      </c>
    </row>
    <row r="28" spans="1:14" ht="15" customHeight="1" x14ac:dyDescent="0.25">
      <c r="A28" s="107"/>
      <c r="B28" s="20" t="s">
        <v>50</v>
      </c>
      <c r="C28" s="27" t="s">
        <v>60</v>
      </c>
      <c r="D28" s="104">
        <f>130153/D2</f>
        <v>0.19333481877599526</v>
      </c>
      <c r="E28" s="104">
        <f>184545/E2</f>
        <v>0.19417613636363637</v>
      </c>
      <c r="F28" s="104">
        <f>330238/F2</f>
        <v>0.19393821940333569</v>
      </c>
      <c r="G28" s="104">
        <f>407936/G2</f>
        <v>0.1943663045549838</v>
      </c>
      <c r="H28" s="104">
        <f>971273/H2</f>
        <v>0.19435099809505516</v>
      </c>
      <c r="I28" s="89">
        <v>26</v>
      </c>
    </row>
    <row r="29" spans="1:14" ht="15" customHeight="1" x14ac:dyDescent="0.25">
      <c r="A29" s="107"/>
      <c r="B29" s="20" t="s">
        <v>50</v>
      </c>
      <c r="C29" s="27" t="s">
        <v>61</v>
      </c>
      <c r="D29" s="104">
        <f>42431/D2</f>
        <v>6.3028817587641117E-2</v>
      </c>
      <c r="E29" s="104">
        <f>60163/E2</f>
        <v>6.3302819865319868E-2</v>
      </c>
      <c r="F29" s="104">
        <f t="shared" ref="F29:H30" si="1">F7</f>
        <v>6.3225276015973692E-2</v>
      </c>
      <c r="G29" s="104">
        <f t="shared" si="1"/>
        <v>6.3365732799695068E-2</v>
      </c>
      <c r="H29" s="104">
        <f t="shared" si="1"/>
        <v>6.3360826970177211E-2</v>
      </c>
      <c r="I29" s="89">
        <v>27</v>
      </c>
    </row>
    <row r="30" spans="1:14" ht="15" customHeight="1" x14ac:dyDescent="0.25">
      <c r="A30" s="107"/>
      <c r="B30" s="20" t="s">
        <v>50</v>
      </c>
      <c r="C30" s="27" t="s">
        <v>62</v>
      </c>
      <c r="D30" s="104">
        <f>44675910/D2/1000</f>
        <v>6.6363502673796787E-2</v>
      </c>
      <c r="E30" s="104">
        <f>63346439/E2/1000</f>
        <v>6.6652397937710439E-2</v>
      </c>
      <c r="F30" s="104">
        <f t="shared" si="1"/>
        <v>6.6570816302560482E-2</v>
      </c>
      <c r="G30" s="104">
        <f t="shared" si="1"/>
        <v>6.6718587287974071E-2</v>
      </c>
      <c r="H30" s="104">
        <f t="shared" si="1"/>
        <v>6.671355212185244E-2</v>
      </c>
      <c r="I30" s="89">
        <v>28</v>
      </c>
    </row>
    <row r="31" spans="1:14" ht="15" customHeight="1" x14ac:dyDescent="0.25">
      <c r="A31" s="107"/>
      <c r="B31" s="20" t="s">
        <v>18</v>
      </c>
      <c r="C31" s="39" t="s">
        <v>54</v>
      </c>
      <c r="D31" s="90"/>
      <c r="E31" s="90"/>
      <c r="F31" s="90"/>
      <c r="G31" s="90"/>
      <c r="H31" s="90"/>
      <c r="I31" s="89">
        <v>29</v>
      </c>
    </row>
    <row r="32" spans="1:14" s="77" customFormat="1" ht="15" customHeight="1" x14ac:dyDescent="0.25">
      <c r="A32" s="107"/>
      <c r="B32" s="13" t="s">
        <v>3</v>
      </c>
      <c r="C32" s="2" t="s">
        <v>5</v>
      </c>
      <c r="D32" s="100">
        <v>1.3172865671641603</v>
      </c>
      <c r="E32" s="100">
        <v>1.1546199999999942</v>
      </c>
      <c r="F32" s="100">
        <v>0.99335058823530176</v>
      </c>
      <c r="G32" s="100">
        <v>0.92722666666664111</v>
      </c>
      <c r="H32" s="100">
        <v>0.8369904000000048</v>
      </c>
      <c r="I32" s="89">
        <v>30</v>
      </c>
      <c r="J32" s="22"/>
      <c r="K32" s="22"/>
      <c r="L32" s="22"/>
      <c r="M32" s="22"/>
      <c r="N32" s="22"/>
    </row>
    <row r="33" spans="1:14" s="77" customFormat="1" ht="15" customHeight="1" x14ac:dyDescent="0.25">
      <c r="A33" s="107"/>
      <c r="B33" s="13" t="s">
        <v>3</v>
      </c>
      <c r="C33" s="2" t="s">
        <v>6</v>
      </c>
      <c r="D33" s="100">
        <v>40.180464119403041</v>
      </c>
      <c r="E33" s="100">
        <v>40.212223663157602</v>
      </c>
      <c r="F33" s="100">
        <v>40.225714058823542</v>
      </c>
      <c r="G33" s="100">
        <v>40.263099238095037</v>
      </c>
      <c r="H33" s="100">
        <v>40.19335474799982</v>
      </c>
      <c r="I33" s="89">
        <v>31</v>
      </c>
      <c r="J33" s="22"/>
      <c r="K33" s="22"/>
      <c r="L33" s="22"/>
      <c r="M33" s="22"/>
      <c r="N33" s="22"/>
    </row>
    <row r="34" spans="1:14" s="77" customFormat="1" ht="15" customHeight="1" x14ac:dyDescent="0.25">
      <c r="A34" s="107"/>
      <c r="B34" s="14" t="s">
        <v>4</v>
      </c>
      <c r="C34" s="3" t="s">
        <v>30</v>
      </c>
      <c r="D34" s="91"/>
      <c r="E34" s="91"/>
      <c r="F34" s="92"/>
      <c r="G34" s="92"/>
      <c r="H34" s="92"/>
      <c r="I34" s="89">
        <v>32</v>
      </c>
      <c r="J34" s="22"/>
      <c r="K34" s="22"/>
      <c r="L34" s="22"/>
      <c r="M34" s="22"/>
      <c r="N34" s="22"/>
    </row>
    <row r="35" spans="1:14" ht="15" x14ac:dyDescent="0.25">
      <c r="A35" s="107"/>
      <c r="B35" s="19" t="s">
        <v>70</v>
      </c>
      <c r="C35" s="38" t="s">
        <v>110</v>
      </c>
      <c r="D35" s="57">
        <v>7669200</v>
      </c>
      <c r="E35" s="94">
        <v>9454200</v>
      </c>
      <c r="F35" s="67">
        <v>13242600</v>
      </c>
      <c r="G35" s="67">
        <v>15208200</v>
      </c>
      <c r="H35" s="94">
        <v>25141200</v>
      </c>
      <c r="I35" s="89">
        <v>33</v>
      </c>
      <c r="J35" s="95"/>
      <c r="K35" s="93"/>
    </row>
    <row r="36" spans="1:14" ht="15" x14ac:dyDescent="0.25">
      <c r="A36" s="107"/>
      <c r="B36" s="19" t="s">
        <v>70</v>
      </c>
      <c r="C36" s="5" t="s">
        <v>71</v>
      </c>
      <c r="D36" s="57">
        <v>7304000</v>
      </c>
      <c r="E36" s="94">
        <v>9004000</v>
      </c>
      <c r="F36" s="67">
        <v>12612000</v>
      </c>
      <c r="G36" s="67">
        <v>14484000</v>
      </c>
      <c r="H36" s="94">
        <v>23944000</v>
      </c>
      <c r="I36" s="89">
        <v>34</v>
      </c>
      <c r="K36" s="95"/>
    </row>
    <row r="37" spans="1:14" ht="15" x14ac:dyDescent="0.25">
      <c r="A37" s="107"/>
      <c r="B37" s="19" t="s">
        <v>70</v>
      </c>
      <c r="C37" s="38" t="s">
        <v>72</v>
      </c>
      <c r="D37" s="57">
        <v>1225061</v>
      </c>
      <c r="E37" s="94">
        <v>1633141</v>
      </c>
      <c r="F37" s="94">
        <v>2665990</v>
      </c>
      <c r="G37" s="67">
        <v>3206420</v>
      </c>
      <c r="H37" s="57">
        <v>6898226</v>
      </c>
      <c r="I37" s="89">
        <v>35</v>
      </c>
      <c r="K37" s="95"/>
    </row>
    <row r="38" spans="1:14" ht="15" x14ac:dyDescent="0.25">
      <c r="A38" s="107"/>
      <c r="B38" s="19" t="s">
        <v>70</v>
      </c>
      <c r="C38" s="5" t="s">
        <v>73</v>
      </c>
      <c r="D38" s="57">
        <v>158874</v>
      </c>
      <c r="E38" s="94">
        <v>209914</v>
      </c>
      <c r="F38" s="94">
        <v>348522</v>
      </c>
      <c r="G38" s="67">
        <v>416273</v>
      </c>
      <c r="H38" s="67">
        <v>945832</v>
      </c>
      <c r="I38" s="89">
        <v>36</v>
      </c>
    </row>
    <row r="39" spans="1:14" ht="15" x14ac:dyDescent="0.25">
      <c r="A39" s="107"/>
      <c r="B39" s="19" t="s">
        <v>70</v>
      </c>
      <c r="C39" s="5" t="s">
        <v>74</v>
      </c>
      <c r="D39" s="57">
        <v>0</v>
      </c>
      <c r="E39" s="94">
        <v>0</v>
      </c>
      <c r="F39" s="94">
        <v>0</v>
      </c>
      <c r="G39" s="67">
        <v>0</v>
      </c>
      <c r="H39" s="67">
        <v>0</v>
      </c>
      <c r="I39" s="89">
        <v>37</v>
      </c>
    </row>
    <row r="40" spans="1:14" ht="15" x14ac:dyDescent="0.25">
      <c r="A40" s="107"/>
      <c r="B40" s="19" t="s">
        <v>70</v>
      </c>
      <c r="C40" s="5" t="s">
        <v>75</v>
      </c>
      <c r="D40" s="72">
        <v>478412</v>
      </c>
      <c r="E40" s="72">
        <v>589762</v>
      </c>
      <c r="F40" s="72">
        <v>826086</v>
      </c>
      <c r="G40" s="67">
        <v>948702</v>
      </c>
      <c r="H40" s="67">
        <v>1568332</v>
      </c>
      <c r="I40" s="89">
        <v>38</v>
      </c>
    </row>
    <row r="41" spans="1:14" ht="15" x14ac:dyDescent="0.25">
      <c r="A41" s="107"/>
      <c r="B41" s="19" t="s">
        <v>70</v>
      </c>
      <c r="C41" s="5" t="s">
        <v>76</v>
      </c>
      <c r="D41" s="57">
        <v>587775</v>
      </c>
      <c r="E41" s="94">
        <v>833465</v>
      </c>
      <c r="F41" s="94">
        <v>1491382</v>
      </c>
      <c r="G41" s="67">
        <v>1841445</v>
      </c>
      <c r="H41" s="67">
        <v>4384062</v>
      </c>
      <c r="I41" s="89">
        <v>39</v>
      </c>
    </row>
    <row r="42" spans="1:14" x14ac:dyDescent="0.25">
      <c r="B42" s="7"/>
      <c r="C42" s="4"/>
      <c r="D42" s="96"/>
      <c r="E42" s="96"/>
      <c r="F42" s="96"/>
      <c r="G42" s="96"/>
      <c r="H42" s="41"/>
    </row>
    <row r="43" spans="1:14" x14ac:dyDescent="0.25">
      <c r="B43" s="7"/>
      <c r="C43" s="97"/>
      <c r="D43" s="96"/>
      <c r="E43" s="89"/>
      <c r="F43" s="89"/>
      <c r="G43" s="89"/>
      <c r="H43" s="89"/>
    </row>
    <row r="44" spans="1:14" x14ac:dyDescent="0.25">
      <c r="B44" s="7"/>
      <c r="C44" s="97"/>
      <c r="D44" s="96"/>
      <c r="E44" s="89"/>
      <c r="F44" s="89"/>
      <c r="G44" s="89"/>
      <c r="H44" s="89"/>
    </row>
    <row r="45" spans="1:14" x14ac:dyDescent="0.25">
      <c r="B45" s="7"/>
      <c r="E45" s="89"/>
      <c r="F45" s="89"/>
      <c r="G45" s="89"/>
      <c r="H45" s="89"/>
    </row>
    <row r="46" spans="1:14" x14ac:dyDescent="0.25">
      <c r="B46" s="7"/>
      <c r="E46" s="89"/>
      <c r="F46" s="89"/>
      <c r="G46" s="89"/>
      <c r="H46" s="89"/>
    </row>
    <row r="47" spans="1:14" x14ac:dyDescent="0.25">
      <c r="B47" s="7"/>
      <c r="E47" s="89"/>
      <c r="F47" s="89"/>
      <c r="G47" s="89"/>
      <c r="H47" s="89"/>
    </row>
    <row r="48" spans="1:14" x14ac:dyDescent="0.25">
      <c r="B48" s="7"/>
      <c r="C48" s="4"/>
      <c r="D48" s="96"/>
      <c r="E48" s="89"/>
      <c r="F48" s="89"/>
      <c r="G48" s="89"/>
      <c r="H48" s="89"/>
    </row>
    <row r="49" spans="2:8" x14ac:dyDescent="0.25">
      <c r="B49" s="7"/>
      <c r="C49" s="4"/>
      <c r="D49" s="96"/>
      <c r="E49" s="89"/>
      <c r="F49" s="89"/>
      <c r="G49" s="89"/>
      <c r="H49" s="89"/>
    </row>
    <row r="50" spans="2:8" x14ac:dyDescent="0.25">
      <c r="B50" s="7"/>
      <c r="C50" s="4"/>
      <c r="D50" s="96"/>
      <c r="E50" s="89"/>
      <c r="F50" s="89"/>
      <c r="G50" s="89"/>
      <c r="H50" s="89"/>
    </row>
    <row r="51" spans="2:8" x14ac:dyDescent="0.25">
      <c r="B51" s="6"/>
      <c r="C51" s="77"/>
      <c r="D51" s="89"/>
      <c r="E51" s="89"/>
      <c r="F51" s="89"/>
      <c r="G51" s="89"/>
      <c r="H51" s="89"/>
    </row>
  </sheetData>
  <mergeCells count="2">
    <mergeCell ref="A2:A19"/>
    <mergeCell ref="A20:A41"/>
  </mergeCells>
  <pageMargins left="0.7" right="0.7" top="0.75" bottom="0.75" header="0.3" footer="0.3"/>
  <pageSetup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B63FF-275C-4E59-A879-8F35A881D7FE}">
  <dimension ref="A1:K41"/>
  <sheetViews>
    <sheetView zoomScale="80" zoomScaleNormal="80" workbookViewId="0">
      <selection activeCell="I2" sqref="I2:I41"/>
    </sheetView>
  </sheetViews>
  <sheetFormatPr defaultRowHeight="15" x14ac:dyDescent="0.25"/>
  <cols>
    <col min="1" max="1" width="18.85546875" style="22" customWidth="1"/>
    <col min="2" max="2" width="32.140625" style="23" customWidth="1"/>
    <col min="3" max="3" width="62.140625" style="22" customWidth="1"/>
    <col min="4" max="4" width="15.7109375" style="88" bestFit="1" customWidth="1"/>
    <col min="5" max="5" width="12.42578125" style="88" bestFit="1" customWidth="1"/>
    <col min="6" max="6" width="16.85546875" style="98" bestFit="1" customWidth="1"/>
    <col min="7" max="7" width="12.42578125" style="98" bestFit="1" customWidth="1"/>
    <col min="8" max="8" width="14.7109375" style="98" customWidth="1"/>
    <col min="9" max="9" width="9.140625" style="22"/>
    <col min="10" max="10" width="35" style="22" bestFit="1" customWidth="1"/>
    <col min="11" max="11" width="21.28515625" style="22" bestFit="1" customWidth="1"/>
    <col min="12" max="16384" width="9.140625" style="22"/>
  </cols>
  <sheetData>
    <row r="1" spans="1:11" x14ac:dyDescent="0.25">
      <c r="C1" s="46" t="s">
        <v>48</v>
      </c>
      <c r="D1" s="48" t="s">
        <v>88</v>
      </c>
      <c r="E1" s="48" t="s">
        <v>89</v>
      </c>
      <c r="F1" s="49" t="s">
        <v>84</v>
      </c>
      <c r="G1" s="48" t="s">
        <v>90</v>
      </c>
      <c r="H1" s="48" t="s">
        <v>91</v>
      </c>
      <c r="I1" s="23"/>
      <c r="J1" s="23" t="s">
        <v>16</v>
      </c>
    </row>
    <row r="2" spans="1:11" ht="15" customHeight="1" x14ac:dyDescent="0.25">
      <c r="A2" s="108" t="s">
        <v>69</v>
      </c>
      <c r="B2" s="24" t="s">
        <v>0</v>
      </c>
      <c r="C2" s="25" t="s">
        <v>52</v>
      </c>
      <c r="D2" s="52">
        <f>350625000/1000</f>
        <v>350625</v>
      </c>
      <c r="E2" s="52">
        <f>701250000/1000</f>
        <v>701250</v>
      </c>
      <c r="F2" s="51">
        <v>1029600</v>
      </c>
      <c r="G2" s="51">
        <f>2103750</f>
        <v>2103750</v>
      </c>
      <c r="H2" s="51">
        <f>2629770</f>
        <v>2629770</v>
      </c>
      <c r="I2" s="22">
        <v>0</v>
      </c>
      <c r="J2" s="22" t="s">
        <v>92</v>
      </c>
    </row>
    <row r="3" spans="1:11" ht="15" customHeight="1" x14ac:dyDescent="0.25">
      <c r="A3" s="108"/>
      <c r="B3" s="24" t="s">
        <v>0</v>
      </c>
      <c r="C3" s="25" t="s">
        <v>53</v>
      </c>
      <c r="D3" s="52">
        <f>D2/330/24</f>
        <v>44.270833333333336</v>
      </c>
      <c r="E3" s="52">
        <f>E2/330/24</f>
        <v>88.541666666666671</v>
      </c>
      <c r="F3" s="52">
        <f>F2/330/24</f>
        <v>130</v>
      </c>
      <c r="G3" s="52">
        <f>G2/330/24</f>
        <v>265.625</v>
      </c>
      <c r="H3" s="52">
        <f>H2/330/24</f>
        <v>332.04166666666669</v>
      </c>
      <c r="I3" s="22">
        <v>1</v>
      </c>
      <c r="J3" s="22" t="s">
        <v>93</v>
      </c>
    </row>
    <row r="4" spans="1:11" ht="15" customHeight="1" x14ac:dyDescent="0.25">
      <c r="A4" s="108"/>
      <c r="B4" s="24" t="s">
        <v>0</v>
      </c>
      <c r="C4" s="25" t="s">
        <v>9</v>
      </c>
      <c r="D4" s="26">
        <v>0.26</v>
      </c>
      <c r="E4" s="26">
        <v>0.26</v>
      </c>
      <c r="F4" s="26">
        <v>0.26</v>
      </c>
      <c r="G4" s="26">
        <v>0.26</v>
      </c>
      <c r="H4" s="26">
        <v>0.26</v>
      </c>
      <c r="I4" s="22">
        <v>2</v>
      </c>
      <c r="J4" s="22" t="s">
        <v>94</v>
      </c>
    </row>
    <row r="5" spans="1:11" ht="15" customHeight="1" x14ac:dyDescent="0.25">
      <c r="A5" s="108"/>
      <c r="B5" s="20" t="s">
        <v>18</v>
      </c>
      <c r="C5" s="27" t="s">
        <v>11</v>
      </c>
      <c r="D5" s="53">
        <f>119590365/$J$11/D2</f>
        <v>114.12485439498994</v>
      </c>
      <c r="E5" s="53">
        <f>239041799/$J$11/E$2</f>
        <v>114.0585636024752</v>
      </c>
      <c r="F5" s="53">
        <f>358489485/$J$11/F$2</f>
        <v>116.50238373793506</v>
      </c>
      <c r="G5" s="53">
        <f>716835035/$J$11/G$2</f>
        <v>114.01238161982155</v>
      </c>
      <c r="H5" s="53">
        <f>896036351/$J$11/H$2</f>
        <v>114.00785788911755</v>
      </c>
      <c r="I5" s="22">
        <v>3</v>
      </c>
      <c r="J5" s="22" t="s">
        <v>95</v>
      </c>
    </row>
    <row r="6" spans="1:11" ht="15" customHeight="1" x14ac:dyDescent="0.25">
      <c r="A6" s="108"/>
      <c r="B6" s="20" t="s">
        <v>18</v>
      </c>
      <c r="C6" s="27" t="s">
        <v>12</v>
      </c>
      <c r="D6" s="54">
        <f>102082*1000/D2</f>
        <v>291.14295900178251</v>
      </c>
      <c r="E6" s="54">
        <f>204151*1000/E2</f>
        <v>291.12442067736185</v>
      </c>
      <c r="F6" s="34">
        <f>306247/F2*1000</f>
        <v>297.44269619269619</v>
      </c>
      <c r="G6" s="54">
        <f>612413/G2*1000</f>
        <v>291.10540701128934</v>
      </c>
      <c r="H6" s="34">
        <f>765534/H2*1000</f>
        <v>291.10302421884802</v>
      </c>
      <c r="I6" s="22">
        <v>4</v>
      </c>
      <c r="J6" s="22" t="s">
        <v>96</v>
      </c>
    </row>
    <row r="7" spans="1:11" ht="15" customHeight="1" x14ac:dyDescent="0.25">
      <c r="A7" s="108"/>
      <c r="B7" s="20" t="s">
        <v>18</v>
      </c>
      <c r="C7" s="27" t="s">
        <v>17</v>
      </c>
      <c r="D7" s="54">
        <f>3410600/D2</f>
        <v>9.7272014260249549</v>
      </c>
      <c r="E7" s="54">
        <f>6815344/E2</f>
        <v>9.7188506238859187</v>
      </c>
      <c r="F7" s="54">
        <f>10231797/F2</f>
        <v>9.9376427738927742</v>
      </c>
      <c r="G7" s="54">
        <f>20429348/G2</f>
        <v>9.7109200237670823</v>
      </c>
      <c r="H7" s="54">
        <f>25535105/H2</f>
        <v>9.7100145640113009</v>
      </c>
      <c r="I7" s="22">
        <v>5</v>
      </c>
      <c r="J7" s="22" t="s">
        <v>58</v>
      </c>
    </row>
    <row r="8" spans="1:11" x14ac:dyDescent="0.25">
      <c r="A8" s="108"/>
      <c r="B8" s="20" t="s">
        <v>18</v>
      </c>
      <c r="C8" s="39" t="s">
        <v>54</v>
      </c>
      <c r="D8" s="58"/>
      <c r="E8" s="58"/>
      <c r="F8" s="40"/>
      <c r="G8" s="40"/>
      <c r="H8" s="40"/>
      <c r="I8" s="22">
        <v>6</v>
      </c>
      <c r="J8" s="86">
        <v>358489485</v>
      </c>
      <c r="K8" s="22" t="s">
        <v>102</v>
      </c>
    </row>
    <row r="9" spans="1:11" ht="15" customHeight="1" x14ac:dyDescent="0.25">
      <c r="A9" s="108"/>
      <c r="B9" s="28" t="s">
        <v>3</v>
      </c>
      <c r="C9" s="2" t="s">
        <v>108</v>
      </c>
      <c r="D9" s="99">
        <v>92.870166131907311</v>
      </c>
      <c r="E9" s="99">
        <v>76.432148306595366</v>
      </c>
      <c r="F9" s="99">
        <v>71.98683177933178</v>
      </c>
      <c r="G9" s="99">
        <v>63.832588472964943</v>
      </c>
      <c r="H9" s="99">
        <v>62.33816379379185</v>
      </c>
      <c r="I9" s="22">
        <v>7</v>
      </c>
      <c r="J9" s="101">
        <v>117503006.20036501</v>
      </c>
      <c r="K9" s="22" t="s">
        <v>103</v>
      </c>
    </row>
    <row r="10" spans="1:11" ht="15" customHeight="1" x14ac:dyDescent="0.25">
      <c r="A10" s="108"/>
      <c r="B10" s="28" t="s">
        <v>3</v>
      </c>
      <c r="C10" s="2" t="s">
        <v>109</v>
      </c>
      <c r="D10" s="99">
        <v>647.63005632798581</v>
      </c>
      <c r="E10" s="99">
        <v>647.45552946880571</v>
      </c>
      <c r="F10" s="99">
        <v>661.3871509518259</v>
      </c>
      <c r="G10" s="99">
        <v>647.34168579916809</v>
      </c>
      <c r="H10" s="99">
        <v>647.3307055445913</v>
      </c>
      <c r="I10" s="22">
        <v>8</v>
      </c>
      <c r="J10" s="102">
        <f>J8/J9</f>
        <v>3.0508962842083132</v>
      </c>
      <c r="K10" s="22" t="s">
        <v>104</v>
      </c>
    </row>
    <row r="11" spans="1:11" ht="15" customHeight="1" x14ac:dyDescent="0.25">
      <c r="A11" s="108"/>
      <c r="B11" s="29" t="s">
        <v>4</v>
      </c>
      <c r="C11" s="3" t="s">
        <v>31</v>
      </c>
      <c r="D11" s="59"/>
      <c r="E11" s="59"/>
      <c r="F11" s="30"/>
      <c r="G11" s="60"/>
      <c r="H11" s="60"/>
      <c r="I11" s="22">
        <v>9</v>
      </c>
      <c r="J11" s="102">
        <f>0.789/0.264</f>
        <v>2.9886363636363638</v>
      </c>
      <c r="K11" s="22" t="s">
        <v>105</v>
      </c>
    </row>
    <row r="12" spans="1:11" ht="15" customHeight="1" x14ac:dyDescent="0.25">
      <c r="A12" s="108"/>
      <c r="B12" s="31" t="s">
        <v>27</v>
      </c>
      <c r="C12" s="1" t="s">
        <v>13</v>
      </c>
      <c r="D12" s="42">
        <v>9</v>
      </c>
      <c r="E12" s="42">
        <v>9</v>
      </c>
      <c r="F12" s="42">
        <v>9</v>
      </c>
      <c r="G12" s="42">
        <v>9</v>
      </c>
      <c r="H12" s="42">
        <v>9</v>
      </c>
      <c r="I12" s="22">
        <v>10</v>
      </c>
      <c r="K12" s="105"/>
    </row>
    <row r="13" spans="1:11" ht="15" customHeight="1" thickBot="1" x14ac:dyDescent="0.3">
      <c r="A13" s="108"/>
      <c r="B13" s="19" t="s">
        <v>15</v>
      </c>
      <c r="C13" s="32" t="s">
        <v>8</v>
      </c>
      <c r="D13" s="57">
        <v>85898400</v>
      </c>
      <c r="E13" s="57">
        <v>146853000</v>
      </c>
      <c r="F13" s="57">
        <v>196060200</v>
      </c>
      <c r="G13" s="57">
        <v>357432600</v>
      </c>
      <c r="H13" s="57">
        <v>434393400</v>
      </c>
      <c r="I13" s="22">
        <v>11</v>
      </c>
      <c r="J13" s="105" t="s">
        <v>111</v>
      </c>
    </row>
    <row r="14" spans="1:11" ht="15" customHeight="1" thickBot="1" x14ac:dyDescent="0.3">
      <c r="A14" s="108"/>
      <c r="B14" s="19" t="s">
        <v>15</v>
      </c>
      <c r="C14" s="5" t="s">
        <v>19</v>
      </c>
      <c r="D14" s="57">
        <f>20452000*4</f>
        <v>81808000</v>
      </c>
      <c r="E14" s="57">
        <f>4*34965000</f>
        <v>139860000</v>
      </c>
      <c r="F14" s="57">
        <f>4*46681000</f>
        <v>186724000</v>
      </c>
      <c r="G14" s="57">
        <f>85103000*4</f>
        <v>340412000</v>
      </c>
      <c r="H14" s="57">
        <f>103427000*4</f>
        <v>413708000</v>
      </c>
      <c r="I14" s="22">
        <v>12</v>
      </c>
      <c r="J14" s="103">
        <v>358489485</v>
      </c>
      <c r="K14" s="105" t="s">
        <v>112</v>
      </c>
    </row>
    <row r="15" spans="1:11" ht="15.75" customHeight="1" x14ac:dyDescent="0.25">
      <c r="A15" s="108"/>
      <c r="B15" s="19" t="s">
        <v>15</v>
      </c>
      <c r="C15" s="32" t="s">
        <v>7</v>
      </c>
      <c r="D15" s="57">
        <v>71534418</v>
      </c>
      <c r="E15" s="57">
        <v>137466607</v>
      </c>
      <c r="F15" s="57">
        <v>202629966</v>
      </c>
      <c r="G15" s="57">
        <v>398874877</v>
      </c>
      <c r="H15" s="57">
        <v>496748544</v>
      </c>
      <c r="I15" s="22">
        <v>13</v>
      </c>
      <c r="J15" s="105">
        <f>J14/0.789</f>
        <v>454359296.57794672</v>
      </c>
      <c r="K15" s="105" t="s">
        <v>113</v>
      </c>
    </row>
    <row r="16" spans="1:11" ht="15.75" customHeight="1" x14ac:dyDescent="0.25">
      <c r="A16" s="108"/>
      <c r="B16" s="19" t="s">
        <v>15</v>
      </c>
      <c r="C16" s="5" t="s">
        <v>79</v>
      </c>
      <c r="D16" s="57">
        <v>9734086</v>
      </c>
      <c r="E16" s="57">
        <v>18702410</v>
      </c>
      <c r="F16" s="57">
        <v>27802002</v>
      </c>
      <c r="G16" s="57">
        <v>54330590</v>
      </c>
      <c r="H16" s="57">
        <v>67649867</v>
      </c>
      <c r="I16" s="22">
        <v>14</v>
      </c>
      <c r="J16" s="105">
        <f>J15*0.264</f>
        <v>119950854.29657795</v>
      </c>
      <c r="K16" s="105" t="s">
        <v>114</v>
      </c>
    </row>
    <row r="17" spans="1:11" ht="15.75" customHeight="1" x14ac:dyDescent="0.25">
      <c r="A17" s="108"/>
      <c r="B17" s="19" t="s">
        <v>15</v>
      </c>
      <c r="C17" s="5" t="s">
        <v>80</v>
      </c>
      <c r="D17" s="57">
        <v>48701111</v>
      </c>
      <c r="E17" s="57">
        <v>50599217</v>
      </c>
      <c r="F17" s="57">
        <v>142224826</v>
      </c>
      <c r="G17" s="57">
        <v>290603611.14864868</v>
      </c>
      <c r="H17" s="57">
        <v>363265910.15585589</v>
      </c>
      <c r="I17" s="22">
        <v>15</v>
      </c>
    </row>
    <row r="18" spans="1:11" ht="15" customHeight="1" x14ac:dyDescent="0.25">
      <c r="A18" s="108"/>
      <c r="B18" s="19" t="s">
        <v>15</v>
      </c>
      <c r="C18" s="5" t="s">
        <v>81</v>
      </c>
      <c r="D18" s="57">
        <v>5358000</v>
      </c>
      <c r="E18" s="57">
        <v>9160830</v>
      </c>
      <c r="F18" s="57">
        <v>12230422</v>
      </c>
      <c r="G18" s="57">
        <v>22296986</v>
      </c>
      <c r="H18" s="57">
        <v>27097874</v>
      </c>
      <c r="I18" s="22">
        <v>16</v>
      </c>
    </row>
    <row r="19" spans="1:11" ht="15" customHeight="1" x14ac:dyDescent="0.25">
      <c r="A19" s="108"/>
      <c r="B19" s="21" t="s">
        <v>20</v>
      </c>
      <c r="C19" s="5" t="s">
        <v>77</v>
      </c>
      <c r="D19" s="57">
        <v>4462221</v>
      </c>
      <c r="E19" s="57">
        <v>55725150</v>
      </c>
      <c r="F19" s="57">
        <v>11570532</v>
      </c>
      <c r="G19" s="57">
        <v>28364689.851351321</v>
      </c>
      <c r="H19" s="57">
        <v>35455892.844144106</v>
      </c>
      <c r="I19" s="22">
        <v>17</v>
      </c>
    </row>
    <row r="20" spans="1:11" ht="15" customHeight="1" x14ac:dyDescent="0.25">
      <c r="A20" s="108" t="s">
        <v>29</v>
      </c>
      <c r="B20" s="20" t="s">
        <v>28</v>
      </c>
      <c r="C20" s="27" t="s">
        <v>65</v>
      </c>
      <c r="D20" s="43">
        <f>D22*D2*1000</f>
        <v>558596.0199999999</v>
      </c>
      <c r="E20" s="43">
        <f>E22*E2*1000</f>
        <v>1115178.77</v>
      </c>
      <c r="F20" s="43">
        <f>F22*F2*1000</f>
        <v>1670668.11</v>
      </c>
      <c r="G20" s="43">
        <f>G22*G2*1000</f>
        <v>3342505</v>
      </c>
      <c r="H20" s="43">
        <f>H22*H2*1000</f>
        <v>4174465</v>
      </c>
      <c r="I20" s="22">
        <v>18</v>
      </c>
    </row>
    <row r="21" spans="1:11" ht="15" customHeight="1" x14ac:dyDescent="0.25">
      <c r="A21" s="108"/>
      <c r="B21" s="20" t="s">
        <v>28</v>
      </c>
      <c r="C21" s="27" t="s">
        <v>66</v>
      </c>
      <c r="D21" s="43">
        <f>1768.784379996*1000</f>
        <v>1768784.3799960001</v>
      </c>
      <c r="E21" s="43">
        <f>3533.227437444*1000</f>
        <v>3533227.437444</v>
      </c>
      <c r="F21" s="43">
        <f>5295.289423371*1000</f>
        <v>5295289.4233710002</v>
      </c>
      <c r="G21" s="43">
        <f>10593.173407785*1000</f>
        <v>10593173.407785</v>
      </c>
      <c r="H21" s="43">
        <f>13233.722944494*1000</f>
        <v>13233722.944494</v>
      </c>
      <c r="I21" s="22">
        <v>19</v>
      </c>
    </row>
    <row r="22" spans="1:11" ht="15" customHeight="1" x14ac:dyDescent="0.25">
      <c r="A22" s="108"/>
      <c r="B22" s="20" t="s">
        <v>28</v>
      </c>
      <c r="C22" s="27" t="s">
        <v>67</v>
      </c>
      <c r="D22" s="43">
        <f>558.59602/D2</f>
        <v>1.5931437290552584E-3</v>
      </c>
      <c r="E22" s="43">
        <f>1115.17877/E2</f>
        <v>1.5902727557932264E-3</v>
      </c>
      <c r="F22" s="43">
        <f>1670.66811/F2</f>
        <v>1.6226380244755245E-3</v>
      </c>
      <c r="G22" s="43">
        <f>3342.505/G2</f>
        <v>1.5888318478906715E-3</v>
      </c>
      <c r="H22" s="43">
        <f>4174.465/H2</f>
        <v>1.5873878704221283E-3</v>
      </c>
      <c r="I22" s="22">
        <v>20</v>
      </c>
    </row>
    <row r="23" spans="1:11" ht="15" customHeight="1" x14ac:dyDescent="0.25">
      <c r="A23" s="108"/>
      <c r="B23" s="33" t="s">
        <v>27</v>
      </c>
      <c r="C23" s="1" t="s">
        <v>1</v>
      </c>
      <c r="D23" s="61"/>
      <c r="E23" s="61"/>
      <c r="F23" s="17"/>
      <c r="G23" s="62"/>
      <c r="H23" s="62"/>
      <c r="I23" s="22">
        <v>21</v>
      </c>
    </row>
    <row r="24" spans="1:11" ht="15" customHeight="1" x14ac:dyDescent="0.25">
      <c r="A24" s="108"/>
      <c r="B24" s="33" t="s">
        <v>27</v>
      </c>
      <c r="C24" s="1" t="s">
        <v>57</v>
      </c>
      <c r="D24" s="61"/>
      <c r="E24" s="61"/>
      <c r="F24" s="17"/>
      <c r="G24" s="62"/>
      <c r="H24" s="62"/>
      <c r="I24" s="22">
        <v>22</v>
      </c>
    </row>
    <row r="25" spans="1:11" ht="15" customHeight="1" x14ac:dyDescent="0.25">
      <c r="A25" s="108"/>
      <c r="B25" s="33" t="s">
        <v>27</v>
      </c>
      <c r="C25" s="85" t="s">
        <v>68</v>
      </c>
      <c r="D25" s="63"/>
      <c r="E25" s="63"/>
      <c r="F25" s="18"/>
      <c r="G25" s="64"/>
      <c r="H25" s="64"/>
      <c r="I25" s="22">
        <v>23</v>
      </c>
    </row>
    <row r="26" spans="1:11" ht="15" customHeight="1" x14ac:dyDescent="0.25">
      <c r="A26" s="108"/>
      <c r="B26" s="33" t="s">
        <v>27</v>
      </c>
      <c r="C26" s="1" t="s">
        <v>14</v>
      </c>
      <c r="D26" s="42">
        <v>3.2</v>
      </c>
      <c r="E26" s="42">
        <v>3.2</v>
      </c>
      <c r="F26" s="42">
        <v>3.2</v>
      </c>
      <c r="G26" s="42">
        <v>3.2</v>
      </c>
      <c r="H26" s="42">
        <v>3.2</v>
      </c>
      <c r="I26" s="22">
        <v>24</v>
      </c>
    </row>
    <row r="27" spans="1:11" ht="15" customHeight="1" x14ac:dyDescent="0.25">
      <c r="A27" s="108"/>
      <c r="B27" s="20" t="s">
        <v>50</v>
      </c>
      <c r="C27" s="27" t="s">
        <v>11</v>
      </c>
      <c r="D27" s="55">
        <f>119590302/$J$11/D$2</f>
        <v>114.1247942742116</v>
      </c>
      <c r="E27" s="55">
        <f>239039289/$J$11/E$2</f>
        <v>114.05736595839856</v>
      </c>
      <c r="F27" s="55">
        <f>358488226/$J$11/F$2</f>
        <v>116.50197458646127</v>
      </c>
      <c r="G27" s="55">
        <f>716838799/$J$11/G$2</f>
        <v>114.0129802828102</v>
      </c>
      <c r="H27" s="55">
        <f>896035614/$J$11/H$2</f>
        <v>114.00776411636919</v>
      </c>
      <c r="I27" s="22">
        <v>25</v>
      </c>
    </row>
    <row r="28" spans="1:11" ht="15" customHeight="1" x14ac:dyDescent="0.25">
      <c r="A28" s="108"/>
      <c r="B28" s="20" t="s">
        <v>50</v>
      </c>
      <c r="C28" s="27" t="s">
        <v>12</v>
      </c>
      <c r="D28" s="53">
        <f>100812*1000/D2</f>
        <v>287.52085561497324</v>
      </c>
      <c r="E28" s="53">
        <f>201613*1000/E2</f>
        <v>287.50516934046345</v>
      </c>
      <c r="F28" s="54">
        <f>302405/F2*1000</f>
        <v>293.71114996114994</v>
      </c>
      <c r="G28" s="53">
        <f>604820*1000/G2</f>
        <v>287.49613784907905</v>
      </c>
      <c r="H28" s="53">
        <f>756026*1000/H2</f>
        <v>287.4874989067485</v>
      </c>
      <c r="I28" s="22">
        <v>26</v>
      </c>
    </row>
    <row r="29" spans="1:11" ht="15.75" customHeight="1" x14ac:dyDescent="0.25">
      <c r="A29" s="108"/>
      <c r="B29" s="20" t="s">
        <v>50</v>
      </c>
      <c r="C29" s="27" t="s">
        <v>17</v>
      </c>
      <c r="D29" s="53">
        <f>3410600/D2</f>
        <v>9.7272014260249549</v>
      </c>
      <c r="E29" s="53">
        <f>6815317/E2</f>
        <v>9.718812121212121</v>
      </c>
      <c r="F29" s="53">
        <f>10216265/F2</f>
        <v>9.9225573038073041</v>
      </c>
      <c r="G29" s="53">
        <f>20437117/G2</f>
        <v>9.714612953060012</v>
      </c>
      <c r="H29" s="53">
        <f>25536070/H2</f>
        <v>9.710381516254273</v>
      </c>
      <c r="I29" s="22">
        <v>27</v>
      </c>
      <c r="J29" s="4"/>
      <c r="K29" s="44"/>
    </row>
    <row r="30" spans="1:11" ht="15" customHeight="1" x14ac:dyDescent="0.25">
      <c r="A30" s="108"/>
      <c r="B30" s="20" t="s">
        <v>18</v>
      </c>
      <c r="C30" s="39" t="s">
        <v>54</v>
      </c>
      <c r="D30" s="65"/>
      <c r="E30" s="65"/>
      <c r="F30" s="34"/>
      <c r="G30" s="34"/>
      <c r="H30" s="34"/>
      <c r="I30" s="22">
        <v>28</v>
      </c>
      <c r="J30" s="4"/>
      <c r="K30" s="44"/>
    </row>
    <row r="31" spans="1:11" ht="15" customHeight="1" x14ac:dyDescent="0.25">
      <c r="A31" s="108"/>
      <c r="B31" s="20" t="s">
        <v>18</v>
      </c>
      <c r="C31" s="39" t="s">
        <v>54</v>
      </c>
      <c r="D31" s="65"/>
      <c r="E31" s="65"/>
      <c r="F31" s="35"/>
      <c r="G31" s="54"/>
      <c r="H31" s="56"/>
      <c r="I31" s="22">
        <v>29</v>
      </c>
      <c r="J31" s="4"/>
      <c r="K31" s="44"/>
    </row>
    <row r="32" spans="1:11" s="77" customFormat="1" ht="15" customHeight="1" x14ac:dyDescent="0.25">
      <c r="A32" s="108"/>
      <c r="B32" s="28" t="s">
        <v>3</v>
      </c>
      <c r="C32" s="36" t="s">
        <v>56</v>
      </c>
      <c r="D32" s="99">
        <v>0.70854616755792676</v>
      </c>
      <c r="E32" s="99">
        <v>0.50971693404635232</v>
      </c>
      <c r="F32" s="99">
        <v>0.46573815073814728</v>
      </c>
      <c r="G32" s="99">
        <v>0.3711947712418322</v>
      </c>
      <c r="H32" s="99">
        <v>0.37987390532251908</v>
      </c>
      <c r="I32" s="22">
        <v>30</v>
      </c>
      <c r="K32" s="45"/>
    </row>
    <row r="33" spans="1:9" s="77" customFormat="1" ht="15" customHeight="1" x14ac:dyDescent="0.25">
      <c r="A33" s="108"/>
      <c r="B33" s="28" t="s">
        <v>3</v>
      </c>
      <c r="C33" s="36" t="s">
        <v>64</v>
      </c>
      <c r="D33" s="99">
        <v>7.4234096827093481</v>
      </c>
      <c r="E33" s="99">
        <v>7.5813865811051073</v>
      </c>
      <c r="F33" s="99">
        <v>7.8893812548562892</v>
      </c>
      <c r="G33" s="99">
        <v>7.4143824313725872</v>
      </c>
      <c r="H33" s="99">
        <v>7.5505573491218456</v>
      </c>
      <c r="I33" s="22">
        <v>31</v>
      </c>
    </row>
    <row r="34" spans="1:9" s="77" customFormat="1" x14ac:dyDescent="0.25">
      <c r="A34" s="108"/>
      <c r="B34" s="29" t="s">
        <v>4</v>
      </c>
      <c r="C34" s="37" t="s">
        <v>55</v>
      </c>
      <c r="D34" s="59"/>
      <c r="E34" s="59"/>
      <c r="F34" s="30"/>
      <c r="G34" s="66"/>
      <c r="H34" s="66"/>
      <c r="I34" s="22">
        <v>32</v>
      </c>
    </row>
    <row r="35" spans="1:9" x14ac:dyDescent="0.25">
      <c r="A35" s="108"/>
      <c r="B35" s="19" t="s">
        <v>70</v>
      </c>
      <c r="C35" s="38" t="s">
        <v>110</v>
      </c>
      <c r="D35" s="57">
        <v>3351600</v>
      </c>
      <c r="E35" s="57">
        <v>5203800</v>
      </c>
      <c r="F35" s="68">
        <v>6623400</v>
      </c>
      <c r="G35" s="57">
        <v>9697800</v>
      </c>
      <c r="H35" s="57">
        <v>9790200</v>
      </c>
      <c r="I35" s="22">
        <v>33</v>
      </c>
    </row>
    <row r="36" spans="1:9" x14ac:dyDescent="0.25">
      <c r="A36" s="108"/>
      <c r="B36" s="19" t="s">
        <v>70</v>
      </c>
      <c r="C36" s="5" t="s">
        <v>71</v>
      </c>
      <c r="D36" s="57">
        <v>3192000</v>
      </c>
      <c r="E36" s="57">
        <v>4956000</v>
      </c>
      <c r="F36" s="68">
        <v>6308000</v>
      </c>
      <c r="G36" s="57">
        <v>9236000</v>
      </c>
      <c r="H36" s="57">
        <v>9324000</v>
      </c>
      <c r="I36" s="22">
        <v>34</v>
      </c>
    </row>
    <row r="37" spans="1:9" x14ac:dyDescent="0.25">
      <c r="A37" s="108"/>
      <c r="B37" s="19" t="s">
        <v>70</v>
      </c>
      <c r="C37" s="38" t="s">
        <v>72</v>
      </c>
      <c r="D37" s="57">
        <v>419192</v>
      </c>
      <c r="E37" s="57">
        <v>738033</v>
      </c>
      <c r="F37" s="57">
        <v>1058118</v>
      </c>
      <c r="G37" s="57">
        <v>1818644</v>
      </c>
      <c r="H37" s="57">
        <v>2134853</v>
      </c>
      <c r="I37" s="22">
        <v>35</v>
      </c>
    </row>
    <row r="38" spans="1:9" x14ac:dyDescent="0.25">
      <c r="A38" s="108"/>
      <c r="B38" s="19" t="s">
        <v>70</v>
      </c>
      <c r="C38" s="5" t="s">
        <v>73</v>
      </c>
      <c r="D38" s="57">
        <v>22574</v>
      </c>
      <c r="E38" s="57">
        <v>37723</v>
      </c>
      <c r="F38" s="57">
        <v>56223</v>
      </c>
      <c r="G38" s="57">
        <v>88539</v>
      </c>
      <c r="H38" s="57">
        <v>117711</v>
      </c>
      <c r="I38" s="22">
        <v>36</v>
      </c>
    </row>
    <row r="39" spans="1:9" x14ac:dyDescent="0.25">
      <c r="A39" s="108"/>
      <c r="B39" s="19" t="s">
        <v>70</v>
      </c>
      <c r="C39" s="5" t="s">
        <v>74</v>
      </c>
      <c r="D39" s="57">
        <v>0</v>
      </c>
      <c r="E39" s="57">
        <v>0</v>
      </c>
      <c r="F39" s="57">
        <v>0</v>
      </c>
      <c r="G39" s="57">
        <v>0</v>
      </c>
      <c r="H39" s="57">
        <v>0</v>
      </c>
      <c r="I39" s="22">
        <v>37</v>
      </c>
    </row>
    <row r="40" spans="1:9" x14ac:dyDescent="0.25">
      <c r="A40" s="108"/>
      <c r="B40" s="19" t="s">
        <v>70</v>
      </c>
      <c r="C40" s="5" t="s">
        <v>75</v>
      </c>
      <c r="D40" s="57">
        <v>209076</v>
      </c>
      <c r="E40" s="57">
        <v>324618</v>
      </c>
      <c r="F40" s="57">
        <v>413174</v>
      </c>
      <c r="G40" s="57">
        <v>604958</v>
      </c>
      <c r="H40" s="57">
        <v>610722</v>
      </c>
      <c r="I40" s="22">
        <v>38</v>
      </c>
    </row>
    <row r="41" spans="1:9" x14ac:dyDescent="0.25">
      <c r="A41" s="108"/>
      <c r="B41" s="19" t="s">
        <v>70</v>
      </c>
      <c r="C41" s="5" t="s">
        <v>76</v>
      </c>
      <c r="D41" s="57">
        <v>187542</v>
      </c>
      <c r="E41" s="57">
        <v>375692</v>
      </c>
      <c r="F41" s="57">
        <v>588721</v>
      </c>
      <c r="G41" s="57">
        <v>1125147</v>
      </c>
      <c r="H41" s="57">
        <v>1406420</v>
      </c>
      <c r="I41" s="22">
        <v>39</v>
      </c>
    </row>
  </sheetData>
  <mergeCells count="2">
    <mergeCell ref="A2:A19"/>
    <mergeCell ref="A20:A41"/>
  </mergeCells>
  <pageMargins left="0.7" right="0.7" top="0.75" bottom="0.75" header="0.3" footer="0.3"/>
  <pageSetup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Wet_milling</vt:lpstr>
      <vt:lpstr>Dry_grind</vt:lpstr>
      <vt:lpstr>Wet_milling!Print_Area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2021-07-22T04:58:10Z</dcterms:modified>
</cp:coreProperties>
</file>