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haolin/Desktop/2023 Fall/Bodek/"/>
    </mc:Choice>
  </mc:AlternateContent>
  <xr:revisionPtr revIDLastSave="0" documentId="13_ncr:1_{4447B5A8-3788-B54F-82D4-A0990D70EE4C}" xr6:coauthVersionLast="47" xr6:coauthVersionMax="47" xr10:uidLastSave="{00000000-0000-0000-0000-000000000000}"/>
  <bookViews>
    <workbookView xWindow="-4540" yWindow="-21600" windowWidth="38400" windowHeight="21600" xr2:uid="{36BCC0DF-9B4A-A949-A023-A4BC75EFED95}"/>
  </bookViews>
  <sheets>
    <sheet name="Sheet1" sheetId="1" r:id="rId1"/>
  </sheets>
  <externalReferences>
    <externalReference r:id="rId2"/>
  </externalReferences>
  <definedNames>
    <definedName name="MP">'[1]1Barreau'!$AL$2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S5" i="1"/>
  <c r="U15" i="1"/>
  <c r="U13" i="1"/>
  <c r="W13" i="1" s="1"/>
  <c r="P8" i="1"/>
  <c r="Q8" i="1" s="1"/>
  <c r="P7" i="1"/>
  <c r="Q7" i="1" s="1"/>
  <c r="P6" i="1"/>
  <c r="Q6" i="1" s="1"/>
  <c r="P5" i="1"/>
  <c r="Q5" i="1" s="1"/>
  <c r="AA1" i="1"/>
  <c r="M6" i="1" l="1"/>
  <c r="X6" i="1" s="1"/>
  <c r="Y6" i="1" s="1"/>
  <c r="AB6" i="1" s="1"/>
  <c r="M8" i="1"/>
  <c r="X8" i="1" s="1"/>
  <c r="Z8" i="1" s="1"/>
  <c r="AC8" i="1" s="1"/>
  <c r="AH10" i="1"/>
  <c r="M5" i="1"/>
  <c r="M7" i="1"/>
  <c r="Z6" i="1"/>
  <c r="AC6" i="1" s="1"/>
  <c r="W15" i="1"/>
  <c r="AH12" i="1"/>
  <c r="N6" i="1"/>
  <c r="R6" i="1"/>
  <c r="AA6" i="1" s="1"/>
  <c r="N8" i="1"/>
  <c r="L6" i="1"/>
  <c r="V8" i="1" l="1"/>
  <c r="L8" i="1"/>
  <c r="Y8" i="1"/>
  <c r="AB8" i="1" s="1"/>
  <c r="R8" i="1"/>
  <c r="AA8" i="1" s="1"/>
  <c r="V6" i="1"/>
  <c r="W6" i="1" s="1"/>
  <c r="R7" i="1"/>
  <c r="AA7" i="1" s="1"/>
  <c r="N7" i="1"/>
  <c r="X7" i="1"/>
  <c r="L7" i="1"/>
  <c r="O8" i="1"/>
  <c r="V7" i="1"/>
  <c r="W8" i="1"/>
  <c r="R5" i="1"/>
  <c r="AA5" i="1" s="1"/>
  <c r="N5" i="1"/>
  <c r="X5" i="1"/>
  <c r="L5" i="1"/>
  <c r="S6" i="1"/>
  <c r="O6" i="1"/>
  <c r="V5" i="1"/>
  <c r="W7" i="1" l="1"/>
  <c r="S8" i="1"/>
  <c r="W5" i="1"/>
  <c r="Z5" i="1"/>
  <c r="AC5" i="1" s="1"/>
  <c r="Y5" i="1"/>
  <c r="AB5" i="1" s="1"/>
  <c r="Z7" i="1"/>
  <c r="AC7" i="1" s="1"/>
  <c r="Y7" i="1"/>
  <c r="AB7" i="1" s="1"/>
  <c r="O5" i="1"/>
  <c r="S7" i="1"/>
  <c r="O7" i="1"/>
  <c r="T6" i="1"/>
  <c r="U6" i="1"/>
  <c r="T8" i="1"/>
  <c r="U8" i="1"/>
  <c r="U7" i="1" l="1"/>
  <c r="T7" i="1"/>
  <c r="U5" i="1"/>
  <c r="T5" i="1"/>
</calcChain>
</file>

<file path=xl/sharedStrings.xml><?xml version="1.0" encoding="utf-8"?>
<sst xmlns="http://schemas.openxmlformats.org/spreadsheetml/2006/main" count="95" uniqueCount="67">
  <si>
    <t>Z</t>
  </si>
  <si>
    <t>A</t>
  </si>
  <si>
    <t>E0</t>
  </si>
  <si>
    <t>theta deg</t>
  </si>
  <si>
    <t>nu</t>
  </si>
  <si>
    <t>cross</t>
  </si>
  <si>
    <t>error</t>
  </si>
  <si>
    <t>Data set</t>
  </si>
  <si>
    <t>Total Corr</t>
  </si>
  <si>
    <t>Q2_Center</t>
  </si>
  <si>
    <t>Q3</t>
  </si>
  <si>
    <t>Q2</t>
  </si>
  <si>
    <t>W2</t>
  </si>
  <si>
    <t>W</t>
  </si>
  <si>
    <t>theta rad</t>
  </si>
  <si>
    <t>sin2(T/2)</t>
  </si>
  <si>
    <t>epsilon</t>
  </si>
  <si>
    <t>GAMMA</t>
  </si>
  <si>
    <t>Sig_R</t>
  </si>
  <si>
    <t>D_sig_R</t>
  </si>
  <si>
    <t>Sigmottt</t>
  </si>
  <si>
    <t>H</t>
  </si>
  <si>
    <t>H* SIG (nb)</t>
  </si>
  <si>
    <t>H* Sig error (nb)</t>
  </si>
  <si>
    <t>H* SIG (GeV)</t>
  </si>
  <si>
    <t>H* Sig error (GeV)</t>
  </si>
  <si>
    <t>MP</t>
  </si>
  <si>
    <t xml:space="preserve">set to 1.0 </t>
  </si>
  <si>
    <t>Simple</t>
  </si>
  <si>
    <t>Use</t>
  </si>
  <si>
    <t>with corr</t>
  </si>
  <si>
    <t>for now</t>
  </si>
  <si>
    <t xml:space="preserve"> 1 Barreau:1983ht             1</t>
  </si>
  <si>
    <t xml:space="preserve"> 4 Baran:1988tw               1</t>
  </si>
  <si>
    <t>Jourdan</t>
  </si>
  <si>
    <t>ratio</t>
  </si>
  <si>
    <t>Q2=0.14</t>
  </si>
  <si>
    <t>11% low</t>
  </si>
  <si>
    <t>My</t>
  </si>
  <si>
    <t>for q=0.38</t>
  </si>
  <si>
    <t>Per GeV</t>
  </si>
  <si>
    <t>per MeV</t>
  </si>
  <si>
    <t>Jourdan gets</t>
  </si>
  <si>
    <t>Ratio</t>
  </si>
  <si>
    <t>7% high</t>
  </si>
  <si>
    <t>RL</t>
  </si>
  <si>
    <t>Fit slope</t>
  </si>
  <si>
    <t>RT</t>
  </si>
  <si>
    <t>Fit intercept</t>
  </si>
  <si>
    <t xml:space="preserve">We AGREE WITHIN 10%. </t>
  </si>
  <si>
    <t>ThetaDeg</t>
  </si>
  <si>
    <t>dataSet</t>
  </si>
  <si>
    <t>ThetaRad</t>
  </si>
  <si>
    <t>cos2(T/2)</t>
  </si>
  <si>
    <t>tan2(T/2)</t>
  </si>
  <si>
    <t>Eprime</t>
  </si>
  <si>
    <t>q3momt_squared</t>
  </si>
  <si>
    <t>q3momt</t>
  </si>
  <si>
    <t>gamma</t>
  </si>
  <si>
    <t>Sig_mott</t>
  </si>
  <si>
    <t>Hstar_Sig(nb)</t>
  </si>
  <si>
    <t>Hstar_error(nb)</t>
  </si>
  <si>
    <t>Hstar_Sig(GeV)</t>
  </si>
  <si>
    <t>Hstar_error(GeV)</t>
  </si>
  <si>
    <t>By Ziggy</t>
  </si>
  <si>
    <t>0.120~0.165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</si>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</sst>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1" xfId="0" applyNumberFormat="1" applyBorder="1"/>
    <xf numFmtId="165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6" fontId="0" fillId="0" borderId="0" xfId="0" applyNumberFormat="1"/>
    <xf numFmtId="165" fontId="0" fillId="0" borderId="0" xfId="0" applyNumberFormat="1"/>
    <xf numFmtId="165" fontId="0" fillId="3" borderId="1" xfId="0" applyNumberFormat="1" applyFill="1" applyBorder="1"/>
    <xf numFmtId="166" fontId="5" fillId="0" borderId="0" xfId="0" applyNumberFormat="1" applyFont="1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and slope  Per GeV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03"/>
            <c:backward val="0.03"/>
            <c:dispRSqr val="0"/>
            <c:dispEq val="1"/>
            <c:trendlineLbl>
              <c:layout>
                <c:manualLayout>
                  <c:x val="-0.19314908940539982"/>
                  <c:y val="-4.2122494803756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Sheet1!$AA$5:$AA$8</c:f>
              <c:numCache>
                <c:formatCode>0.000</c:formatCode>
                <c:ptCount val="4"/>
                <c:pt idx="0">
                  <c:v>4.4483486646419795E-2</c:v>
                </c:pt>
                <c:pt idx="1">
                  <c:v>0.58348750020464646</c:v>
                </c:pt>
                <c:pt idx="2">
                  <c:v>0.81570406451300848</c:v>
                </c:pt>
                <c:pt idx="3">
                  <c:v>0.97071587619643884</c:v>
                </c:pt>
              </c:numCache>
            </c:numRef>
          </c:xVal>
          <c:yVal>
            <c:numRef>
              <c:f>Sheet1!$AB$5:$AB$8</c:f>
              <c:numCache>
                <c:formatCode>0.00E+00</c:formatCode>
                <c:ptCount val="4"/>
                <c:pt idx="0">
                  <c:v>14.061473669459934</c:v>
                </c:pt>
                <c:pt idx="1">
                  <c:v>23.368963085518033</c:v>
                </c:pt>
                <c:pt idx="2">
                  <c:v>26.543597198004964</c:v>
                </c:pt>
                <c:pt idx="3">
                  <c:v>28.819251147380584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EA40-AF30-65F84065E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681808"/>
        <c:axId val="1278357584"/>
      </c:scatterChart>
      <c:valAx>
        <c:axId val="17356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57584"/>
        <c:crosses val="autoZero"/>
        <c:crossBetween val="midCat"/>
      </c:valAx>
      <c:valAx>
        <c:axId val="12783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Sheet1!$AA$33</c:f>
              <c:strCache>
                <c:ptCount val="1"/>
                <c:pt idx="0">
                  <c:v>Hstar_Sig(GeV)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762467191601049E-2"/>
                  <c:y val="-3.70271945173520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Sheet1!$S$34:$S$37</c:f>
              <c:numCache>
                <c:formatCode>General</c:formatCode>
                <c:ptCount val="4"/>
                <c:pt idx="0">
                  <c:v>4.4483486646419698E-2</c:v>
                </c:pt>
                <c:pt idx="1">
                  <c:v>0.58348750020464601</c:v>
                </c:pt>
                <c:pt idx="2">
                  <c:v>0.81570406451300803</c:v>
                </c:pt>
                <c:pt idx="3">
                  <c:v>0.97071587619643795</c:v>
                </c:pt>
              </c:numCache>
            </c:numRef>
          </c:xVal>
          <c:yVal>
            <c:numRef>
              <c:f>Sheet1!$AA$34:$AA$37</c:f>
              <c:numCache>
                <c:formatCode>General</c:formatCode>
                <c:ptCount val="4"/>
                <c:pt idx="0">
                  <c:v>14.0614736694599</c:v>
                </c:pt>
                <c:pt idx="1">
                  <c:v>23.368963085518001</c:v>
                </c:pt>
                <c:pt idx="2">
                  <c:v>26.5435971980049</c:v>
                </c:pt>
                <c:pt idx="3">
                  <c:v>28.819251147380498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6-D44F-993D-D8C13370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15343"/>
        <c:axId val="1136016159"/>
      </c:scatterChart>
      <c:valAx>
        <c:axId val="1136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16159"/>
        <c:crosses val="autoZero"/>
        <c:crossBetween val="midCat"/>
      </c:valAx>
      <c:valAx>
        <c:axId val="11360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1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Sheet1!$S$42:$S$47</c:f>
              <c:numCache>
                <c:formatCode>General</c:formatCode>
                <c:ptCount val="6"/>
                <c:pt idx="0">
                  <c:v>0.81570406451300848</c:v>
                </c:pt>
                <c:pt idx="1">
                  <c:v>0.58348750020464646</c:v>
                </c:pt>
                <c:pt idx="2">
                  <c:v>0.94338484019805746</c:v>
                </c:pt>
                <c:pt idx="3">
                  <c:v>0.94338484019805746</c:v>
                </c:pt>
                <c:pt idx="4">
                  <c:v>0.97071587619643884</c:v>
                </c:pt>
                <c:pt idx="5">
                  <c:v>4.4483486646419802E-2</c:v>
                </c:pt>
              </c:numCache>
            </c:numRef>
          </c:xVal>
          <c:yVal>
            <c:numRef>
              <c:f>Sheet1!$AA$42:$AA$47</c:f>
              <c:numCache>
                <c:formatCode>General</c:formatCode>
                <c:ptCount val="6"/>
                <c:pt idx="0">
                  <c:v>26.543597198004971</c:v>
                </c:pt>
                <c:pt idx="1">
                  <c:v>23.368963085518029</c:v>
                </c:pt>
                <c:pt idx="2">
                  <c:v>29.04789055520704</c:v>
                </c:pt>
                <c:pt idx="3">
                  <c:v>29.04789055520704</c:v>
                </c:pt>
                <c:pt idx="4">
                  <c:v>28.81925114738058</c:v>
                </c:pt>
                <c:pt idx="5">
                  <c:v>14.06147366945993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2-A245-8965-C17022E2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25552"/>
        <c:axId val="873827200"/>
      </c:scatterChart>
      <c:valAx>
        <c:axId val="8738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27200"/>
        <c:crosses val="autoZero"/>
        <c:crossBetween val="midCat"/>
      </c:valAx>
      <c:valAx>
        <c:axId val="8738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2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11</xdr:row>
      <xdr:rowOff>6350</xdr:rowOff>
    </xdr:from>
    <xdr:to>
      <xdr:col>16</xdr:col>
      <xdr:colOff>381000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EB73A-0895-544E-8038-AFF02594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652369</xdr:colOff>
      <xdr:row>16</xdr:row>
      <xdr:rowOff>148741</xdr:rowOff>
    </xdr:from>
    <xdr:to>
      <xdr:col>28</xdr:col>
      <xdr:colOff>464225</xdr:colOff>
      <xdr:row>30</xdr:row>
      <xdr:rowOff>53793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BFE104-A642-88CC-444F-94972B6A7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631975</xdr:colOff>
      <xdr:row>48</xdr:row>
      <xdr:rowOff>132745</xdr:rowOff>
    </xdr:from>
    <xdr:to>
      <xdr:col>24</xdr:col>
      <xdr:colOff>214690</xdr:colOff>
      <xdr:row>62</xdr:row>
      <xdr:rowOff>124279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A57F2-9AAA-4362-8804-FB495B47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ie/Desktop/Other%20nuclei/All_data_for_the%20publication.xlsx" TargetMode="External"/><Relationship Id="rId1" Type="http://schemas.openxmlformats.org/officeDocument/2006/relationships/externalLinkPath" Target="/Users/arie/Desktop/Other%20nuclei/All_data_for_the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10Gaskell"/>
      <sheetName val="12Alsami"/>
      <sheetName val="13Vahe"/>
      <sheetName val="14E139"/>
      <sheetName val="15Fomin"/>
      <sheetName val="4Baran"/>
      <sheetName val="5Bagda"/>
      <sheetName val="6Dai"/>
      <sheetName val="16Yama"/>
      <sheetName val="17Ryan"/>
      <sheetName val="18Bunin"/>
      <sheetName val="7Arrington95"/>
      <sheetName val="8Day"/>
      <sheetName val="9Arrington98"/>
      <sheetName val="1Barreau"/>
      <sheetName val="1Barreau_summary1"/>
      <sheetName val="1Barreau_summary2"/>
      <sheetName val="2Oconnell"/>
      <sheetName val="3Sealock"/>
      <sheetName val="11Whitn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L2">
            <v>0.93827208815999996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8817-9174-944D-88E0-365B95396AC5}">
  <dimension ref="A1:AP48"/>
  <sheetViews>
    <sheetView tabSelected="1" topLeftCell="H9" zoomScale="117" zoomScaleNormal="84" workbookViewId="0">
      <selection activeCell="Q38" sqref="O38:Q39"/>
    </sheetView>
  </sheetViews>
  <sheetFormatPr baseColWidth="10" defaultRowHeight="16" x14ac:dyDescent="0.2"/>
  <cols>
    <col min="1" max="1" width="13.83203125" customWidth="1"/>
    <col min="13" max="13" width="17.83203125" bestFit="1" customWidth="1"/>
    <col min="26" max="26" width="13.6640625" customWidth="1"/>
    <col min="28" max="28" width="16.1640625" customWidth="1"/>
    <col min="29" max="29" width="16.33203125" customWidth="1"/>
    <col min="34" max="34" width="10.83203125" style="8"/>
  </cols>
  <sheetData>
    <row r="1" spans="1:42" s="1" customFormat="1" x14ac:dyDescent="0.2"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5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6" t="s">
        <v>17</v>
      </c>
      <c r="T1" s="6" t="s">
        <v>18</v>
      </c>
      <c r="U1" s="1" t="s">
        <v>19</v>
      </c>
      <c r="V1" s="1" t="s">
        <v>20</v>
      </c>
      <c r="W1" s="1" t="s">
        <v>21</v>
      </c>
      <c r="X1" s="1" t="s">
        <v>21</v>
      </c>
      <c r="Y1" s="1" t="s">
        <v>22</v>
      </c>
      <c r="Z1" s="1" t="s">
        <v>23</v>
      </c>
      <c r="AA1" s="3" t="str">
        <f>R1</f>
        <v>epsilon</v>
      </c>
      <c r="AB1" s="1" t="s">
        <v>24</v>
      </c>
      <c r="AC1" s="1" t="s">
        <v>25</v>
      </c>
      <c r="AH1" s="7"/>
      <c r="AO1" s="5"/>
      <c r="AP1" s="1" t="s">
        <v>26</v>
      </c>
    </row>
    <row r="2" spans="1:42" x14ac:dyDescent="0.2">
      <c r="J2" t="s">
        <v>27</v>
      </c>
      <c r="W2" t="s">
        <v>28</v>
      </c>
      <c r="X2" t="s">
        <v>29</v>
      </c>
      <c r="Y2" t="s">
        <v>30</v>
      </c>
      <c r="Z2" t="s">
        <v>30</v>
      </c>
      <c r="AB2" t="s">
        <v>30</v>
      </c>
      <c r="AC2" t="s">
        <v>30</v>
      </c>
    </row>
    <row r="3" spans="1:42" x14ac:dyDescent="0.2">
      <c r="J3" t="s">
        <v>31</v>
      </c>
    </row>
    <row r="5" spans="1:42" x14ac:dyDescent="0.2">
      <c r="A5" t="s">
        <v>32</v>
      </c>
      <c r="B5">
        <v>6</v>
      </c>
      <c r="C5">
        <v>12</v>
      </c>
      <c r="D5" s="9">
        <v>0.24110000000000001</v>
      </c>
      <c r="E5" s="9">
        <v>145</v>
      </c>
      <c r="F5">
        <v>9.3600000000000003E-2</v>
      </c>
      <c r="G5" s="10">
        <v>2704</v>
      </c>
      <c r="H5" s="10">
        <v>106</v>
      </c>
      <c r="I5">
        <v>1</v>
      </c>
      <c r="J5">
        <v>1</v>
      </c>
      <c r="K5">
        <v>0.14000000000000001</v>
      </c>
      <c r="L5" s="11">
        <f t="shared" ref="L5:L8" si="0">SQRT(M5+F5^2)</f>
        <v>0.371681637391508</v>
      </c>
      <c r="M5" s="12">
        <f t="shared" ref="M5:M8" si="1">4*D5*(D5-F5)*Q5</f>
        <v>0.12938627957403243</v>
      </c>
      <c r="N5" s="13">
        <f t="shared" ref="N5" si="2">MP^2+2*MP*F5-M5</f>
        <v>0.92661276674964643</v>
      </c>
      <c r="O5" s="14">
        <f t="shared" ref="O5:O7" si="3">SQRT(N5)</f>
        <v>0.96260727545019442</v>
      </c>
      <c r="P5" s="15">
        <f t="shared" ref="P5:P8" si="4">PI()*E5/180</f>
        <v>2.5307274153917776</v>
      </c>
      <c r="Q5" s="15">
        <f t="shared" ref="Q5:Q7" si="5">(SIN(P5/2))^2</f>
        <v>0.90957602214449595</v>
      </c>
      <c r="R5" s="15">
        <f t="shared" ref="R5:R7" si="6">1/(1+2*(1+F5^2/M5)*(TAN(P5/2))^2)</f>
        <v>4.4483486646419795E-2</v>
      </c>
      <c r="S5" s="16">
        <f>(1/137)*(D5-F5)*(N5-MP^2)/((4*PI()^2*M5*MP*D5)*(1-R5))</f>
        <v>4.5107476942061102E-5</v>
      </c>
      <c r="T5" s="16">
        <f t="shared" ref="T5:T7" si="7">G5/S5</f>
        <v>59945715.950222373</v>
      </c>
      <c r="U5">
        <f t="shared" ref="U5:U7" si="8">H5/S5</f>
        <v>2349943.0069243978</v>
      </c>
      <c r="V5">
        <f t="shared" ref="V5:V8" si="9">4*(1/137)^2*(1-Q5)*(D5-F5)^2/M5^2</f>
        <v>2.5044366783325337E-5</v>
      </c>
      <c r="W5">
        <f t="shared" ref="W5:W8" si="10">(1/V5)*R5*(M5+F5^2)^2/M5^2</f>
        <v>2024.8680932709801</v>
      </c>
      <c r="X5">
        <f t="shared" ref="X5:X8" si="11">(M5+F5^2)^2/(4*(1/137)^2*(D5-F5)^2*(1-Q5+2*Q5*(M5+F5^2)/M5))</f>
        <v>2024.8680932709767</v>
      </c>
      <c r="Y5" s="10">
        <f>J5*X5*G5</f>
        <v>5475243.3242047215</v>
      </c>
      <c r="Z5" s="10">
        <f>J5*X5*H5</f>
        <v>214636.01788672354</v>
      </c>
      <c r="AA5" s="3">
        <f t="shared" ref="AA5:AA8" si="12">R5</f>
        <v>4.4483486646419795E-2</v>
      </c>
      <c r="AB5" s="10">
        <f t="shared" ref="AB5:AC8" si="13">Y5/(0.1973269^2*10000000)</f>
        <v>14.061473669459934</v>
      </c>
      <c r="AC5" s="10">
        <f t="shared" si="13"/>
        <v>0.55122640864007133</v>
      </c>
      <c r="AN5" s="17"/>
    </row>
    <row r="6" spans="1:42" x14ac:dyDescent="0.2">
      <c r="A6" t="s">
        <v>32</v>
      </c>
      <c r="B6">
        <v>6</v>
      </c>
      <c r="C6">
        <v>12</v>
      </c>
      <c r="D6" s="9">
        <v>0.44</v>
      </c>
      <c r="E6" s="9">
        <v>60</v>
      </c>
      <c r="F6">
        <v>0.10249999999999999</v>
      </c>
      <c r="G6" s="10">
        <v>11230</v>
      </c>
      <c r="H6" s="10">
        <v>200</v>
      </c>
      <c r="I6">
        <v>1</v>
      </c>
      <c r="J6">
        <v>1</v>
      </c>
      <c r="K6">
        <v>0.14000000000000001</v>
      </c>
      <c r="L6" s="11">
        <f t="shared" si="0"/>
        <v>0.39875587769962711</v>
      </c>
      <c r="M6" s="12">
        <f t="shared" si="1"/>
        <v>0.14849999999999999</v>
      </c>
      <c r="N6" s="13">
        <f t="shared" ref="N6" si="14">MP^2+2*MP*F6-M6</f>
        <v>0.92420028949292676</v>
      </c>
      <c r="O6" s="14">
        <f t="shared" si="3"/>
        <v>0.96135336348968314</v>
      </c>
      <c r="P6" s="15">
        <f t="shared" si="4"/>
        <v>1.0471975511965976</v>
      </c>
      <c r="Q6" s="15">
        <f t="shared" si="5"/>
        <v>0.24999999999999994</v>
      </c>
      <c r="R6" s="15">
        <f t="shared" si="6"/>
        <v>0.58348750020464646</v>
      </c>
      <c r="S6" s="16">
        <f t="shared" ref="S6" si="15">(1/137)*(D6-F6)*(N6-MP^2)/((4*PI()^2*M6*MP*D6)*(1-R6))</f>
        <v>1.0714830075398186E-4</v>
      </c>
      <c r="T6" s="16">
        <f t="shared" si="7"/>
        <v>104808008.34895806</v>
      </c>
      <c r="U6">
        <f t="shared" si="8"/>
        <v>1866571.831682245</v>
      </c>
      <c r="V6">
        <f t="shared" si="9"/>
        <v>8.2560966319969323E-4</v>
      </c>
      <c r="W6">
        <f t="shared" si="10"/>
        <v>810.27468869678819</v>
      </c>
      <c r="X6">
        <f t="shared" si="11"/>
        <v>810.27468869678808</v>
      </c>
      <c r="Y6" s="10">
        <f t="shared" ref="Y6:Y8" si="16">J6*X6*G6</f>
        <v>9099384.7540649306</v>
      </c>
      <c r="Z6" s="10">
        <f t="shared" ref="Z6:Z8" si="17">J6*X6*H6</f>
        <v>162054.93773935761</v>
      </c>
      <c r="AA6" s="3">
        <f t="shared" si="12"/>
        <v>0.58348750020464646</v>
      </c>
      <c r="AB6" s="10">
        <f t="shared" si="13"/>
        <v>23.368963085518033</v>
      </c>
      <c r="AC6" s="10">
        <f t="shared" si="13"/>
        <v>0.41618812262721339</v>
      </c>
      <c r="AO6" s="17"/>
    </row>
    <row r="7" spans="1:42" x14ac:dyDescent="0.2">
      <c r="A7" t="s">
        <v>32</v>
      </c>
      <c r="B7">
        <v>6</v>
      </c>
      <c r="C7">
        <v>12</v>
      </c>
      <c r="D7" s="9">
        <v>0.68</v>
      </c>
      <c r="E7" s="9">
        <v>36</v>
      </c>
      <c r="F7">
        <v>0.10249999999999999</v>
      </c>
      <c r="G7" s="10">
        <v>31620</v>
      </c>
      <c r="H7" s="10">
        <v>1230</v>
      </c>
      <c r="I7">
        <v>1</v>
      </c>
      <c r="J7">
        <v>1</v>
      </c>
      <c r="K7">
        <v>0.14000000000000001</v>
      </c>
      <c r="L7" s="11">
        <f t="shared" si="0"/>
        <v>0.40062988233270402</v>
      </c>
      <c r="M7" s="12">
        <f t="shared" si="1"/>
        <v>0.14999805261791629</v>
      </c>
      <c r="N7" s="13">
        <f t="shared" ref="N7" si="18">MP^2+2*MP*F7-M7</f>
        <v>0.92270223687501041</v>
      </c>
      <c r="O7" s="14">
        <f t="shared" si="3"/>
        <v>0.96057391015736548</v>
      </c>
      <c r="P7" s="15">
        <f t="shared" si="4"/>
        <v>0.62831853071795862</v>
      </c>
      <c r="Q7" s="15">
        <f t="shared" si="5"/>
        <v>9.5491502812526274E-2</v>
      </c>
      <c r="R7" s="15">
        <f t="shared" si="6"/>
        <v>0.81570406451300848</v>
      </c>
      <c r="S7" s="16">
        <f t="shared" ref="S7" si="19">(1/137)*(D7-F7)*(N7-MP^2)/((4*PI()^2*M7*MP*D7)*(1-R7))</f>
        <v>2.5636733316513661E-4</v>
      </c>
      <c r="T7" s="16">
        <f t="shared" si="7"/>
        <v>123338646.97040896</v>
      </c>
      <c r="U7">
        <f t="shared" si="8"/>
        <v>4797803.1553954147</v>
      </c>
      <c r="V7">
        <f t="shared" si="9"/>
        <v>2.8573552820856463E-3</v>
      </c>
      <c r="W7">
        <f t="shared" si="10"/>
        <v>326.86656494625572</v>
      </c>
      <c r="X7">
        <f t="shared" si="11"/>
        <v>326.86656494625572</v>
      </c>
      <c r="Y7" s="10">
        <f t="shared" si="16"/>
        <v>10335520.783600606</v>
      </c>
      <c r="Z7" s="10">
        <f t="shared" si="17"/>
        <v>402045.87488389452</v>
      </c>
      <c r="AA7" s="3">
        <f t="shared" si="12"/>
        <v>0.81570406451300848</v>
      </c>
      <c r="AB7" s="10">
        <f t="shared" si="13"/>
        <v>26.543597198004964</v>
      </c>
      <c r="AC7" s="10">
        <f t="shared" si="13"/>
        <v>1.0325308207952595</v>
      </c>
      <c r="AO7" s="17"/>
    </row>
    <row r="8" spans="1:42" x14ac:dyDescent="0.2">
      <c r="A8" t="s">
        <v>33</v>
      </c>
      <c r="B8">
        <v>6</v>
      </c>
      <c r="C8">
        <v>12</v>
      </c>
      <c r="D8">
        <v>1.65</v>
      </c>
      <c r="E8">
        <v>13.54</v>
      </c>
      <c r="F8">
        <v>0.1</v>
      </c>
      <c r="G8" s="10">
        <v>252087.6</v>
      </c>
      <c r="H8" s="10">
        <v>4096.2610000000004</v>
      </c>
      <c r="I8">
        <v>4</v>
      </c>
      <c r="J8">
        <v>1</v>
      </c>
      <c r="K8">
        <v>0.14000000000000001</v>
      </c>
      <c r="L8" s="11">
        <f t="shared" si="0"/>
        <v>0.39008036273496782</v>
      </c>
      <c r="M8" s="18">
        <f t="shared" si="1"/>
        <v>0.14216268939144408</v>
      </c>
      <c r="N8" s="13">
        <f t="shared" ref="N8" si="20">MP^2+2*MP*F8-M8</f>
        <v>0.9258462396606828</v>
      </c>
      <c r="O8" s="14">
        <f>SQRT(N8)</f>
        <v>0.96220904156045162</v>
      </c>
      <c r="P8" s="15">
        <f t="shared" si="4"/>
        <v>0.2363175807200322</v>
      </c>
      <c r="Q8" s="15">
        <f>(SIN(P8/2))^2</f>
        <v>1.3896646079320049E-2</v>
      </c>
      <c r="R8" s="15">
        <f>1/(1+2*(1+F8^2/M8)*(TAN(P8/2))^2)</f>
        <v>0.97071587619643884</v>
      </c>
      <c r="S8" s="19">
        <f t="shared" ref="S8" si="21">(1/137)*(D8-F8)*(N8-MP^2)/((4*PI()^2*M8*MP*D8)*(1-R8))</f>
        <v>2.0228013002880707E-3</v>
      </c>
      <c r="T8" s="19">
        <f>G8/S8</f>
        <v>124623016.58798605</v>
      </c>
      <c r="U8" s="20">
        <f>H8/S8</f>
        <v>2025043.6854161823</v>
      </c>
      <c r="V8">
        <f t="shared" si="9"/>
        <v>2.4982358015134071E-2</v>
      </c>
      <c r="W8">
        <f t="shared" si="10"/>
        <v>44.51473522334058</v>
      </c>
      <c r="X8">
        <f t="shared" si="11"/>
        <v>44.514735223340587</v>
      </c>
      <c r="Y8" s="10">
        <f t="shared" si="16"/>
        <v>11221612.767087393</v>
      </c>
      <c r="Z8" s="10">
        <f t="shared" si="17"/>
        <v>182343.97382069635</v>
      </c>
      <c r="AA8" s="3">
        <f t="shared" si="12"/>
        <v>0.97071587619643884</v>
      </c>
      <c r="AB8" s="10">
        <f t="shared" si="13"/>
        <v>28.819251147380584</v>
      </c>
      <c r="AC8" s="10">
        <f t="shared" si="13"/>
        <v>0.46829425376028155</v>
      </c>
      <c r="AE8" s="21"/>
      <c r="AF8" s="21"/>
    </row>
    <row r="9" spans="1:42" x14ac:dyDescent="0.2">
      <c r="AG9" s="22" t="s">
        <v>34</v>
      </c>
      <c r="AH9" s="23" t="s">
        <v>35</v>
      </c>
      <c r="AI9" s="22"/>
    </row>
    <row r="10" spans="1:42" x14ac:dyDescent="0.2">
      <c r="M10" s="24" t="s">
        <v>36</v>
      </c>
      <c r="AG10" s="11">
        <v>1.7999999999999999E-2</v>
      </c>
      <c r="AH10" s="23">
        <f>U13/AG10</f>
        <v>0.88816666666666677</v>
      </c>
      <c r="AI10" s="22" t="s">
        <v>37</v>
      </c>
    </row>
    <row r="11" spans="1:42" x14ac:dyDescent="0.2">
      <c r="U11" t="s">
        <v>38</v>
      </c>
      <c r="V11" t="s">
        <v>39</v>
      </c>
      <c r="W11" s="25"/>
      <c r="AG11" s="11"/>
      <c r="AH11" s="23"/>
      <c r="AI11" s="22"/>
    </row>
    <row r="12" spans="1:42" x14ac:dyDescent="0.2">
      <c r="S12" s="22"/>
      <c r="T12" s="22" t="s">
        <v>40</v>
      </c>
      <c r="U12" s="22" t="s">
        <v>41</v>
      </c>
      <c r="V12" t="s">
        <v>42</v>
      </c>
      <c r="W12" s="11" t="s">
        <v>43</v>
      </c>
      <c r="AG12" s="11">
        <v>2.4E-2</v>
      </c>
      <c r="AH12" s="23">
        <f>U15/AG12</f>
        <v>1.0721052631578947</v>
      </c>
      <c r="AI12" s="26" t="s">
        <v>44</v>
      </c>
    </row>
    <row r="13" spans="1:42" x14ac:dyDescent="0.2">
      <c r="R13" t="s">
        <v>45</v>
      </c>
      <c r="S13" s="22">
        <v>15.987</v>
      </c>
      <c r="T13" s="11">
        <v>15.987</v>
      </c>
      <c r="U13" s="11">
        <f>T13/1000</f>
        <v>1.5987000000000001E-2</v>
      </c>
      <c r="V13">
        <v>1.7999999999999999E-2</v>
      </c>
      <c r="W13" s="25">
        <f>U13/V13</f>
        <v>0.88816666666666677</v>
      </c>
      <c r="AG13" s="22"/>
      <c r="AH13" s="23"/>
      <c r="AI13" s="22"/>
    </row>
    <row r="14" spans="1:42" x14ac:dyDescent="0.2">
      <c r="S14" s="22" t="s">
        <v>46</v>
      </c>
      <c r="T14" s="11" t="s">
        <v>45</v>
      </c>
      <c r="U14" s="11" t="s">
        <v>45</v>
      </c>
      <c r="W14" s="25"/>
    </row>
    <row r="15" spans="1:42" x14ac:dyDescent="0.2">
      <c r="R15" t="s">
        <v>47</v>
      </c>
      <c r="S15" s="22">
        <v>13.58</v>
      </c>
      <c r="T15" s="11">
        <f>S15*2*0.144/0.152</f>
        <v>25.730526315789472</v>
      </c>
      <c r="U15" s="11">
        <f>T15/1000</f>
        <v>2.5730526315789471E-2</v>
      </c>
      <c r="V15">
        <v>2.4E-2</v>
      </c>
      <c r="W15" s="25">
        <f>U15/V15</f>
        <v>1.0721052631578947</v>
      </c>
    </row>
    <row r="16" spans="1:42" x14ac:dyDescent="0.2">
      <c r="S16" s="22" t="s">
        <v>48</v>
      </c>
      <c r="T16" s="22" t="s">
        <v>47</v>
      </c>
      <c r="U16" s="22" t="s">
        <v>47</v>
      </c>
      <c r="W16" s="25"/>
    </row>
    <row r="18" spans="20:21" x14ac:dyDescent="0.2">
      <c r="U18" t="s">
        <v>49</v>
      </c>
    </row>
    <row r="32" spans="20:21" x14ac:dyDescent="0.2">
      <c r="T32" t="s">
        <v>64</v>
      </c>
    </row>
    <row r="33" spans="2:34" x14ac:dyDescent="0.2">
      <c r="B33" t="s">
        <v>0</v>
      </c>
      <c r="C33" t="s">
        <v>1</v>
      </c>
      <c r="D33" t="s">
        <v>2</v>
      </c>
      <c r="E33" t="s">
        <v>50</v>
      </c>
      <c r="F33" t="s">
        <v>4</v>
      </c>
      <c r="G33" t="s">
        <v>5</v>
      </c>
      <c r="H33" t="s">
        <v>6</v>
      </c>
      <c r="I33" t="s">
        <v>51</v>
      </c>
      <c r="J33" t="s">
        <v>52</v>
      </c>
      <c r="K33" t="s">
        <v>15</v>
      </c>
      <c r="L33" t="s">
        <v>53</v>
      </c>
      <c r="M33" t="s">
        <v>54</v>
      </c>
      <c r="N33" t="s">
        <v>55</v>
      </c>
      <c r="O33" t="s">
        <v>11</v>
      </c>
      <c r="P33" t="s">
        <v>56</v>
      </c>
      <c r="Q33" t="s">
        <v>57</v>
      </c>
      <c r="R33" t="s">
        <v>12</v>
      </c>
      <c r="S33" t="s">
        <v>16</v>
      </c>
      <c r="T33" t="s">
        <v>58</v>
      </c>
      <c r="U33" t="s">
        <v>18</v>
      </c>
      <c r="V33" t="s">
        <v>19</v>
      </c>
      <c r="W33" t="s">
        <v>59</v>
      </c>
      <c r="X33" t="s">
        <v>21</v>
      </c>
      <c r="Y33" t="s">
        <v>60</v>
      </c>
      <c r="Z33" t="s">
        <v>61</v>
      </c>
      <c r="AA33" t="s">
        <v>62</v>
      </c>
      <c r="AB33" t="s">
        <v>63</v>
      </c>
      <c r="AC33" t="s">
        <v>66</v>
      </c>
      <c r="AH33"/>
    </row>
    <row r="34" spans="2:34" x14ac:dyDescent="0.2">
      <c r="B34">
        <v>6</v>
      </c>
      <c r="C34">
        <v>12</v>
      </c>
      <c r="D34">
        <v>0.24110000000000001</v>
      </c>
      <c r="E34">
        <v>145</v>
      </c>
      <c r="F34">
        <v>9.3600000000000003E-2</v>
      </c>
      <c r="G34">
        <v>2704</v>
      </c>
      <c r="H34">
        <v>106</v>
      </c>
      <c r="I34">
        <v>1</v>
      </c>
      <c r="J34">
        <v>2.53072741539177</v>
      </c>
      <c r="K34">
        <v>0.90957602214449595</v>
      </c>
      <c r="L34">
        <v>9.0423977855504198E-2</v>
      </c>
      <c r="M34">
        <v>10.059013590377299</v>
      </c>
      <c r="N34">
        <v>0.14749999999999999</v>
      </c>
      <c r="O34">
        <v>0.12938627957403201</v>
      </c>
      <c r="P34">
        <v>0.13814723957403199</v>
      </c>
      <c r="Q34">
        <v>0.371681637391508</v>
      </c>
      <c r="R34">
        <v>0.92901613772196701</v>
      </c>
      <c r="S34">
        <v>4.4483486646419698E-2</v>
      </c>
      <c r="T34" s="10">
        <v>4.5263791850085302E-5</v>
      </c>
      <c r="U34">
        <v>59738698.184096098</v>
      </c>
      <c r="V34">
        <v>2341827.6655008099</v>
      </c>
      <c r="W34" s="10">
        <v>2.5044366783325299E-5</v>
      </c>
      <c r="X34">
        <v>2024.8680932709699</v>
      </c>
      <c r="Y34">
        <v>5475243.3242047196</v>
      </c>
      <c r="Z34">
        <v>214636.01788672301</v>
      </c>
      <c r="AA34">
        <v>14.0614736694599</v>
      </c>
      <c r="AB34">
        <v>0.551226408640071</v>
      </c>
      <c r="AH34"/>
    </row>
    <row r="35" spans="2:34" x14ac:dyDescent="0.2">
      <c r="B35">
        <v>6</v>
      </c>
      <c r="C35">
        <v>12</v>
      </c>
      <c r="D35">
        <v>0.44</v>
      </c>
      <c r="E35">
        <v>60</v>
      </c>
      <c r="F35">
        <v>0.10249999999999999</v>
      </c>
      <c r="G35">
        <v>11230</v>
      </c>
      <c r="H35">
        <v>200</v>
      </c>
      <c r="I35">
        <v>1</v>
      </c>
      <c r="J35">
        <v>1.0471975511965901</v>
      </c>
      <c r="K35">
        <v>0.249999999999999</v>
      </c>
      <c r="L35">
        <v>0.75</v>
      </c>
      <c r="M35">
        <v>0.33333333333333298</v>
      </c>
      <c r="N35">
        <v>0.33750000000000002</v>
      </c>
      <c r="O35">
        <v>0.14849999999999999</v>
      </c>
      <c r="P35">
        <v>0.15900624999999999</v>
      </c>
      <c r="Q35">
        <v>0.398755877699627</v>
      </c>
      <c r="R35">
        <v>0.92662437809599896</v>
      </c>
      <c r="S35">
        <v>0.58348750020464601</v>
      </c>
      <c r="T35">
        <v>1.0759791167095199E-4</v>
      </c>
      <c r="U35">
        <v>104370055.381211</v>
      </c>
      <c r="V35">
        <v>1858772.13501712</v>
      </c>
      <c r="W35">
        <v>8.2560966319969301E-4</v>
      </c>
      <c r="X35">
        <v>810.27468869678796</v>
      </c>
      <c r="Y35">
        <v>9099384.7540649306</v>
      </c>
      <c r="Z35">
        <v>162054.937739357</v>
      </c>
      <c r="AA35">
        <v>23.368963085518001</v>
      </c>
      <c r="AB35">
        <v>0.416188122627213</v>
      </c>
      <c r="AH35"/>
    </row>
    <row r="36" spans="2:34" x14ac:dyDescent="0.2">
      <c r="B36">
        <v>6</v>
      </c>
      <c r="C36">
        <v>12</v>
      </c>
      <c r="D36">
        <v>0.68</v>
      </c>
      <c r="E36">
        <v>36</v>
      </c>
      <c r="F36">
        <v>0.10249999999999999</v>
      </c>
      <c r="G36">
        <v>31620</v>
      </c>
      <c r="H36">
        <v>1230</v>
      </c>
      <c r="I36">
        <v>1</v>
      </c>
      <c r="J36">
        <v>0.62831853071795796</v>
      </c>
      <c r="K36">
        <v>9.5491502812526205E-2</v>
      </c>
      <c r="L36">
        <v>0.90450849718747295</v>
      </c>
      <c r="M36">
        <v>0.10557280900008401</v>
      </c>
      <c r="N36">
        <v>0.57750000000000001</v>
      </c>
      <c r="O36">
        <v>0.14999805261791599</v>
      </c>
      <c r="P36">
        <v>0.16050430261791601</v>
      </c>
      <c r="Q36">
        <v>0.40062988233270402</v>
      </c>
      <c r="R36">
        <v>0.92512632547808304</v>
      </c>
      <c r="S36">
        <v>0.81570406451300803</v>
      </c>
      <c r="T36">
        <v>2.5749238130268198E-4</v>
      </c>
      <c r="U36">
        <v>122799749.802424</v>
      </c>
      <c r="V36">
        <v>4776840.3623334104</v>
      </c>
      <c r="W36">
        <v>2.8573552820856398E-3</v>
      </c>
      <c r="X36">
        <v>326.86656494625498</v>
      </c>
      <c r="Y36">
        <v>10335520.7836006</v>
      </c>
      <c r="Z36">
        <v>402045.87488389399</v>
      </c>
      <c r="AA36">
        <v>26.5435971980049</v>
      </c>
      <c r="AB36">
        <v>1.0325308207952499</v>
      </c>
      <c r="AH36"/>
    </row>
    <row r="37" spans="2:34" x14ac:dyDescent="0.2">
      <c r="B37">
        <v>6</v>
      </c>
      <c r="C37">
        <v>12</v>
      </c>
      <c r="D37">
        <v>1.65</v>
      </c>
      <c r="E37">
        <v>13.54</v>
      </c>
      <c r="F37">
        <v>0.1</v>
      </c>
      <c r="G37">
        <v>252087.6</v>
      </c>
      <c r="H37">
        <v>4096.2610000000004</v>
      </c>
      <c r="I37">
        <v>4</v>
      </c>
      <c r="J37">
        <v>0.23631758072003201</v>
      </c>
      <c r="K37">
        <v>1.3896646079320001E-2</v>
      </c>
      <c r="L37">
        <v>0.98610335392068005</v>
      </c>
      <c r="M37">
        <v>1.40924843466639E-2</v>
      </c>
      <c r="N37">
        <v>1.5499999999999901</v>
      </c>
      <c r="O37">
        <v>0.142162689391444</v>
      </c>
      <c r="P37">
        <v>0.15216268939144401</v>
      </c>
      <c r="Q37">
        <v>0.39008036273496699</v>
      </c>
      <c r="R37">
        <v>0.92826450870455501</v>
      </c>
      <c r="S37">
        <v>0.97071587619643795</v>
      </c>
      <c r="T37">
        <v>2.0306330591321098E-3</v>
      </c>
      <c r="U37">
        <v>124142369.72372501</v>
      </c>
      <c r="V37">
        <v>2017233.48370518</v>
      </c>
      <c r="W37">
        <v>2.4982358015134001E-2</v>
      </c>
      <c r="X37">
        <v>44.514735223340502</v>
      </c>
      <c r="Y37">
        <v>11221612.767087299</v>
      </c>
      <c r="Z37">
        <v>182343.973820696</v>
      </c>
      <c r="AA37">
        <v>28.819251147380498</v>
      </c>
      <c r="AB37">
        <v>0.468294253760281</v>
      </c>
      <c r="AH37"/>
    </row>
    <row r="41" spans="2:34" x14ac:dyDescent="0.2">
      <c r="AH41"/>
    </row>
    <row r="42" spans="2:34" x14ac:dyDescent="0.2">
      <c r="B42">
        <v>6</v>
      </c>
      <c r="C42">
        <v>12</v>
      </c>
      <c r="D42">
        <v>0.68</v>
      </c>
      <c r="E42">
        <v>36</v>
      </c>
      <c r="F42">
        <v>0.10249999999999999</v>
      </c>
      <c r="G42">
        <v>31620</v>
      </c>
      <c r="H42">
        <v>1230</v>
      </c>
      <c r="I42">
        <v>1</v>
      </c>
      <c r="J42">
        <v>0.62831853071795862</v>
      </c>
      <c r="K42">
        <v>9.5491502812526274E-2</v>
      </c>
      <c r="L42">
        <v>0.90450849718747361</v>
      </c>
      <c r="M42">
        <v>0.1055728090000841</v>
      </c>
      <c r="N42">
        <v>0.57750000000000001</v>
      </c>
      <c r="O42">
        <v>0.14999805261791629</v>
      </c>
      <c r="P42">
        <v>0.16050430261791629</v>
      </c>
      <c r="Q42">
        <v>0.40062988233270402</v>
      </c>
      <c r="R42">
        <v>0.92512632547808349</v>
      </c>
      <c r="S42">
        <v>0.81570406451300848</v>
      </c>
      <c r="T42">
        <v>2.5749238130268258E-4</v>
      </c>
      <c r="U42">
        <v>122799749.8024248</v>
      </c>
      <c r="V42">
        <v>4776840.3623334151</v>
      </c>
      <c r="W42">
        <v>2.8573552820856459E-3</v>
      </c>
      <c r="X42">
        <v>326.86656494625578</v>
      </c>
      <c r="Y42">
        <v>10335520.78360061</v>
      </c>
      <c r="Z42">
        <v>402045.87488389458</v>
      </c>
      <c r="AA42">
        <v>26.543597198004971</v>
      </c>
      <c r="AB42">
        <v>1.0325308207952599</v>
      </c>
      <c r="AC42" t="s">
        <v>65</v>
      </c>
    </row>
    <row r="43" spans="2:34" ht="15" x14ac:dyDescent="0.2">
      <c r="B43">
        <v>6</v>
      </c>
      <c r="C43">
        <v>12</v>
      </c>
      <c r="D43">
        <v>0.44</v>
      </c>
      <c r="E43">
        <v>60</v>
      </c>
      <c r="F43">
        <v>0.10249999999999999</v>
      </c>
      <c r="G43">
        <v>11230</v>
      </c>
      <c r="H43">
        <v>200</v>
      </c>
      <c r="I43">
        <v>1</v>
      </c>
      <c r="J43">
        <v>1.0471975511965981</v>
      </c>
      <c r="K43">
        <v>0.24999999999999989</v>
      </c>
      <c r="L43">
        <v>0.75000000000000011</v>
      </c>
      <c r="M43">
        <v>0.33333333333333309</v>
      </c>
      <c r="N43">
        <v>0.33750000000000002</v>
      </c>
      <c r="O43">
        <v>0.14849999999999999</v>
      </c>
      <c r="P43">
        <v>0.15900624999999999</v>
      </c>
      <c r="Q43">
        <v>0.39875587769962711</v>
      </c>
      <c r="R43">
        <v>0.92662437809599985</v>
      </c>
      <c r="S43">
        <v>0.58348750020464646</v>
      </c>
      <c r="T43">
        <v>1.0759791167095231E-4</v>
      </c>
      <c r="U43">
        <v>104370055.38121159</v>
      </c>
      <c r="V43">
        <v>1858772.1350171249</v>
      </c>
      <c r="W43">
        <v>8.2560966319969334E-4</v>
      </c>
      <c r="X43">
        <v>810.27468869678808</v>
      </c>
      <c r="Y43">
        <v>9099384.7540649306</v>
      </c>
      <c r="Z43">
        <v>162054.93773935761</v>
      </c>
      <c r="AA43">
        <v>23.368963085518029</v>
      </c>
      <c r="AB43">
        <v>0.41618812262721339</v>
      </c>
      <c r="AC43" t="s">
        <v>65</v>
      </c>
      <c r="AH43"/>
    </row>
    <row r="44" spans="2:34" ht="15" x14ac:dyDescent="0.2">
      <c r="B44">
        <v>6</v>
      </c>
      <c r="C44">
        <v>12</v>
      </c>
      <c r="D44">
        <v>1.2043999999999999</v>
      </c>
      <c r="E44">
        <v>19.010000000000002</v>
      </c>
      <c r="F44">
        <v>0.10100000000000001</v>
      </c>
      <c r="G44">
        <v>125700</v>
      </c>
      <c r="H44">
        <v>3085</v>
      </c>
      <c r="I44">
        <v>12</v>
      </c>
      <c r="J44">
        <v>0.33178709080412211</v>
      </c>
      <c r="K44">
        <v>2.726913058190765E-2</v>
      </c>
      <c r="L44">
        <v>0.97273086941809239</v>
      </c>
      <c r="M44">
        <v>2.8033581989867971E-2</v>
      </c>
      <c r="N44">
        <v>1.1033999999999999</v>
      </c>
      <c r="O44">
        <v>0.14495560383640879</v>
      </c>
      <c r="P44">
        <v>0.15515660383640881</v>
      </c>
      <c r="Q44">
        <v>0.39389923056082349</v>
      </c>
      <c r="R44">
        <v>0.92735046625959106</v>
      </c>
      <c r="S44">
        <v>0.94338484019805746</v>
      </c>
      <c r="T44">
        <v>9.8452435610645234E-4</v>
      </c>
      <c r="U44">
        <v>127675866.2397262</v>
      </c>
      <c r="V44">
        <v>3133492.8190099872</v>
      </c>
      <c r="W44">
        <v>1.201178349764149E-2</v>
      </c>
      <c r="X44">
        <v>89.981226440409031</v>
      </c>
      <c r="Y44">
        <v>11310640.163559411</v>
      </c>
      <c r="Z44">
        <v>277592.08356866188</v>
      </c>
      <c r="AA44">
        <v>29.04789055520704</v>
      </c>
      <c r="AB44">
        <v>0.71290964489111952</v>
      </c>
      <c r="AC44" t="s">
        <v>65</v>
      </c>
      <c r="AH44"/>
    </row>
    <row r="45" spans="2:34" ht="15" x14ac:dyDescent="0.2">
      <c r="B45">
        <v>6</v>
      </c>
      <c r="C45">
        <v>12</v>
      </c>
      <c r="D45">
        <v>1.2043999999999999</v>
      </c>
      <c r="E45">
        <v>19.010000000000002</v>
      </c>
      <c r="F45">
        <v>0.10100000000000001</v>
      </c>
      <c r="G45">
        <v>125700</v>
      </c>
      <c r="H45">
        <v>3085</v>
      </c>
      <c r="I45">
        <v>12</v>
      </c>
      <c r="J45">
        <v>0.33178709080412211</v>
      </c>
      <c r="K45">
        <v>2.726913058190765E-2</v>
      </c>
      <c r="L45">
        <v>0.97273086941809239</v>
      </c>
      <c r="M45">
        <v>2.8033581989867971E-2</v>
      </c>
      <c r="N45">
        <v>1.1033999999999999</v>
      </c>
      <c r="O45">
        <v>0.14495560383640879</v>
      </c>
      <c r="P45">
        <v>0.15515660383640881</v>
      </c>
      <c r="Q45">
        <v>0.39389923056082349</v>
      </c>
      <c r="R45">
        <v>0.92735046625959106</v>
      </c>
      <c r="S45">
        <v>0.94338484019805746</v>
      </c>
      <c r="T45">
        <v>9.8452435610645234E-4</v>
      </c>
      <c r="U45">
        <v>127675866.2397262</v>
      </c>
      <c r="V45">
        <v>3133492.8190099872</v>
      </c>
      <c r="W45">
        <v>1.201178349764149E-2</v>
      </c>
      <c r="X45">
        <v>89.981226440409031</v>
      </c>
      <c r="Y45">
        <v>11310640.163559411</v>
      </c>
      <c r="Z45">
        <v>277592.08356866188</v>
      </c>
      <c r="AA45">
        <v>29.04789055520704</v>
      </c>
      <c r="AB45">
        <v>0.71290964489111952</v>
      </c>
      <c r="AC45" t="s">
        <v>65</v>
      </c>
      <c r="AH45"/>
    </row>
    <row r="46" spans="2:34" ht="15" x14ac:dyDescent="0.2">
      <c r="B46">
        <v>6</v>
      </c>
      <c r="C46">
        <v>12</v>
      </c>
      <c r="D46">
        <v>1.65</v>
      </c>
      <c r="E46">
        <v>13.54</v>
      </c>
      <c r="F46">
        <v>0.1</v>
      </c>
      <c r="G46">
        <v>252087.6</v>
      </c>
      <c r="H46">
        <v>4096.2610000000004</v>
      </c>
      <c r="I46">
        <v>4</v>
      </c>
      <c r="J46">
        <v>0.2363175807200322</v>
      </c>
      <c r="K46">
        <v>1.3896646079320049E-2</v>
      </c>
      <c r="L46">
        <v>0.98610335392068005</v>
      </c>
      <c r="M46">
        <v>1.409248434666399E-2</v>
      </c>
      <c r="N46">
        <v>1.55</v>
      </c>
      <c r="O46">
        <v>0.14216268939144411</v>
      </c>
      <c r="P46">
        <v>0.15216268939144409</v>
      </c>
      <c r="Q46">
        <v>0.39008036273496782</v>
      </c>
      <c r="R46">
        <v>0.92826450870455579</v>
      </c>
      <c r="S46">
        <v>0.97071587619643884</v>
      </c>
      <c r="T46">
        <v>2.0306330591321172E-3</v>
      </c>
      <c r="U46">
        <v>124142369.723726</v>
      </c>
      <c r="V46">
        <v>2017233.4837051861</v>
      </c>
      <c r="W46">
        <v>2.4982358015134071E-2</v>
      </c>
      <c r="X46">
        <v>44.51473522334058</v>
      </c>
      <c r="Y46">
        <v>11221612.767087391</v>
      </c>
      <c r="Z46">
        <v>182343.973820696</v>
      </c>
      <c r="AA46">
        <v>28.81925114738058</v>
      </c>
      <c r="AB46">
        <v>0.46829425376028139</v>
      </c>
      <c r="AC46" t="s">
        <v>65</v>
      </c>
      <c r="AH46"/>
    </row>
    <row r="47" spans="2:34" ht="15" x14ac:dyDescent="0.2">
      <c r="B47">
        <v>6</v>
      </c>
      <c r="C47">
        <v>12</v>
      </c>
      <c r="D47">
        <v>0.24110000000000001</v>
      </c>
      <c r="E47">
        <v>145</v>
      </c>
      <c r="F47">
        <v>9.3600000000000003E-2</v>
      </c>
      <c r="G47">
        <v>2704</v>
      </c>
      <c r="H47">
        <v>106</v>
      </c>
      <c r="I47">
        <v>1</v>
      </c>
      <c r="J47">
        <v>2.530727415391778</v>
      </c>
      <c r="K47">
        <v>0.90957602214449595</v>
      </c>
      <c r="L47">
        <v>9.0423977855504198E-2</v>
      </c>
      <c r="M47">
        <v>10.05901359037734</v>
      </c>
      <c r="N47">
        <v>0.14749999999999999</v>
      </c>
      <c r="O47">
        <v>0.1293862795740324</v>
      </c>
      <c r="P47">
        <v>0.13814723957403241</v>
      </c>
      <c r="Q47">
        <v>0.371681637391508</v>
      </c>
      <c r="R47">
        <v>0.92901613772196745</v>
      </c>
      <c r="S47">
        <v>4.4483486646419802E-2</v>
      </c>
      <c r="T47">
        <v>4.5263791850085329E-5</v>
      </c>
      <c r="U47">
        <v>59738698.18409618</v>
      </c>
      <c r="V47">
        <v>2341827.6655008122</v>
      </c>
      <c r="W47">
        <v>2.5044366783325381E-5</v>
      </c>
      <c r="X47">
        <v>2024.8680932709769</v>
      </c>
      <c r="Y47">
        <v>5475243.3242047206</v>
      </c>
      <c r="Z47">
        <v>214636.0178867236</v>
      </c>
      <c r="AA47">
        <v>14.06147366945993</v>
      </c>
      <c r="AB47">
        <v>0.55122640864007144</v>
      </c>
      <c r="AC47" t="s">
        <v>65</v>
      </c>
      <c r="AH47"/>
    </row>
    <row r="48" spans="2:34" ht="15" x14ac:dyDescent="0.2">
      <c r="AH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Zihao Lin</cp:lastModifiedBy>
  <dcterms:created xsi:type="dcterms:W3CDTF">2023-09-06T19:01:47Z</dcterms:created>
  <dcterms:modified xsi:type="dcterms:W3CDTF">2023-09-14T04:36:28Z</dcterms:modified>
</cp:coreProperties>
</file>