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zilin\Desktop\zilin\戴师兄数据分析\"/>
    </mc:Choice>
  </mc:AlternateContent>
  <xr:revisionPtr revIDLastSave="0" documentId="13_ncr:1_{8CEA0315-2456-401F-8DF8-3DDFA282E852}" xr6:coauthVersionLast="47" xr6:coauthVersionMax="47" xr10:uidLastSave="{00000000-0000-0000-0000-000000000000}"/>
  <bookViews>
    <workbookView xWindow="-96" yWindow="-96" windowWidth="23232" windowHeight="12552" firstSheet="4" activeTab="5" xr2:uid="{D624C011-C59C-48A0-9D97-83E26732125B}"/>
  </bookViews>
  <sheets>
    <sheet name="拌客源数据1-8月" sheetId="2" state="hidden" r:id="rId1"/>
    <sheet name="数据透视图表-完成版" sheetId="28" r:id="rId2"/>
    <sheet name="常用函数-完成版" sheetId="4" r:id="rId3"/>
    <sheet name="常用函数-练习版" sheetId="18" r:id="rId4"/>
    <sheet name="大厂周报-完成版" sheetId="3" r:id="rId5"/>
    <sheet name="大厂周报-练习版" sheetId="16" r:id="rId6"/>
    <sheet name="拌客源数据备份" sheetId="30" r:id="rId7"/>
    <sheet name="源数据备份" sheetId="29" state="hidden" r:id="rId8"/>
  </sheets>
  <definedNames>
    <definedName name="_xlnm._FilterDatabase" localSheetId="0" hidden="1">'拌客源数据1-8月'!$A$1:$X$562</definedName>
    <definedName name="_xlnm._FilterDatabase" localSheetId="6" hidden="1">拌客源数据备份!$A$1:$X$562</definedName>
    <definedName name="_xlnm._FilterDatabase" localSheetId="7" hidden="1">源数据备份!$A$1:$X$562</definedName>
    <definedName name="切片器_平台i1">#N/A</definedName>
  </definedNames>
  <calcPr calcId="191029"/>
  <pivotCaches>
    <pivotCache cacheId="0" r:id="rId9"/>
    <pivotCache cacheId="1" r:id="rId10"/>
    <pivotCache cacheId="2" r:id="rId11"/>
    <pivotCache cacheId="3" r:id="rId12"/>
  </pivotCaches>
  <extLs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6" l="1"/>
  <c r="E8" i="16"/>
  <c r="C8" i="16"/>
  <c r="A8" i="16"/>
  <c r="E5" i="16"/>
  <c r="C5" i="16"/>
  <c r="A5" i="16"/>
  <c r="D44" i="18"/>
  <c r="A13" i="16"/>
  <c r="D25" i="16" s="1"/>
  <c r="H112" i="18"/>
  <c r="I112" i="18"/>
  <c r="H113" i="18"/>
  <c r="I113" i="18"/>
  <c r="H114" i="18"/>
  <c r="I114" i="18"/>
  <c r="H115" i="18"/>
  <c r="I115" i="18"/>
  <c r="H116" i="18"/>
  <c r="I116" i="18"/>
  <c r="H117" i="18"/>
  <c r="I117" i="18"/>
  <c r="H118" i="18"/>
  <c r="I118" i="18"/>
  <c r="H119" i="18"/>
  <c r="I119" i="18"/>
  <c r="H120" i="18"/>
  <c r="I120" i="18"/>
  <c r="H121" i="18"/>
  <c r="I121" i="18"/>
  <c r="H122" i="18"/>
  <c r="I122" i="18"/>
  <c r="H123" i="18"/>
  <c r="I123" i="18"/>
  <c r="H124" i="18"/>
  <c r="I124" i="18"/>
  <c r="H125" i="18"/>
  <c r="I125" i="18"/>
  <c r="H126" i="18"/>
  <c r="I126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12" i="18"/>
  <c r="F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P97" i="18"/>
  <c r="P98" i="18"/>
  <c r="P99" i="18"/>
  <c r="P100" i="18"/>
  <c r="P101" i="18"/>
  <c r="P102" i="18"/>
  <c r="P103" i="18"/>
  <c r="P96" i="18"/>
  <c r="J101" i="18"/>
  <c r="J99" i="18"/>
  <c r="J97" i="18"/>
  <c r="J96" i="18"/>
  <c r="D97" i="18"/>
  <c r="D98" i="18"/>
  <c r="D99" i="18"/>
  <c r="D100" i="18"/>
  <c r="D101" i="18"/>
  <c r="D102" i="18"/>
  <c r="D103" i="18"/>
  <c r="D96" i="18"/>
  <c r="E81" i="18"/>
  <c r="E82" i="18"/>
  <c r="E83" i="18"/>
  <c r="E84" i="18"/>
  <c r="E85" i="18"/>
  <c r="E86" i="18"/>
  <c r="E87" i="18"/>
  <c r="E80" i="18"/>
  <c r="K81" i="18"/>
  <c r="K82" i="18"/>
  <c r="K83" i="18"/>
  <c r="K80" i="18"/>
  <c r="D64" i="18"/>
  <c r="D65" i="18"/>
  <c r="D66" i="18"/>
  <c r="D67" i="18"/>
  <c r="D68" i="18"/>
  <c r="D69" i="18"/>
  <c r="D70" i="18"/>
  <c r="D71" i="18"/>
  <c r="D55" i="18"/>
  <c r="C55" i="18"/>
  <c r="C40" i="18"/>
  <c r="D40" i="18" s="1"/>
  <c r="C41" i="18"/>
  <c r="D41" i="18" s="1"/>
  <c r="C42" i="18"/>
  <c r="D42" i="18" s="1"/>
  <c r="C43" i="18"/>
  <c r="D43" i="18" s="1"/>
  <c r="C44" i="18"/>
  <c r="C45" i="18"/>
  <c r="D45" i="18" s="1"/>
  <c r="C46" i="18"/>
  <c r="D46" i="18" s="1"/>
  <c r="C39" i="18"/>
  <c r="D39" i="18" s="1"/>
  <c r="G40" i="18"/>
  <c r="G41" i="18"/>
  <c r="G42" i="18"/>
  <c r="G43" i="18"/>
  <c r="G44" i="18"/>
  <c r="G45" i="18"/>
  <c r="G46" i="18"/>
  <c r="G39" i="18"/>
  <c r="F40" i="18"/>
  <c r="F41" i="18"/>
  <c r="F42" i="18"/>
  <c r="F43" i="18"/>
  <c r="F44" i="18"/>
  <c r="F45" i="18"/>
  <c r="F46" i="18"/>
  <c r="E40" i="18"/>
  <c r="E41" i="18"/>
  <c r="E42" i="18"/>
  <c r="E43" i="18"/>
  <c r="E44" i="18"/>
  <c r="E45" i="18"/>
  <c r="E46" i="18"/>
  <c r="F39" i="18"/>
  <c r="E39" i="18"/>
  <c r="I30" i="18"/>
  <c r="C30" i="18"/>
  <c r="D30" i="18" s="1"/>
  <c r="K31" i="18"/>
  <c r="K32" i="18"/>
  <c r="K33" i="18"/>
  <c r="K34" i="18"/>
  <c r="K35" i="18"/>
  <c r="K36" i="18"/>
  <c r="K30" i="18"/>
  <c r="J31" i="18"/>
  <c r="J32" i="18"/>
  <c r="J33" i="18"/>
  <c r="J34" i="18"/>
  <c r="J35" i="18"/>
  <c r="J36" i="18"/>
  <c r="J30" i="18"/>
  <c r="I36" i="18"/>
  <c r="I31" i="18"/>
  <c r="I32" i="18"/>
  <c r="I33" i="18"/>
  <c r="I34" i="18"/>
  <c r="I35" i="18"/>
  <c r="H31" i="18"/>
  <c r="H32" i="18"/>
  <c r="H33" i="18"/>
  <c r="H34" i="18"/>
  <c r="H35" i="18"/>
  <c r="H36" i="18"/>
  <c r="H30" i="18"/>
  <c r="G31" i="18"/>
  <c r="G32" i="18"/>
  <c r="G33" i="18"/>
  <c r="G34" i="18"/>
  <c r="G35" i="18"/>
  <c r="G36" i="18"/>
  <c r="G30" i="18"/>
  <c r="F31" i="18"/>
  <c r="F32" i="18"/>
  <c r="F33" i="18"/>
  <c r="F34" i="18"/>
  <c r="F35" i="18"/>
  <c r="F36" i="18"/>
  <c r="F30" i="18"/>
  <c r="D35" i="18"/>
  <c r="C31" i="18"/>
  <c r="E31" i="18" s="1"/>
  <c r="C32" i="18"/>
  <c r="D32" i="18" s="1"/>
  <c r="C33" i="18"/>
  <c r="D33" i="18" s="1"/>
  <c r="C34" i="18"/>
  <c r="D34" i="18" s="1"/>
  <c r="C35" i="18"/>
  <c r="E35" i="18" s="1"/>
  <c r="C36" i="18"/>
  <c r="D36" i="18" s="1"/>
  <c r="C22" i="18"/>
  <c r="D22" i="18"/>
  <c r="E22" i="18" s="1"/>
  <c r="C17" i="18"/>
  <c r="C16" i="18"/>
  <c r="C18" i="18"/>
  <c r="C19" i="18"/>
  <c r="C20" i="18"/>
  <c r="C21" i="18"/>
  <c r="C15" i="18"/>
  <c r="D5" i="18"/>
  <c r="C5" i="18"/>
  <c r="D13" i="3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C96" i="18"/>
  <c r="C97" i="18"/>
  <c r="C98" i="18"/>
  <c r="C99" i="18"/>
  <c r="C100" i="18"/>
  <c r="C101" i="18"/>
  <c r="C102" i="18"/>
  <c r="C103" i="18"/>
  <c r="A14" i="3"/>
  <c r="A15" i="3" s="1"/>
  <c r="A16" i="3" s="1"/>
  <c r="A17" i="3" s="1"/>
  <c r="A18" i="3" s="1"/>
  <c r="A19" i="3" s="1"/>
  <c r="D19" i="3" s="1"/>
  <c r="H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P93" i="4"/>
  <c r="C96" i="4"/>
  <c r="K83" i="4"/>
  <c r="K82" i="4"/>
  <c r="K81" i="4"/>
  <c r="K80" i="4"/>
  <c r="D64" i="4"/>
  <c r="D65" i="4"/>
  <c r="D66" i="4"/>
  <c r="D67" i="4"/>
  <c r="D68" i="4"/>
  <c r="D69" i="4"/>
  <c r="D70" i="4"/>
  <c r="D71" i="4"/>
  <c r="D40" i="4"/>
  <c r="D41" i="4"/>
  <c r="D42" i="4"/>
  <c r="D43" i="4"/>
  <c r="D44" i="4"/>
  <c r="D45" i="4"/>
  <c r="D46" i="4"/>
  <c r="D39" i="4"/>
  <c r="C39" i="4"/>
  <c r="C40" i="4"/>
  <c r="C41" i="4"/>
  <c r="C42" i="4"/>
  <c r="C43" i="4"/>
  <c r="C44" i="4"/>
  <c r="C45" i="4"/>
  <c r="C46" i="4"/>
  <c r="J31" i="4"/>
  <c r="J32" i="4"/>
  <c r="J33" i="4"/>
  <c r="J34" i="4"/>
  <c r="J35" i="4"/>
  <c r="J36" i="4"/>
  <c r="J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I30" i="4"/>
  <c r="H30" i="4"/>
  <c r="G30" i="4"/>
  <c r="F30" i="4"/>
  <c r="C15" i="4"/>
  <c r="C16" i="4"/>
  <c r="C17" i="4"/>
  <c r="C18" i="4"/>
  <c r="C19" i="4"/>
  <c r="C20" i="4"/>
  <c r="C21" i="4"/>
  <c r="H8" i="3"/>
  <c r="D12" i="4"/>
  <c r="E80" i="4"/>
  <c r="A25" i="16" l="1"/>
  <c r="C13" i="16"/>
  <c r="G13" i="16"/>
  <c r="F13" i="16"/>
  <c r="C25" i="16"/>
  <c r="D13" i="16"/>
  <c r="F25" i="16"/>
  <c r="D31" i="18"/>
  <c r="E34" i="18"/>
  <c r="E33" i="18"/>
  <c r="E32" i="18"/>
  <c r="E36" i="18"/>
  <c r="E30" i="18"/>
  <c r="D18" i="3"/>
  <c r="D17" i="3"/>
  <c r="D16" i="3"/>
  <c r="D15" i="3"/>
  <c r="D14" i="3"/>
  <c r="D20" i="3" s="1"/>
  <c r="C13" i="3"/>
  <c r="E13" i="16" l="1"/>
  <c r="E25" i="16"/>
  <c r="H25" i="16"/>
  <c r="G25" i="16"/>
  <c r="H13" i="16"/>
  <c r="D1" i="3"/>
  <c r="B1" i="3"/>
  <c r="F26" i="3" l="1"/>
  <c r="F27" i="3"/>
  <c r="F28" i="3"/>
  <c r="F29" i="3"/>
  <c r="F30" i="3"/>
  <c r="F31" i="3"/>
  <c r="F25" i="3"/>
  <c r="D26" i="3"/>
  <c r="D27" i="3"/>
  <c r="D28" i="3"/>
  <c r="D29" i="3"/>
  <c r="D30" i="3"/>
  <c r="D31" i="3"/>
  <c r="D25" i="3"/>
  <c r="C26" i="3"/>
  <c r="C27" i="3"/>
  <c r="C28" i="3"/>
  <c r="C29" i="3"/>
  <c r="C30" i="3"/>
  <c r="C31" i="3"/>
  <c r="C25" i="3"/>
  <c r="F14" i="3"/>
  <c r="G14" i="3"/>
  <c r="F15" i="3"/>
  <c r="G15" i="3"/>
  <c r="F16" i="3"/>
  <c r="G16" i="3"/>
  <c r="F17" i="3"/>
  <c r="G17" i="3"/>
  <c r="F18" i="3"/>
  <c r="G18" i="3"/>
  <c r="F19" i="3"/>
  <c r="G19" i="3"/>
  <c r="G13" i="3"/>
  <c r="F13" i="3"/>
  <c r="C14" i="3"/>
  <c r="C15" i="3"/>
  <c r="H27" i="3" s="1"/>
  <c r="C16" i="3"/>
  <c r="H28" i="3" s="1"/>
  <c r="C17" i="3"/>
  <c r="H29" i="3" s="1"/>
  <c r="C18" i="3"/>
  <c r="H30" i="3" s="1"/>
  <c r="C19" i="3"/>
  <c r="H31" i="3" s="1"/>
  <c r="H25" i="3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P97" i="4"/>
  <c r="P98" i="4"/>
  <c r="P99" i="4"/>
  <c r="P100" i="4"/>
  <c r="P101" i="4"/>
  <c r="P102" i="4"/>
  <c r="P103" i="4"/>
  <c r="P96" i="4"/>
  <c r="J99" i="4"/>
  <c r="J96" i="4"/>
  <c r="C97" i="4"/>
  <c r="C98" i="4"/>
  <c r="C99" i="4"/>
  <c r="C100" i="4"/>
  <c r="C101" i="4"/>
  <c r="C102" i="4"/>
  <c r="C103" i="4"/>
  <c r="E81" i="4"/>
  <c r="E82" i="4"/>
  <c r="E83" i="4"/>
  <c r="E84" i="4"/>
  <c r="E85" i="4"/>
  <c r="E86" i="4"/>
  <c r="E87" i="4"/>
  <c r="D55" i="4"/>
  <c r="C55" i="4"/>
  <c r="C36" i="4"/>
  <c r="E39" i="4"/>
  <c r="G40" i="4"/>
  <c r="G41" i="4"/>
  <c r="G42" i="4"/>
  <c r="G43" i="4"/>
  <c r="G44" i="4"/>
  <c r="G45" i="4"/>
  <c r="G46" i="4"/>
  <c r="G39" i="4"/>
  <c r="F41" i="4"/>
  <c r="F42" i="4"/>
  <c r="F43" i="4"/>
  <c r="F44" i="4"/>
  <c r="F45" i="4"/>
  <c r="F46" i="4"/>
  <c r="F40" i="4"/>
  <c r="F39" i="4"/>
  <c r="E40" i="4"/>
  <c r="E41" i="4"/>
  <c r="E42" i="4"/>
  <c r="E43" i="4"/>
  <c r="E44" i="4"/>
  <c r="E45" i="4"/>
  <c r="E46" i="4"/>
  <c r="E31" i="4"/>
  <c r="E32" i="4"/>
  <c r="E33" i="4"/>
  <c r="E34" i="4"/>
  <c r="E35" i="4"/>
  <c r="E36" i="4"/>
  <c r="E30" i="4"/>
  <c r="D34" i="4"/>
  <c r="D31" i="4"/>
  <c r="D32" i="4"/>
  <c r="D33" i="4"/>
  <c r="D35" i="4"/>
  <c r="D36" i="4"/>
  <c r="D30" i="4"/>
  <c r="C31" i="4"/>
  <c r="C32" i="4"/>
  <c r="C33" i="4"/>
  <c r="C34" i="4"/>
  <c r="C35" i="4"/>
  <c r="C30" i="4"/>
  <c r="D5" i="4"/>
  <c r="C5" i="4"/>
  <c r="G20" i="3" l="1"/>
  <c r="H26" i="3"/>
  <c r="C20" i="3"/>
  <c r="F20" i="3"/>
  <c r="A9" i="3" s="1"/>
  <c r="B9" i="3" s="1"/>
  <c r="G31" i="3"/>
  <c r="A31" i="3"/>
  <c r="B31" i="3" s="1"/>
  <c r="A30" i="3"/>
  <c r="G29" i="3"/>
  <c r="A29" i="3"/>
  <c r="B29" i="3" s="1"/>
  <c r="A28" i="3"/>
  <c r="A27" i="3"/>
  <c r="B27" i="3" s="1"/>
  <c r="A26" i="3"/>
  <c r="D32" i="3"/>
  <c r="C32" i="3"/>
  <c r="A6" i="3" s="1"/>
  <c r="A25" i="3"/>
  <c r="B25" i="3" s="1"/>
  <c r="H19" i="3"/>
  <c r="B19" i="3"/>
  <c r="E18" i="3"/>
  <c r="B18" i="3"/>
  <c r="B17" i="3"/>
  <c r="B16" i="3"/>
  <c r="B15" i="3"/>
  <c r="B14" i="3"/>
  <c r="B13" i="3"/>
  <c r="G7" i="3"/>
  <c r="H20" i="3" l="1"/>
  <c r="H32" i="3"/>
  <c r="E20" i="3"/>
  <c r="E28" i="3"/>
  <c r="C6" i="3"/>
  <c r="E14" i="3"/>
  <c r="H14" i="3"/>
  <c r="G26" i="3"/>
  <c r="G30" i="3"/>
  <c r="H16" i="3"/>
  <c r="E13" i="3"/>
  <c r="H18" i="3"/>
  <c r="E17" i="3"/>
  <c r="E29" i="3"/>
  <c r="E27" i="3"/>
  <c r="E26" i="3"/>
  <c r="E30" i="3"/>
  <c r="E15" i="3"/>
  <c r="E31" i="3"/>
  <c r="G28" i="3"/>
  <c r="G27" i="3"/>
  <c r="E19" i="3"/>
  <c r="E16" i="3"/>
  <c r="E32" i="3"/>
  <c r="F32" i="3"/>
  <c r="G32" i="3" s="1"/>
  <c r="E6" i="3" s="1"/>
  <c r="H17" i="3"/>
  <c r="H15" i="3"/>
  <c r="H13" i="3"/>
  <c r="E25" i="3"/>
  <c r="G25" i="3"/>
  <c r="B26" i="3"/>
  <c r="B28" i="3"/>
  <c r="B30" i="3"/>
  <c r="E9" i="3" l="1"/>
  <c r="F9" i="3" s="1"/>
  <c r="C9" i="3"/>
  <c r="D9" i="3" s="1"/>
  <c r="A14" i="16" l="1"/>
  <c r="B13" i="16"/>
  <c r="B25" i="16" s="1"/>
  <c r="A15" i="16" l="1"/>
  <c r="G14" i="16"/>
  <c r="C14" i="16"/>
  <c r="A26" i="16"/>
  <c r="F14" i="16"/>
  <c r="D26" i="16"/>
  <c r="F26" i="16"/>
  <c r="C26" i="16"/>
  <c r="D14" i="16"/>
  <c r="B14" i="16"/>
  <c r="B26" i="16" s="1"/>
  <c r="A16" i="16"/>
  <c r="B15" i="16"/>
  <c r="B27" i="16" s="1"/>
  <c r="G26" i="16" l="1"/>
  <c r="E26" i="16"/>
  <c r="H26" i="16"/>
  <c r="E14" i="16"/>
  <c r="C28" i="16"/>
  <c r="A28" i="16"/>
  <c r="C16" i="16"/>
  <c r="D16" i="16"/>
  <c r="F16" i="16"/>
  <c r="F28" i="16"/>
  <c r="D28" i="16"/>
  <c r="E28" i="16" s="1"/>
  <c r="G16" i="16"/>
  <c r="H14" i="16"/>
  <c r="A27" i="16"/>
  <c r="D15" i="16"/>
  <c r="C15" i="16"/>
  <c r="H27" i="16" s="1"/>
  <c r="F15" i="16"/>
  <c r="G15" i="16"/>
  <c r="D27" i="16"/>
  <c r="F27" i="16"/>
  <c r="C27" i="16"/>
  <c r="B16" i="16"/>
  <c r="B28" i="16" s="1"/>
  <c r="A17" i="16"/>
  <c r="E27" i="16" l="1"/>
  <c r="H16" i="16"/>
  <c r="H28" i="16"/>
  <c r="G27" i="16"/>
  <c r="G28" i="16"/>
  <c r="H15" i="16"/>
  <c r="E16" i="16"/>
  <c r="D29" i="16"/>
  <c r="F17" i="16"/>
  <c r="F29" i="16"/>
  <c r="C29" i="16"/>
  <c r="G17" i="16"/>
  <c r="A29" i="16"/>
  <c r="D17" i="16"/>
  <c r="C17" i="16"/>
  <c r="E15" i="16"/>
  <c r="B17" i="16"/>
  <c r="B29" i="16" s="1"/>
  <c r="A18" i="16"/>
  <c r="G29" i="16" l="1"/>
  <c r="E29" i="16"/>
  <c r="H17" i="16"/>
  <c r="H29" i="16"/>
  <c r="E17" i="16"/>
  <c r="D30" i="16"/>
  <c r="C30" i="16"/>
  <c r="D18" i="16"/>
  <c r="F30" i="16"/>
  <c r="F18" i="16"/>
  <c r="A30" i="16"/>
  <c r="G18" i="16"/>
  <c r="C18" i="16"/>
  <c r="H30" i="16" s="1"/>
  <c r="B18" i="16"/>
  <c r="B30" i="16" s="1"/>
  <c r="A19" i="16"/>
  <c r="G7" i="16" s="1"/>
  <c r="E18" i="16" l="1"/>
  <c r="G30" i="16"/>
  <c r="C31" i="16"/>
  <c r="C32" i="16" s="1"/>
  <c r="A6" i="16" s="1"/>
  <c r="D31" i="16"/>
  <c r="D32" i="16" s="1"/>
  <c r="A31" i="16"/>
  <c r="G19" i="16"/>
  <c r="G20" i="16" s="1"/>
  <c r="F31" i="16"/>
  <c r="D19" i="16"/>
  <c r="D20" i="16" s="1"/>
  <c r="C19" i="16"/>
  <c r="F19" i="16"/>
  <c r="F20" i="16" s="1"/>
  <c r="E30" i="16"/>
  <c r="H18" i="16"/>
  <c r="D1" i="16"/>
  <c r="B19" i="16"/>
  <c r="B31" i="16" s="1"/>
  <c r="D9" i="16" l="1"/>
  <c r="C9" i="16"/>
  <c r="B9" i="16"/>
  <c r="A9" i="16"/>
  <c r="E32" i="16"/>
  <c r="C6" i="16" s="1"/>
  <c r="G31" i="16"/>
  <c r="F32" i="16"/>
  <c r="G32" i="16" s="1"/>
  <c r="E6" i="16" s="1"/>
  <c r="H19" i="16"/>
  <c r="H31" i="16"/>
  <c r="C20" i="16"/>
  <c r="E19" i="16"/>
  <c r="E31" i="16"/>
  <c r="H20" i="16" l="1"/>
  <c r="H32" i="16"/>
  <c r="E20" i="16"/>
  <c r="E9" i="16" l="1"/>
  <c r="F9" i="16"/>
</calcChain>
</file>

<file path=xl/sharedStrings.xml><?xml version="1.0" encoding="utf-8"?>
<sst xmlns="http://schemas.openxmlformats.org/spreadsheetml/2006/main" count="12298" uniqueCount="225">
  <si>
    <t>品牌名称</t>
  </si>
  <si>
    <t>城市</t>
  </si>
  <si>
    <t>平台</t>
  </si>
  <si>
    <t>日期</t>
  </si>
  <si>
    <t>门店ID</t>
  </si>
  <si>
    <t>门店名称</t>
  </si>
  <si>
    <t>下单人数</t>
  </si>
  <si>
    <t>商户补贴</t>
  </si>
  <si>
    <t>平台补贴</t>
  </si>
  <si>
    <t>进店人数</t>
  </si>
  <si>
    <t>平台i</t>
  </si>
  <si>
    <t>平台门店名称</t>
  </si>
  <si>
    <t>cpc总费用</t>
  </si>
  <si>
    <t>cpc曝光量</t>
  </si>
  <si>
    <t>cpc访问量</t>
  </si>
  <si>
    <t>门店下单量</t>
  </si>
  <si>
    <t>门店曝光量</t>
  </si>
  <si>
    <t>门店访问量</t>
  </si>
  <si>
    <t>蛙小辣火锅杯（总账号）</t>
  </si>
  <si>
    <t>上海</t>
  </si>
  <si>
    <t>meituan</t>
  </si>
  <si>
    <t>五角场店</t>
  </si>
  <si>
    <t>美团</t>
  </si>
  <si>
    <t>蛙小辣火锅杯（合生汇店）</t>
  </si>
  <si>
    <t>怒江路店</t>
  </si>
  <si>
    <t>蛙小辣·美蛙火锅杯（长风大悦城店）</t>
  </si>
  <si>
    <t>eleme</t>
  </si>
  <si>
    <t>饿了么</t>
  </si>
  <si>
    <t>宝山店</t>
  </si>
  <si>
    <t>蛙小辣·美蛙火锅杯(宝山店)</t>
  </si>
  <si>
    <t>蛙小辣火锅杯(五角场店)</t>
  </si>
  <si>
    <t>龙阳广场店</t>
  </si>
  <si>
    <t>蛙小辣火锅杯(龙阳广场店)</t>
  </si>
  <si>
    <t>蛙小辣火锅杯（五角场店）</t>
  </si>
  <si>
    <t>蛙小辣火锅杯（宝山店）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</si>
  <si>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</si>
  <si>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</si>
  <si>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</si>
  <si>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</si>
  <si>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</si>
  <si>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</si>
  <si>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</si>
  <si>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</si>
  <si>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</si>
  <si>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305225345</t>
  </si>
  <si>
    <t>2000507076</t>
  </si>
  <si>
    <t>2001104355</t>
  </si>
  <si>
    <t>8184590</t>
  </si>
  <si>
    <t>8106681</t>
  </si>
  <si>
    <t>8491999</t>
  </si>
  <si>
    <t>337460136</t>
  </si>
  <si>
    <t>9428110</t>
  </si>
  <si>
    <t>无效订单</t>
    <phoneticPr fontId="18" type="noConversion"/>
  </si>
  <si>
    <t>有效订单</t>
    <phoneticPr fontId="18" type="noConversion"/>
  </si>
  <si>
    <t>商家实收</t>
    <phoneticPr fontId="18" type="noConversion"/>
  </si>
  <si>
    <t>GMV</t>
    <phoneticPr fontId="18" type="noConversion"/>
  </si>
  <si>
    <t>数据时间：</t>
    <phoneticPr fontId="18" type="noConversion"/>
  </si>
  <si>
    <t>20年8月第二周</t>
    <phoneticPr fontId="18" type="noConversion"/>
  </si>
  <si>
    <t>周累计</t>
    <phoneticPr fontId="18" type="noConversion"/>
  </si>
  <si>
    <t>曝光人数</t>
    <phoneticPr fontId="18" type="noConversion"/>
  </si>
  <si>
    <t>进店转化率</t>
    <phoneticPr fontId="18" type="noConversion"/>
  </si>
  <si>
    <t>下单转化率</t>
    <phoneticPr fontId="18" type="noConversion"/>
  </si>
  <si>
    <t>平台：</t>
    <phoneticPr fontId="18" type="noConversion"/>
  </si>
  <si>
    <t>业务进度</t>
    <phoneticPr fontId="18" type="noConversion"/>
  </si>
  <si>
    <t>周环比</t>
    <phoneticPr fontId="18" type="noConversion"/>
  </si>
  <si>
    <t>到手率</t>
    <phoneticPr fontId="18" type="noConversion"/>
  </si>
  <si>
    <t>目标：</t>
    <phoneticPr fontId="18" type="noConversion"/>
  </si>
  <si>
    <t>结果指标</t>
    <phoneticPr fontId="18" type="noConversion"/>
  </si>
  <si>
    <t>WEEK</t>
    <phoneticPr fontId="18" type="noConversion"/>
  </si>
  <si>
    <t>日期</t>
    <phoneticPr fontId="18" type="noConversion"/>
  </si>
  <si>
    <t>星期</t>
    <phoneticPr fontId="18" type="noConversion"/>
  </si>
  <si>
    <t>客单价</t>
    <phoneticPr fontId="18" type="noConversion"/>
  </si>
  <si>
    <t>总计</t>
    <phoneticPr fontId="18" type="noConversion"/>
  </si>
  <si>
    <t>过程指标</t>
    <phoneticPr fontId="18" type="noConversion"/>
  </si>
  <si>
    <t>进店人数</t>
    <phoneticPr fontId="18" type="noConversion"/>
  </si>
  <si>
    <t>下单人数</t>
    <phoneticPr fontId="18" type="noConversion"/>
  </si>
  <si>
    <t>营销占比</t>
    <phoneticPr fontId="18" type="noConversion"/>
  </si>
  <si>
    <t>至</t>
    <phoneticPr fontId="18" type="noConversion"/>
  </si>
  <si>
    <t>一、sum - 求和</t>
    <phoneticPr fontId="18" type="noConversion"/>
  </si>
  <si>
    <t>二、sumif -单条件求和</t>
    <phoneticPr fontId="18" type="noConversion"/>
  </si>
  <si>
    <t>三、sumifs - 多条件求和</t>
    <phoneticPr fontId="18" type="noConversion"/>
  </si>
  <si>
    <t>四、sum和subtotal的区别</t>
    <phoneticPr fontId="18" type="noConversion"/>
  </si>
  <si>
    <t>五、if函数</t>
    <phoneticPr fontId="18" type="noConversion"/>
  </si>
  <si>
    <t>1-8月GMV</t>
    <phoneticPr fontId="18" type="noConversion"/>
  </si>
  <si>
    <t>1月和8月GMV</t>
    <phoneticPr fontId="18" type="noConversion"/>
  </si>
  <si>
    <t>日同比</t>
    <phoneticPr fontId="18" type="noConversion"/>
  </si>
  <si>
    <t>日环比</t>
    <phoneticPr fontId="18" type="noConversion"/>
  </si>
  <si>
    <t>月环比</t>
    <phoneticPr fontId="18" type="noConversion"/>
  </si>
  <si>
    <t>sum函数</t>
    <phoneticPr fontId="18" type="noConversion"/>
  </si>
  <si>
    <t>subtotal函数</t>
    <phoneticPr fontId="18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</si>
  <si>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</si>
  <si>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</si>
  <si>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</si>
  <si>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</si>
  <si>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</si>
  <si>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</si>
  <si>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</si>
  <si>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</si>
  <si>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月份</t>
    <phoneticPr fontId="18" type="noConversion"/>
  </si>
  <si>
    <t>cpc总费用</t>
    <phoneticPr fontId="18" type="noConversion"/>
  </si>
  <si>
    <t>判断是否大于月目标10万</t>
    <phoneticPr fontId="18" type="noConversion"/>
  </si>
  <si>
    <t>六、if嵌套</t>
    <phoneticPr fontId="18" type="noConversion"/>
  </si>
  <si>
    <t>大于月目标10万且花费少于5千的为达标</t>
    <phoneticPr fontId="18" type="noConversion"/>
  </si>
  <si>
    <t>门店ID</t>
    <phoneticPr fontId="18" type="noConversion"/>
  </si>
  <si>
    <t>门店名称</t>
    <phoneticPr fontId="18" type="noConversion"/>
  </si>
  <si>
    <t>七、vlookup函数和数据透视表聚合</t>
    <phoneticPr fontId="18" type="noConversion"/>
  </si>
  <si>
    <t>A</t>
    <phoneticPr fontId="18" type="noConversion"/>
  </si>
  <si>
    <t>B</t>
    <phoneticPr fontId="18" type="noConversion"/>
  </si>
  <si>
    <t>判断</t>
    <phoneticPr fontId="18" type="noConversion"/>
  </si>
  <si>
    <t>嵌套举例：</t>
    <phoneticPr fontId="18" type="noConversion"/>
  </si>
  <si>
    <t>类别一</t>
    <phoneticPr fontId="18" type="noConversion"/>
  </si>
  <si>
    <t>C</t>
    <phoneticPr fontId="18" type="noConversion"/>
  </si>
  <si>
    <t>D</t>
    <phoneticPr fontId="18" type="noConversion"/>
  </si>
  <si>
    <t>类别二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</si>
  <si>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</si>
  <si>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</si>
  <si>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</si>
  <si>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值</t>
    <phoneticPr fontId="18" type="noConversion"/>
  </si>
  <si>
    <t>聚合（分类汇总）举例</t>
    <phoneticPr fontId="18" type="noConversion"/>
  </si>
  <si>
    <t>bc</t>
    <phoneticPr fontId="18" type="noConversion"/>
  </si>
  <si>
    <t>bcc</t>
    <phoneticPr fontId="18" type="noConversion"/>
  </si>
  <si>
    <t>模糊查询</t>
    <phoneticPr fontId="18" type="noConversion"/>
  </si>
  <si>
    <t>全名</t>
    <phoneticPr fontId="18" type="noConversion"/>
  </si>
  <si>
    <t>ddd</t>
    <phoneticPr fontId="18" type="noConversion"/>
  </si>
  <si>
    <t>查找项</t>
    <phoneticPr fontId="18" type="noConversion"/>
  </si>
  <si>
    <t>返回值</t>
    <phoneticPr fontId="18" type="noConversion"/>
  </si>
  <si>
    <t>abcd</t>
    <phoneticPr fontId="18" type="noConversion"/>
  </si>
  <si>
    <t>abc</t>
    <phoneticPr fontId="18" type="noConversion"/>
  </si>
  <si>
    <t>查找b开头并且是三个字符所对应的数值</t>
    <phoneticPr fontId="18" type="noConversion"/>
  </si>
  <si>
    <t xml:space="preserve">a </t>
    <phoneticPr fontId="18" type="noConversion"/>
  </si>
  <si>
    <t>查找a对应的值</t>
    <phoneticPr fontId="18" type="noConversion"/>
  </si>
  <si>
    <t>品牌名称</t>
    <phoneticPr fontId="18" type="noConversion"/>
  </si>
  <si>
    <t>品牌ID</t>
    <phoneticPr fontId="18" type="noConversion"/>
  </si>
  <si>
    <t>八、index和match函数</t>
    <phoneticPr fontId="18" type="noConversion"/>
  </si>
  <si>
    <t>美团GMV</t>
    <phoneticPr fontId="18" type="noConversion"/>
  </si>
  <si>
    <t>行标签</t>
  </si>
  <si>
    <t>总计</t>
  </si>
  <si>
    <t>求和项:GMV</t>
  </si>
  <si>
    <t>acd</t>
    <phoneticPr fontId="18" type="noConversion"/>
  </si>
  <si>
    <t>cb</t>
    <phoneticPr fontId="18" type="noConversion"/>
  </si>
  <si>
    <t>A</t>
  </si>
  <si>
    <t>B</t>
  </si>
  <si>
    <t>C</t>
  </si>
  <si>
    <t>D</t>
  </si>
  <si>
    <t>求和项:值2</t>
  </si>
  <si>
    <t>a</t>
  </si>
  <si>
    <t>b</t>
  </si>
  <si>
    <t>c</t>
  </si>
  <si>
    <t>求和项:商家实收</t>
  </si>
  <si>
    <t>文本</t>
    <phoneticPr fontId="18" type="noConversion"/>
  </si>
  <si>
    <t>文本</t>
    <phoneticPr fontId="18" type="noConversion"/>
  </si>
  <si>
    <t>年</t>
    <phoneticPr fontId="18" type="noConversion"/>
  </si>
  <si>
    <t>月</t>
    <phoneticPr fontId="18" type="noConversion"/>
  </si>
  <si>
    <t>日</t>
    <phoneticPr fontId="18" type="noConversion"/>
  </si>
  <si>
    <t>日期组合</t>
    <phoneticPr fontId="18" type="noConversion"/>
  </si>
  <si>
    <t>上个月这一天的GMV</t>
    <phoneticPr fontId="18" type="noConversion"/>
  </si>
  <si>
    <t>每个月第一天</t>
    <phoneticPr fontId="18" type="noConversion"/>
  </si>
  <si>
    <t>错误的每个月最后一天</t>
    <phoneticPr fontId="18" type="noConversion"/>
  </si>
  <si>
    <t>正确的每个月最后一天</t>
    <phoneticPr fontId="18" type="noConversion"/>
  </si>
  <si>
    <t>蛙小辣·美蛙火锅杯(宝山店)</t>
    <phoneticPr fontId="18" type="noConversion"/>
  </si>
  <si>
    <t>bdd1</t>
    <phoneticPr fontId="18" type="noConversion"/>
  </si>
  <si>
    <t>蛙小辣火锅杯（总账号）</t>
    <phoneticPr fontId="18" type="noConversion"/>
  </si>
  <si>
    <t>range: 判断依据是哪一列，若基于日期判断，则选择日期列</t>
  </si>
  <si>
    <t>sum_range: 需要求和的数值。此处要求GMV总和，选择GMV列</t>
  </si>
  <si>
    <t>criteria: 具体条件，例：具体日期， B15单元格</t>
  </si>
  <si>
    <t>使D22=C22，再右拉一格，使E22=D22， 此时C22，D22，E22都=6001.38</t>
  </si>
  <si>
    <t>再将D22往左拉一格，使C22=D22，则此时C22=B22=2020-07-01</t>
  </si>
  <si>
    <t>2020-07-01 = 44013 需要转换时间格式</t>
  </si>
  <si>
    <t>·</t>
  </si>
  <si>
    <t>三、sumifs 多条件求和</t>
  </si>
  <si>
    <t>日环比=当天/前一天 - 1</t>
  </si>
  <si>
    <t>日同比=（当天/前一周or月的当天）- 1</t>
  </si>
  <si>
    <t>上个月这一天</t>
  </si>
  <si>
    <t>上个月这一天GMV</t>
  </si>
  <si>
    <t>月环比=本月/上月 -1</t>
  </si>
  <si>
    <t>判断A=0</t>
  </si>
  <si>
    <t>if false：判断B=0</t>
  </si>
  <si>
    <t>if true：判断B=0</t>
  </si>
  <si>
    <t>if flase: return "A&amp;B不=0"</t>
  </si>
  <si>
    <t>if true: return“A不=0, B=0”</t>
  </si>
  <si>
    <t>if false: return“A=0, B不=0”</t>
  </si>
  <si>
    <t>if true: return“A&amp;B=0”</t>
  </si>
  <si>
    <t>IF(I80=0, IF(J80=0, "A&amp;B=0","A=0, B不=0"), IF(J80=0, "A不=0，B=0","A&amp;B不=0"))</t>
  </si>
  <si>
    <t>VLOOKUP(B96, 拌客源数据备份!D:E, 2, 0)</t>
  </si>
  <si>
    <t>VLOOKUP(I96&amp;"*", F96:G103, 2, 0)</t>
  </si>
  <si>
    <t>abcd</t>
  </si>
  <si>
    <t>VLOOKUP(I99&amp;"??", F96:G103, 2, 0)</t>
  </si>
  <si>
    <t>查找b开头并且是三个字符所对应的数值</t>
  </si>
  <si>
    <t>查找b开头并且是4个字符所对应的数值</t>
  </si>
  <si>
    <t>VLOOKUP(I101&amp;"???", F96:G103, 2,0)</t>
  </si>
  <si>
    <t>Row Labels</t>
  </si>
  <si>
    <t>Grand Total</t>
  </si>
  <si>
    <t>Average of 值</t>
  </si>
  <si>
    <t>Sum of GMV</t>
  </si>
  <si>
    <t>index(区域, row_num, column_num)</t>
  </si>
  <si>
    <t>match(查找项，查找区域，0)</t>
  </si>
  <si>
    <t>INDEX(拌客源数据备份!$A:$X,MATCH($B112, 拌客源数据备份!$I:$I,0),MATCH(I$111, 拌客源数据备份!$1:$1, 0))</t>
  </si>
  <si>
    <t>此处求和,用sumifs</t>
  </si>
  <si>
    <t>先用 "INDEX(拌客源数据备份!$A:$X,0,MATCH($G$111, 拌客源数据备份!$1:$1,0))" 自动找出GMV在原表所对应列</t>
  </si>
  <si>
    <t>注：因为要找所对应列，row_num需要=0，再用match找对应列</t>
  </si>
  <si>
    <t>最后完成sumifs() 所要求的criteria_range1 和criteria1</t>
  </si>
  <si>
    <t>通用代码：SUMIFS(INDEX(拌客源数据备份!$A:$X,0,MATCH($G$111, 拌客源数据备份!$1:$1,0)),拌客源数据备份!$I:$I, $B112)</t>
  </si>
  <si>
    <t>Starting Time：</t>
  </si>
  <si>
    <t>2020-08 Week 2</t>
  </si>
  <si>
    <t>Ending Time:</t>
  </si>
  <si>
    <t>GMV</t>
  </si>
  <si>
    <t>商家实收</t>
  </si>
  <si>
    <t>有效订单</t>
  </si>
  <si>
    <t>无效订单</t>
  </si>
  <si>
    <t>到手率（商家实收/GMV）</t>
  </si>
  <si>
    <t>客单价（GMV/有效订单）</t>
  </si>
  <si>
    <t>曝光人数</t>
  </si>
  <si>
    <t>进店转化率（进店人数/曝光人数）</t>
  </si>
  <si>
    <t xml:space="preserve"> </t>
  </si>
  <si>
    <t>平台列：</t>
  </si>
  <si>
    <t>求和列：</t>
  </si>
  <si>
    <t>日期列：</t>
  </si>
  <si>
    <t>INDEX(拌客源数据备份!$A:$X, 0, MATCH(C$12, 拌客源数据备份!$1:$1,0))</t>
  </si>
  <si>
    <t>INDEX(拌客源数据备份!$A:$X, 0, MATCH("平台i", 拌客源数据备份!$1:$1,0))</t>
  </si>
  <si>
    <t>INDEX(拌客源数据备份!$A:$X, 0, MATCH($A$12, 拌客源数据备份!$A$1:$X$1,0))</t>
  </si>
  <si>
    <t>星期</t>
  </si>
  <si>
    <t>下单转化率 (下单人数/进店人数)</t>
  </si>
  <si>
    <t>营销占比（cpc总费用/GMV）</t>
  </si>
  <si>
    <t>All</t>
  </si>
  <si>
    <t>本周数据/上周数据-1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</si>
</sst>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_ * #,##0.00_ ;_ * \-#,##0.00_ ;_ * &quot;-&quot;??_ ;_ @_ "/>
    <numFmt numFmtId="165" formatCode="_ * #,##0_ ;_ * \-#,##0_ ;_ * &quot;-&quot;??_ ;_ @_ "/>
    <numFmt numFmtId="166" formatCode="0.00%;0.00%"/>
    <numFmt numFmtId="167" formatCode="[$-804]aaa;@"/>
    <numFmt numFmtId="168" formatCode="yyyymmdd"/>
    <numFmt numFmtId="169" formatCode="yyyy/mm"/>
    <numFmt numFmtId="170" formatCode="0.00_);[Red]\(0.00\)"/>
    <numFmt numFmtId="171" formatCode="0_);[Red]\(0\)"/>
  </numFmts>
  <fonts count="2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theme="5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3F3F3F"/>
      <name val="微软雅黑"/>
      <family val="2"/>
      <charset val="134"/>
    </font>
    <font>
      <sz val="12"/>
      <color theme="0"/>
      <name val="微软雅黑"/>
      <family val="2"/>
      <charset val="134"/>
    </font>
    <font>
      <b/>
      <sz val="18"/>
      <color rgb="FFC00000"/>
      <name val="微软雅黑"/>
      <family val="2"/>
      <charset val="134"/>
    </font>
    <font>
      <b/>
      <sz val="12"/>
      <color rgb="FFC00000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33" borderId="0" xfId="0" applyFont="1" applyFill="1">
      <alignment vertical="center"/>
    </xf>
    <xf numFmtId="0" fontId="21" fillId="33" borderId="0" xfId="0" applyFont="1" applyFill="1">
      <alignment vertical="center"/>
    </xf>
    <xf numFmtId="0" fontId="22" fillId="33" borderId="0" xfId="0" applyFont="1" applyFill="1" applyAlignment="1">
      <alignment horizontal="right" vertical="center"/>
    </xf>
    <xf numFmtId="0" fontId="22" fillId="33" borderId="0" xfId="0" applyFont="1" applyFill="1" applyAlignment="1">
      <alignment horizontal="center" vertical="center"/>
    </xf>
    <xf numFmtId="0" fontId="23" fillId="33" borderId="10" xfId="10" applyFont="1" applyFill="1" applyBorder="1" applyAlignment="1">
      <alignment horizontal="center" vertical="center"/>
    </xf>
    <xf numFmtId="0" fontId="21" fillId="33" borderId="11" xfId="10" applyFont="1" applyFill="1" applyBorder="1" applyAlignment="1">
      <alignment horizontal="center" vertical="center"/>
    </xf>
    <xf numFmtId="165" fontId="22" fillId="33" borderId="0" xfId="42" applyNumberFormat="1" applyFont="1" applyFill="1" applyAlignment="1">
      <alignment horizontal="right" vertical="center"/>
    </xf>
    <xf numFmtId="10" fontId="22" fillId="33" borderId="0" xfId="43" applyNumberFormat="1" applyFont="1" applyFill="1" applyAlignment="1">
      <alignment horizontal="right" vertical="center"/>
    </xf>
    <xf numFmtId="14" fontId="19" fillId="33" borderId="0" xfId="0" applyNumberFormat="1" applyFont="1" applyFill="1">
      <alignment vertical="center"/>
    </xf>
    <xf numFmtId="0" fontId="19" fillId="33" borderId="14" xfId="0" applyFont="1" applyFill="1" applyBorder="1">
      <alignment vertical="center"/>
    </xf>
    <xf numFmtId="165" fontId="19" fillId="33" borderId="15" xfId="42" applyNumberFormat="1" applyFont="1" applyFill="1" applyBorder="1">
      <alignment vertical="center"/>
    </xf>
    <xf numFmtId="166" fontId="22" fillId="33" borderId="0" xfId="43" applyNumberFormat="1" applyFont="1" applyFill="1" applyAlignment="1">
      <alignment horizontal="right" vertical="center"/>
    </xf>
    <xf numFmtId="10" fontId="22" fillId="33" borderId="0" xfId="0" applyNumberFormat="1" applyFont="1" applyFill="1" applyAlignment="1">
      <alignment horizontal="right" vertical="center"/>
    </xf>
    <xf numFmtId="10" fontId="19" fillId="33" borderId="0" xfId="43" applyNumberFormat="1" applyFont="1" applyFill="1">
      <alignment vertical="center"/>
    </xf>
    <xf numFmtId="0" fontId="21" fillId="33" borderId="16" xfId="0" applyFont="1" applyFill="1" applyBorder="1">
      <alignment vertical="center"/>
    </xf>
    <xf numFmtId="0" fontId="19" fillId="33" borderId="17" xfId="0" applyFont="1" applyFill="1" applyBorder="1">
      <alignment vertical="center"/>
    </xf>
    <xf numFmtId="0" fontId="19" fillId="33" borderId="18" xfId="0" applyFont="1" applyFill="1" applyBorder="1">
      <alignment vertical="center"/>
    </xf>
    <xf numFmtId="0" fontId="24" fillId="34" borderId="19" xfId="0" applyFont="1" applyFill="1" applyBorder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24" fillId="34" borderId="20" xfId="0" applyFont="1" applyFill="1" applyBorder="1" applyAlignment="1">
      <alignment horizontal="center" vertical="center"/>
    </xf>
    <xf numFmtId="14" fontId="19" fillId="33" borderId="19" xfId="0" applyNumberFormat="1" applyFont="1" applyFill="1" applyBorder="1" applyAlignment="1">
      <alignment horizontal="center" vertical="center"/>
    </xf>
    <xf numFmtId="167" fontId="19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0" fontId="19" fillId="33" borderId="0" xfId="43" applyNumberFormat="1" applyFont="1" applyFill="1" applyBorder="1" applyAlignment="1">
      <alignment horizontal="center" vertical="center"/>
    </xf>
    <xf numFmtId="2" fontId="19" fillId="33" borderId="20" xfId="0" applyNumberFormat="1" applyFont="1" applyFill="1" applyBorder="1" applyAlignment="1">
      <alignment horizontal="center" vertical="center"/>
    </xf>
    <xf numFmtId="14" fontId="19" fillId="33" borderId="21" xfId="0" applyNumberFormat="1" applyFont="1" applyFill="1" applyBorder="1" applyAlignment="1">
      <alignment horizontal="center" vertical="center"/>
    </xf>
    <xf numFmtId="167" fontId="19" fillId="33" borderId="22" xfId="0" applyNumberFormat="1" applyFont="1" applyFill="1" applyBorder="1" applyAlignment="1">
      <alignment horizontal="center" vertical="center"/>
    </xf>
    <xf numFmtId="0" fontId="19" fillId="33" borderId="22" xfId="0" applyFont="1" applyFill="1" applyBorder="1" applyAlignment="1">
      <alignment horizontal="center" vertical="center"/>
    </xf>
    <xf numFmtId="10" fontId="19" fillId="33" borderId="22" xfId="43" applyNumberFormat="1" applyFont="1" applyFill="1" applyBorder="1" applyAlignment="1">
      <alignment horizontal="center" vertical="center"/>
    </xf>
    <xf numFmtId="2" fontId="19" fillId="33" borderId="23" xfId="0" applyNumberFormat="1" applyFont="1" applyFill="1" applyBorder="1" applyAlignment="1">
      <alignment horizontal="center" vertical="center"/>
    </xf>
    <xf numFmtId="2" fontId="19" fillId="33" borderId="0" xfId="0" applyNumberFormat="1" applyFont="1" applyFill="1" applyAlignment="1">
      <alignment horizontal="center" vertical="center"/>
    </xf>
    <xf numFmtId="10" fontId="19" fillId="33" borderId="20" xfId="43" applyNumberFormat="1" applyFont="1" applyFill="1" applyBorder="1" applyAlignment="1">
      <alignment horizontal="center" vertical="center"/>
    </xf>
    <xf numFmtId="10" fontId="19" fillId="33" borderId="23" xfId="43" applyNumberFormat="1" applyFont="1" applyFill="1" applyBorder="1" applyAlignment="1">
      <alignment horizontal="center" vertical="center"/>
    </xf>
    <xf numFmtId="10" fontId="19" fillId="33" borderId="0" xfId="43" applyNumberFormat="1" applyFont="1" applyFill="1" applyAlignment="1">
      <alignment horizontal="center" vertical="center"/>
    </xf>
    <xf numFmtId="168" fontId="19" fillId="33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0" fillId="0" borderId="24" xfId="0" applyFill="1" applyBorder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64" fontId="0" fillId="0" borderId="0" xfId="42" applyFont="1" applyFill="1">
      <alignment vertical="center"/>
    </xf>
    <xf numFmtId="14" fontId="0" fillId="0" borderId="24" xfId="0" applyNumberFormat="1" applyFill="1" applyBorder="1" applyAlignment="1">
      <alignment horizontal="center" vertical="center"/>
    </xf>
    <xf numFmtId="170" fontId="0" fillId="0" borderId="0" xfId="0" applyNumberFormat="1" applyFill="1">
      <alignment vertical="center"/>
    </xf>
    <xf numFmtId="14" fontId="0" fillId="0" borderId="0" xfId="0" applyNumberFormat="1" applyFill="1" applyBorder="1" applyAlignment="1">
      <alignment horizontal="center" vertical="center"/>
    </xf>
    <xf numFmtId="169" fontId="0" fillId="0" borderId="24" xfId="0" applyNumberFormat="1" applyFill="1" applyBorder="1" applyAlignment="1">
      <alignment horizontal="center" vertical="center"/>
    </xf>
    <xf numFmtId="169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24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4" fontId="0" fillId="0" borderId="0" xfId="0" applyNumberFormat="1" applyFill="1">
      <alignment vertical="center"/>
    </xf>
    <xf numFmtId="10" fontId="0" fillId="0" borderId="24" xfId="43" applyNumberFormat="1" applyFont="1" applyFill="1" applyBorder="1" applyAlignment="1">
      <alignment horizontal="center" vertical="center"/>
    </xf>
    <xf numFmtId="14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10" fontId="0" fillId="0" borderId="24" xfId="43" applyNumberFormat="1" applyFont="1" applyFill="1" applyBorder="1">
      <alignment vertical="center"/>
    </xf>
    <xf numFmtId="14" fontId="0" fillId="0" borderId="0" xfId="0" applyNumberForma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64" fontId="19" fillId="33" borderId="0" xfId="0" applyNumberFormat="1" applyFont="1" applyFill="1">
      <alignment vertical="center"/>
    </xf>
    <xf numFmtId="171" fontId="19" fillId="33" borderId="0" xfId="0" applyNumberFormat="1" applyFont="1" applyFill="1" applyAlignment="1">
      <alignment horizontal="center" vertical="center"/>
    </xf>
    <xf numFmtId="171" fontId="19" fillId="33" borderId="22" xfId="0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10" fontId="0" fillId="0" borderId="0" xfId="0" applyNumberFormat="1" applyFill="1">
      <alignment vertical="center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4" xfId="0" applyNumberFormat="1" applyFill="1" applyBorder="1" applyAlignment="1">
      <alignment horizontal="center" vertical="center"/>
    </xf>
    <xf numFmtId="169" fontId="0" fillId="0" borderId="0" xfId="0" applyNumberFormat="1" applyFill="1" applyBorder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NumberFormat="1" applyFill="1">
      <alignment vertical="center"/>
    </xf>
    <xf numFmtId="2" fontId="0" fillId="0" borderId="0" xfId="0" applyNumberFormat="1" applyFill="1">
      <alignment vertical="center"/>
    </xf>
    <xf numFmtId="14" fontId="0" fillId="35" borderId="0" xfId="0" applyNumberFormat="1" applyFill="1">
      <alignment vertical="center"/>
    </xf>
    <xf numFmtId="14" fontId="19" fillId="0" borderId="0" xfId="0" applyNumberFormat="1" applyFont="1">
      <alignment vertical="center"/>
    </xf>
    <xf numFmtId="10" fontId="19" fillId="0" borderId="0" xfId="43" applyNumberFormat="1" applyFont="1">
      <alignment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14" fontId="20" fillId="33" borderId="0" xfId="0" applyNumberFormat="1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9" fontId="19" fillId="33" borderId="12" xfId="43" applyFont="1" applyFill="1" applyBorder="1" applyAlignment="1">
      <alignment horizontal="right" vertical="center"/>
    </xf>
    <xf numFmtId="9" fontId="19" fillId="33" borderId="13" xfId="43" applyFont="1" applyFill="1" applyBorder="1" applyAlignment="1">
      <alignment horizontal="right" vertical="center"/>
    </xf>
    <xf numFmtId="2" fontId="19" fillId="0" borderId="0" xfId="0" applyNumberFormat="1" applyFo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22" fillId="0" borderId="0" xfId="0" applyFont="1" applyAlignment="1">
      <alignment horizontal="right" vertical="center"/>
    </xf>
    <xf numFmtId="10" fontId="22" fillId="0" borderId="0" xfId="0" applyNumberFormat="1" applyFont="1" applyAlignment="1">
      <alignment horizontal="right" vertical="center"/>
    </xf>
    <xf numFmtId="10" fontId="22" fillId="0" borderId="0" xfId="43" applyNumberFormat="1" applyFont="1" applyAlignment="1">
      <alignment horizontal="right" vertical="center"/>
    </xf>
    <xf numFmtId="0" fontId="19" fillId="0" borderId="0" xfId="0" applyFont="1" applyBorder="1">
      <alignment vertical="center"/>
    </xf>
    <xf numFmtId="10" fontId="19" fillId="0" borderId="0" xfId="43" applyNumberFormat="1" applyFont="1" applyBorder="1">
      <alignment vertical="center"/>
    </xf>
    <xf numFmtId="0" fontId="19" fillId="0" borderId="10" xfId="0" applyFont="1" applyBorder="1">
      <alignment vertical="center"/>
    </xf>
    <xf numFmtId="0" fontId="19" fillId="0" borderId="11" xfId="0" applyFont="1" applyBorder="1">
      <alignment vertical="center"/>
    </xf>
    <xf numFmtId="0" fontId="19" fillId="0" borderId="12" xfId="0" applyFont="1" applyBorder="1">
      <alignment vertical="center"/>
    </xf>
    <xf numFmtId="10" fontId="19" fillId="0" borderId="13" xfId="43" applyNumberFormat="1" applyFont="1" applyBorder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26" fillId="0" borderId="10" xfId="0" applyFont="1" applyBorder="1">
      <alignment vertical="center"/>
    </xf>
    <xf numFmtId="0" fontId="19" fillId="0" borderId="28" xfId="0" applyFont="1" applyBorder="1">
      <alignment vertical="center"/>
    </xf>
    <xf numFmtId="14" fontId="19" fillId="0" borderId="12" xfId="0" applyNumberFormat="1" applyFont="1" applyBorder="1">
      <alignment vertical="center"/>
    </xf>
    <xf numFmtId="167" fontId="19" fillId="0" borderId="0" xfId="0" applyNumberFormat="1" applyFont="1" applyBorder="1">
      <alignment vertical="center"/>
    </xf>
    <xf numFmtId="2" fontId="19" fillId="0" borderId="13" xfId="0" applyNumberFormat="1" applyFont="1" applyBorder="1">
      <alignment vertical="center"/>
    </xf>
    <xf numFmtId="14" fontId="19" fillId="0" borderId="14" xfId="0" applyNumberFormat="1" applyFont="1" applyBorder="1">
      <alignment vertical="center"/>
    </xf>
    <xf numFmtId="167" fontId="19" fillId="0" borderId="29" xfId="0" applyNumberFormat="1" applyFont="1" applyBorder="1">
      <alignment vertical="center"/>
    </xf>
    <xf numFmtId="0" fontId="19" fillId="0" borderId="29" xfId="0" applyFont="1" applyBorder="1">
      <alignment vertical="center"/>
    </xf>
    <xf numFmtId="10" fontId="19" fillId="0" borderId="29" xfId="43" applyNumberFormat="1" applyFont="1" applyBorder="1">
      <alignment vertical="center"/>
    </xf>
    <xf numFmtId="2" fontId="19" fillId="0" borderId="15" xfId="0" applyNumberFormat="1" applyFont="1" applyBorder="1">
      <alignment vertical="center"/>
    </xf>
    <xf numFmtId="10" fontId="19" fillId="0" borderId="15" xfId="43" applyNumberFormat="1" applyFont="1" applyBorder="1">
      <alignment vertical="center"/>
    </xf>
    <xf numFmtId="0" fontId="22" fillId="0" borderId="0" xfId="43" applyNumberFormat="1" applyFont="1" applyAlignment="1">
      <alignment horizontal="right" vertical="center"/>
    </xf>
    <xf numFmtId="0" fontId="19" fillId="0" borderId="27" xfId="0" applyFont="1" applyBorder="1">
      <alignment vertical="center"/>
    </xf>
    <xf numFmtId="10" fontId="19" fillId="0" borderId="30" xfId="43" applyNumberFormat="1" applyFont="1" applyBorder="1" applyAlignment="1">
      <alignment horizontal="center" vertical="center"/>
    </xf>
    <xf numFmtId="10" fontId="19" fillId="0" borderId="31" xfId="43" applyNumberFormat="1" applyFont="1" applyBorder="1" applyAlignment="1">
      <alignment horizontal="center" vertical="center"/>
    </xf>
    <xf numFmtId="0" fontId="19" fillId="34" borderId="12" xfId="0" applyFont="1" applyFill="1" applyBorder="1">
      <alignment vertical="center"/>
    </xf>
    <xf numFmtId="0" fontId="19" fillId="34" borderId="0" xfId="0" applyFont="1" applyFill="1" applyBorder="1">
      <alignment vertical="center"/>
    </xf>
    <xf numFmtId="10" fontId="19" fillId="34" borderId="0" xfId="43" applyNumberFormat="1" applyFont="1" applyFill="1" applyBorder="1">
      <alignment vertical="center"/>
    </xf>
    <xf numFmtId="0" fontId="19" fillId="34" borderId="13" xfId="0" applyFont="1" applyFill="1" applyBorder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b/>
        <i val="0"/>
        <u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u/>
        <color auto="1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22CC330C-B7F0-42F4-8AC8-1BD42B770C12}">
      <tableStyleElement type="wholeTable" dxfId="34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 diagonalUp="0" diagonalDown="0"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[戴师兄数据分析启蒙课_Excel练习.xlsx]数据透视图表-完成版!数据透视表4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655536"/>
        <c:axId val="782657776"/>
      </c:barChart>
      <c:lineChart>
        <c:grouping val="standard"/>
        <c:varyColors val="0"/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55536"/>
        <c:axId val="782657776"/>
      </c:lineChart>
      <c:catAx>
        <c:axId val="7826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57776"/>
        <c:crosses val="autoZero"/>
        <c:auto val="1"/>
        <c:lblAlgn val="ctr"/>
        <c:lblOffset val="100"/>
        <c:noMultiLvlLbl val="0"/>
      </c:catAx>
      <c:valAx>
        <c:axId val="782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[戴师兄数据分析启蒙课_Excel练习.xlsx]数据透视图表-完成版!数据透视表4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E-4435-A9FC-DDFF9BACA98B}"/>
            </c:ext>
          </c:extLst>
        </c:ser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E-4435-A9FC-DDFF9BAC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95544"/>
        <c:axId val="742294584"/>
      </c:lineChart>
      <c:catAx>
        <c:axId val="742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94584"/>
        <c:crosses val="autoZero"/>
        <c:auto val="1"/>
        <c:lblAlgn val="ctr"/>
        <c:lblOffset val="100"/>
        <c:noMultiLvlLbl val="0"/>
      </c:catAx>
      <c:valAx>
        <c:axId val="7422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1628775</xdr:colOff>
      <xdr:row>0</xdr:row>
      <xdr:rowOff>171450</xdr:rowOff>
    </xdr:from>
    <xdr:to>
      <xdr:col>6</xdr:col>
      <xdr:colOff>333375</xdr:colOff>
      <xdr:row>13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 1">
              <a:extLst>
                <a:ext uri="{FF2B5EF4-FFF2-40B4-BE49-F238E27FC236}">
                  <a16:creationId xmlns:a16="http://schemas.microsoft.com/office/drawing/2014/main" id="{B9F7D232-F71C-4BA9-AF97-92D44D322A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0225" y="1714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152400</xdr:rowOff>
    </xdr:from>
    <xdr:to>
      <xdr:col>6</xdr:col>
      <xdr:colOff>361950</xdr:colOff>
      <xdr:row>47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5623B3-7062-44D9-BB55-FAF1DFAF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15</xdr:row>
      <xdr:rowOff>133350</xdr:rowOff>
    </xdr:from>
    <xdr:to>
      <xdr:col>10</xdr:col>
      <xdr:colOff>533400</xdr:colOff>
      <xdr:row>30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2ABE736-9F7E-4E3F-B38A-DB2A82B7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487788541664" createdVersion="7" refreshedVersion="7" minRefreshableVersion="3" recordCount="561" xr:uid="{0FC914EC-7049-4184-9111-D3D352F9A85E}">
  <cacheSource type="worksheet">
    <worksheetSource ref="A1:X562" sheet="拌客源数据1-8月"/>
  </cacheSource>
  <cacheFields count="30">
    <cacheField name="日期" numFmtId="14">
      <sharedItems containsSemiMixedTypes="0" containsNonDate="0" containsDate="1" containsString="0" minDate="2020-01-01T00:00:00" maxDate="2020-09-0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24" base="0">
        <rangePr groupBy="days" startDate="2020-01-01T00:00:00" endDate="2020-09-01T00:00:00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/>
    </cacheField>
    <cacheField name="平台" numFmtId="0">
      <sharedItems/>
    </cacheField>
    <cacheField name="平台i" numFmtId="0">
      <sharedItems count="2">
        <s v="饿了么"/>
        <s v="美团"/>
      </sharedItems>
    </cacheField>
    <cacheField name="平台门店名称" numFmtId="0">
      <sharedItems/>
    </cacheField>
    <cacheField name="GMV" numFmtId="0">
      <sharedItems containsSemiMixedTypes="0" containsString="0" containsNumber="1" minValue="0" maxValue="11012.76"/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  <cacheField name="月" numFmtId="0" databaseField="0">
      <fieldGroup base="0">
        <rangePr groupBy="months" startDate="2020-01-01T00:00:00" endDate="2020-09-01T00:00:00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 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80757781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674458796297" createdVersion="7" refreshedVersion="7" minRefreshableVersion="3" recordCount="8" xr:uid="{1FE6FBB3-CCE5-4ACE-9A3E-E427D01BD665}">
  <cacheSource type="worksheet">
    <worksheetSource ref="S95:U103" sheet="常用函数-完成版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2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lin wang" refreshedDate="44560.689922800928" createdVersion="7" refreshedVersion="7" minRefreshableVersion="3" recordCount="8" xr:uid="{0DC98FB5-32FA-4E09-84A6-D93617F486B3}">
  <cacheSource type="worksheet">
    <worksheetSource ref="S95:U103" sheet="常用函数-练习版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lin wang" refreshedDate="44560.692271643522" createdVersion="7" refreshedVersion="7" minRefreshableVersion="3" recordCount="561" xr:uid="{410B096A-867A-4477-86B7-23EB2400C8EE}">
  <cacheSource type="worksheet">
    <worksheetSource ref="A1:X562" sheet="拌客源数据备份"/>
  </cacheSource>
  <cacheFields count="24">
    <cacheField name="日期" numFmtId="14">
      <sharedItems containsSemiMixedTypes="0" containsNonDate="0" containsDate="1" containsString="0" minDate="2020-01-01T00:00:00" maxDate="2020-09-01T00:00:00"/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/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/>
    </cacheField>
    <cacheField name="城市" numFmtId="0">
      <sharedItems/>
    </cacheField>
    <cacheField name="平台" numFmtId="0">
      <sharedItems/>
    </cacheField>
    <cacheField name="平台i" numFmtId="0">
      <sharedItems/>
    </cacheField>
    <cacheField name="平台门店名称" numFmtId="0">
      <sharedItems/>
    </cacheField>
    <cacheField name="GMV" numFmtId="0">
      <sharedItems containsSemiMixedTypes="0" containsString="0" containsNumber="1" minValue="0" maxValue="11012.76"/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n v="4636"/>
    <x v="0"/>
    <x v="0"/>
    <x v="0"/>
    <s v="上海"/>
    <s v="eleme"/>
    <x v="0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s v="上海"/>
    <s v="meituan"/>
    <x v="1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s v="上海"/>
    <s v="eleme"/>
    <x v="0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s v="上海"/>
    <s v="eleme"/>
    <x v="0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s v="上海"/>
    <s v="eleme"/>
    <x v="0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s v="上海"/>
    <s v="meituan"/>
    <x v="1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s v="上海"/>
    <s v="eleme"/>
    <x v="0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s v="上海"/>
    <s v="eleme"/>
    <x v="0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s v="上海"/>
    <s v="eleme"/>
    <x v="0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s v="上海"/>
    <s v="eleme"/>
    <x v="0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s v="上海"/>
    <s v="eleme"/>
    <x v="0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s v="上海"/>
    <s v="eleme"/>
    <x v="0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s v="上海"/>
    <s v="meituan"/>
    <x v="1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s v="上海"/>
    <s v="eleme"/>
    <x v="0"/>
    <s v="蛙小辣火锅杯(龙阳广场店)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s v="上海"/>
    <s v="eleme"/>
    <x v="0"/>
    <s v="蛙小辣火锅杯(五角场店)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s v="上海"/>
    <s v="eleme"/>
    <x v="0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s v="上海"/>
    <s v="eleme"/>
    <x v="0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s v="上海"/>
    <s v="eleme"/>
    <x v="0"/>
    <s v="蛙小辣·美蛙火锅杯(宝山店)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s v="上海"/>
    <s v="eleme"/>
    <x v="0"/>
    <s v="蛙小辣火锅杯(五角场店)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s v="上海"/>
    <s v="eleme"/>
    <x v="0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s v="上海"/>
    <s v="eleme"/>
    <x v="0"/>
    <s v="蛙小辣·美蛙火锅杯(宝山店)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s v="上海"/>
    <s v="eleme"/>
    <x v="0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s v="上海"/>
    <s v="eleme"/>
    <x v="0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s v="上海"/>
    <s v="eleme"/>
    <x v="0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s v="上海"/>
    <s v="eleme"/>
    <x v="0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s v="上海"/>
    <s v="eleme"/>
    <x v="0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s v="上海"/>
    <s v="eleme"/>
    <x v="0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s v="上海"/>
    <s v="eleme"/>
    <x v="0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s v="上海"/>
    <s v="eleme"/>
    <x v="0"/>
    <s v="蛙小辣·美蛙火锅杯(宝山店)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s v="上海"/>
    <s v="eleme"/>
    <x v="0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s v="上海"/>
    <s v="eleme"/>
    <x v="0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s v="上海"/>
    <s v="eleme"/>
    <x v="0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s v="上海"/>
    <s v="eleme"/>
    <x v="0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s v="上海"/>
    <s v="eleme"/>
    <x v="0"/>
    <s v="蛙小辣·美蛙火锅杯(宝山店)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s v="上海"/>
    <s v="eleme"/>
    <x v="0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s v="上海"/>
    <s v="eleme"/>
    <x v="0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s v="上海"/>
    <s v="eleme"/>
    <x v="0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s v="上海"/>
    <s v="eleme"/>
    <x v="0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s v="上海"/>
    <s v="eleme"/>
    <x v="0"/>
    <s v="蛙小辣·美蛙火锅杯(宝山店)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s v="上海"/>
    <s v="eleme"/>
    <x v="0"/>
    <s v="蛙小辣·美蛙火锅杯(宝山店)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s v="上海"/>
    <s v="eleme"/>
    <x v="0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s v="上海"/>
    <s v="eleme"/>
    <x v="0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s v="上海"/>
    <s v="eleme"/>
    <x v="0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s v="上海"/>
    <s v="eleme"/>
    <x v="0"/>
    <s v="蛙小辣·美蛙火锅杯(宝山店)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s v="上海"/>
    <s v="meituan"/>
    <x v="1"/>
    <s v="蛙小辣·美蛙火锅杯（长风大悦城店）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x v="31"/>
    <n v="4636"/>
    <x v="0"/>
    <x v="0"/>
    <x v="0"/>
    <s v="上海"/>
    <s v="eleme"/>
    <x v="0"/>
    <s v="蛙小辣·美蛙火锅杯(宝山店)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s v="上海"/>
    <s v="meituan"/>
    <x v="1"/>
    <s v="蛙小辣·美蛙火锅杯（长风大悦城店）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s v="上海"/>
    <s v="eleme"/>
    <x v="0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s v="上海"/>
    <s v="meituan"/>
    <x v="1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s v="上海"/>
    <s v="eleme"/>
    <x v="0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s v="上海"/>
    <s v="meituan"/>
    <x v="1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s v="上海"/>
    <s v="eleme"/>
    <x v="0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s v="上海"/>
    <s v="eleme"/>
    <x v="0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s v="上海"/>
    <s v="eleme"/>
    <x v="0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s v="上海"/>
    <s v="eleme"/>
    <x v="0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s v="上海"/>
    <s v="meituan"/>
    <x v="1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s v="上海"/>
    <s v="eleme"/>
    <x v="0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s v="上海"/>
    <s v="meituan"/>
    <x v="1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s v="上海"/>
    <s v="eleme"/>
    <x v="0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s v="上海"/>
    <s v="meituan"/>
    <x v="1"/>
    <s v="蛙小辣火锅杯（宝山店）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s v="上海"/>
    <s v="eleme"/>
    <x v="0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s v="上海"/>
    <s v="meituan"/>
    <x v="1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s v="上海"/>
    <s v="meituan"/>
    <x v="1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s v="上海"/>
    <s v="eleme"/>
    <x v="0"/>
    <s v="蛙小辣火锅杯(五角场店)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s v="上海"/>
    <s v="eleme"/>
    <x v="0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s v="上海"/>
    <s v="meituan"/>
    <x v="1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s v="上海"/>
    <s v="meituan"/>
    <x v="1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s v="上海"/>
    <s v="eleme"/>
    <x v="0"/>
    <s v="蛙小辣火锅杯(五角场店)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x v="42"/>
    <n v="4636"/>
    <x v="0"/>
    <x v="0"/>
    <x v="0"/>
    <s v="上海"/>
    <s v="eleme"/>
    <x v="0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s v="上海"/>
    <s v="meituan"/>
    <x v="1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s v="上海"/>
    <s v="eleme"/>
    <x v="0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s v="上海"/>
    <s v="meituan"/>
    <x v="1"/>
    <s v="蛙小辣火锅杯（五角场店）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x v="43"/>
    <n v="4636"/>
    <x v="0"/>
    <x v="0"/>
    <x v="0"/>
    <s v="上海"/>
    <s v="eleme"/>
    <x v="0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s v="上海"/>
    <s v="meituan"/>
    <x v="1"/>
    <s v="蛙小辣火锅杯（宝山店）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s v="上海"/>
    <s v="eleme"/>
    <x v="0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s v="上海"/>
    <s v="meituan"/>
    <x v="1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s v="上海"/>
    <s v="eleme"/>
    <x v="0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s v="上海"/>
    <s v="meituan"/>
    <x v="1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s v="上海"/>
    <s v="eleme"/>
    <x v="0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s v="上海"/>
    <s v="meituan"/>
    <x v="1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s v="上海"/>
    <s v="eleme"/>
    <x v="0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s v="上海"/>
    <s v="meituan"/>
    <x v="1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s v="上海"/>
    <s v="eleme"/>
    <x v="0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s v="上海"/>
    <s v="meituan"/>
    <x v="1"/>
    <s v="蛙小辣火锅杯（宝山店）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x v="49"/>
    <n v="4636"/>
    <x v="0"/>
    <x v="0"/>
    <x v="0"/>
    <s v="上海"/>
    <s v="eleme"/>
    <x v="0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s v="上海"/>
    <s v="meituan"/>
    <x v="1"/>
    <s v="蛙小辣火锅杯（宝山店）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x v="50"/>
    <n v="4636"/>
    <x v="0"/>
    <x v="0"/>
    <x v="0"/>
    <s v="上海"/>
    <s v="eleme"/>
    <x v="0"/>
    <s v="蛙小辣·美蛙火锅杯(宝山店)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s v="上海"/>
    <s v="meituan"/>
    <x v="1"/>
    <s v="蛙小辣火锅杯（宝山店）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s v="上海"/>
    <s v="eleme"/>
    <x v="0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s v="上海"/>
    <s v="meituan"/>
    <x v="1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s v="上海"/>
    <s v="meituan"/>
    <x v="1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s v="上海"/>
    <s v="eleme"/>
    <x v="0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s v="上海"/>
    <s v="eleme"/>
    <x v="0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s v="上海"/>
    <s v="eleme"/>
    <x v="0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s v="上海"/>
    <s v="meituan"/>
    <x v="1"/>
    <s v="蛙小辣火锅杯（五角场店）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x v="53"/>
    <n v="4636"/>
    <x v="0"/>
    <x v="0"/>
    <x v="0"/>
    <s v="上海"/>
    <s v="eleme"/>
    <x v="0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s v="上海"/>
    <s v="meituan"/>
    <x v="1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s v="上海"/>
    <s v="eleme"/>
    <x v="0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s v="上海"/>
    <s v="eleme"/>
    <x v="0"/>
    <s v="蛙小辣·美蛙火锅杯(宝山店)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s v="上海"/>
    <s v="meituan"/>
    <x v="1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s v="上海"/>
    <s v="meituan"/>
    <x v="1"/>
    <s v="蛙小辣火锅杯（五角场店）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s v="上海"/>
    <s v="eleme"/>
    <x v="0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s v="上海"/>
    <s v="eleme"/>
    <x v="0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s v="上海"/>
    <s v="meituan"/>
    <x v="1"/>
    <s v="蛙小辣火锅杯（宝山店）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x v="55"/>
    <n v="4636"/>
    <x v="0"/>
    <x v="1"/>
    <x v="1"/>
    <s v="上海"/>
    <s v="meituan"/>
    <x v="1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s v="上海"/>
    <s v="eleme"/>
    <x v="0"/>
    <s v="蛙小辣火锅杯(五角场店)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s v="上海"/>
    <s v="eleme"/>
    <x v="0"/>
    <s v="蛙小辣·美蛙火锅杯(宝山店)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s v="上海"/>
    <s v="meituan"/>
    <x v="1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s v="上海"/>
    <s v="meituan"/>
    <x v="1"/>
    <s v="蛙小辣火锅杯（五角场店）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s v="上海"/>
    <s v="eleme"/>
    <x v="0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s v="上海"/>
    <s v="eleme"/>
    <x v="0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s v="上海"/>
    <s v="meituan"/>
    <x v="1"/>
    <s v="蛙小辣火锅杯（宝山店）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s v="上海"/>
    <s v="eleme"/>
    <x v="0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s v="上海"/>
    <s v="eleme"/>
    <x v="0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s v="上海"/>
    <s v="meituan"/>
    <x v="1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s v="上海"/>
    <s v="eleme"/>
    <x v="0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s v="上海"/>
    <s v="eleme"/>
    <x v="0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s v="上海"/>
    <s v="meituan"/>
    <x v="1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s v="上海"/>
    <s v="eleme"/>
    <x v="0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s v="上海"/>
    <s v="eleme"/>
    <x v="0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s v="上海"/>
    <s v="meituan"/>
    <x v="1"/>
    <s v="蛙小辣火锅杯（宝山店）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s v="上海"/>
    <s v="eleme"/>
    <x v="0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s v="上海"/>
    <s v="meituan"/>
    <x v="1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s v="上海"/>
    <s v="meituan"/>
    <x v="1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s v="上海"/>
    <s v="eleme"/>
    <x v="0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s v="上海"/>
    <s v="meituan"/>
    <x v="1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s v="上海"/>
    <s v="eleme"/>
    <x v="0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s v="上海"/>
    <s v="meituan"/>
    <x v="1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s v="上海"/>
    <s v="eleme"/>
    <x v="0"/>
    <s v="蛙小辣火锅杯(五角场店)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x v="64"/>
    <n v="4636"/>
    <x v="0"/>
    <x v="1"/>
    <x v="1"/>
    <s v="上海"/>
    <s v="meituan"/>
    <x v="1"/>
    <s v="蛙小辣火锅杯（五角场店）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x v="65"/>
    <n v="4636"/>
    <x v="0"/>
    <x v="0"/>
    <x v="0"/>
    <s v="上海"/>
    <s v="eleme"/>
    <x v="0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s v="上海"/>
    <s v="meituan"/>
    <x v="1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s v="上海"/>
    <s v="eleme"/>
    <x v="0"/>
    <s v="蛙小辣火锅杯(五角场店)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x v="66"/>
    <n v="4636"/>
    <x v="0"/>
    <x v="0"/>
    <x v="0"/>
    <s v="上海"/>
    <s v="eleme"/>
    <x v="0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s v="上海"/>
    <s v="meituan"/>
    <x v="1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s v="上海"/>
    <s v="eleme"/>
    <x v="0"/>
    <s v="蛙小辣火锅杯(五角场店)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x v="67"/>
    <n v="4636"/>
    <x v="0"/>
    <x v="0"/>
    <x v="0"/>
    <s v="上海"/>
    <s v="eleme"/>
    <x v="0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s v="上海"/>
    <s v="meituan"/>
    <x v="1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s v="上海"/>
    <s v="eleme"/>
    <x v="0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s v="上海"/>
    <s v="eleme"/>
    <x v="0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s v="上海"/>
    <s v="meituan"/>
    <x v="1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s v="上海"/>
    <s v="eleme"/>
    <x v="0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s v="上海"/>
    <s v="eleme"/>
    <x v="0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s v="上海"/>
    <s v="eleme"/>
    <x v="0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s v="上海"/>
    <s v="meituan"/>
    <x v="1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s v="上海"/>
    <s v="eleme"/>
    <x v="0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s v="上海"/>
    <s v="eleme"/>
    <x v="0"/>
    <s v="蛙小辣·美蛙火锅杯(五角场店)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s v="上海"/>
    <s v="meituan"/>
    <x v="1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s v="上海"/>
    <s v="eleme"/>
    <x v="0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s v="上海"/>
    <s v="eleme"/>
    <x v="0"/>
    <s v="蛙小辣·美蛙火锅杯(五角场店)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s v="上海"/>
    <s v="meituan"/>
    <x v="1"/>
    <s v="蛙小辣火锅杯（宝山店）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x v="72"/>
    <n v="4636"/>
    <x v="0"/>
    <x v="0"/>
    <x v="0"/>
    <s v="上海"/>
    <s v="eleme"/>
    <x v="0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s v="上海"/>
    <s v="eleme"/>
    <x v="0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s v="上海"/>
    <s v="meituan"/>
    <x v="1"/>
    <s v="蛙小辣火锅杯（宝山店）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s v="上海"/>
    <s v="eleme"/>
    <x v="0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s v="上海"/>
    <s v="eleme"/>
    <x v="0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s v="上海"/>
    <s v="meituan"/>
    <x v="1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s v="上海"/>
    <s v="eleme"/>
    <x v="0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s v="上海"/>
    <s v="eleme"/>
    <x v="0"/>
    <s v="蛙小辣·美蛙火锅杯麻辣烫(宝山店)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x v="74"/>
    <n v="4636"/>
    <x v="0"/>
    <x v="5"/>
    <x v="0"/>
    <s v="上海"/>
    <s v="meituan"/>
    <x v="1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s v="上海"/>
    <s v="eleme"/>
    <x v="0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s v="上海"/>
    <s v="eleme"/>
    <x v="0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s v="上海"/>
    <s v="meituan"/>
    <x v="1"/>
    <s v="蛙小辣火锅杯（宝山店）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s v="上海"/>
    <s v="eleme"/>
    <x v="0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s v="上海"/>
    <s v="eleme"/>
    <x v="0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s v="上海"/>
    <s v="meituan"/>
    <x v="1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s v="上海"/>
    <s v="eleme"/>
    <x v="0"/>
    <s v="蛙小辣·美蛙火锅杯(五角场店)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x v="77"/>
    <n v="4636"/>
    <x v="0"/>
    <x v="0"/>
    <x v="0"/>
    <s v="上海"/>
    <s v="eleme"/>
    <x v="0"/>
    <s v="蛙小辣·美蛙火锅杯麻辣烫(宝山店)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s v="上海"/>
    <s v="meituan"/>
    <x v="1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s v="上海"/>
    <s v="eleme"/>
    <x v="0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s v="上海"/>
    <s v="eleme"/>
    <x v="0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s v="上海"/>
    <s v="meituan"/>
    <x v="1"/>
    <s v="蛙小辣火锅杯（宝山店）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s v="上海"/>
    <s v="eleme"/>
    <x v="0"/>
    <s v="蛙小辣·美蛙火锅杯麻辣烫(宝山店)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s v="上海"/>
    <s v="eleme"/>
    <x v="0"/>
    <s v="蛙小辣·美蛙火锅杯麻辣烫(五角场店)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x v="79"/>
    <n v="4636"/>
    <x v="0"/>
    <x v="5"/>
    <x v="0"/>
    <s v="上海"/>
    <s v="meituan"/>
    <x v="1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s v="上海"/>
    <s v="eleme"/>
    <x v="0"/>
    <s v="蛙小辣·美蛙火锅杯麻辣烫(宝山店)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s v="上海"/>
    <s v="eleme"/>
    <x v="0"/>
    <s v="蛙小辣·美蛙火锅杯麻辣烫(五角场店)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x v="80"/>
    <n v="4636"/>
    <x v="0"/>
    <x v="5"/>
    <x v="0"/>
    <s v="上海"/>
    <s v="meituan"/>
    <x v="1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s v="上海"/>
    <s v="eleme"/>
    <x v="0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s v="上海"/>
    <s v="eleme"/>
    <x v="0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s v="上海"/>
    <s v="meituan"/>
    <x v="1"/>
    <s v="蛙小辣火锅杯（宝山店）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s v="上海"/>
    <s v="eleme"/>
    <x v="0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s v="上海"/>
    <s v="eleme"/>
    <x v="0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s v="上海"/>
    <s v="meituan"/>
    <x v="1"/>
    <s v="蛙小辣火锅杯（宝山店）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s v="上海"/>
    <s v="meituan"/>
    <x v="1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s v="上海"/>
    <s v="eleme"/>
    <x v="0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s v="上海"/>
    <s v="eleme"/>
    <x v="0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s v="上海"/>
    <s v="meituan"/>
    <x v="1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s v="上海"/>
    <s v="meituan"/>
    <x v="1"/>
    <s v="蛙小辣火锅杯（五角场店）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s v="上海"/>
    <s v="eleme"/>
    <x v="0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s v="上海"/>
    <s v="eleme"/>
    <x v="0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s v="上海"/>
    <s v="meituan"/>
    <x v="1"/>
    <s v="蛙小辣火锅杯（宝山店）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s v="上海"/>
    <s v="meituan"/>
    <x v="1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s v="上海"/>
    <s v="eleme"/>
    <x v="0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s v="上海"/>
    <s v="meituan"/>
    <x v="1"/>
    <s v="蛙小辣·美蛙火锅杯麻辣烫（五角场店）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s v="上海"/>
    <s v="eleme"/>
    <x v="0"/>
    <s v="蛙小辣·美蛙火锅杯麻辣烫(五角场店)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s v="上海"/>
    <s v="meituan"/>
    <x v="1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s v="上海"/>
    <s v="eleme"/>
    <x v="0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s v="上海"/>
    <s v="eleme"/>
    <x v="0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s v="上海"/>
    <s v="meituan"/>
    <x v="1"/>
    <s v="蛙小辣火锅杯（宝山店）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s v="上海"/>
    <s v="eleme"/>
    <x v="0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s v="上海"/>
    <s v="eleme"/>
    <x v="0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s v="上海"/>
    <s v="meituan"/>
    <x v="1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s v="上海"/>
    <s v="eleme"/>
    <x v="0"/>
    <s v="蛙小辣·美蛙火锅杯麻辣烫(宝山店)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s v="上海"/>
    <s v="meituan"/>
    <x v="1"/>
    <s v="蛙小辣火锅杯（宝山店）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x v="89"/>
    <n v="4636"/>
    <x v="0"/>
    <x v="0"/>
    <x v="0"/>
    <s v="上海"/>
    <s v="eleme"/>
    <x v="0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s v="上海"/>
    <s v="eleme"/>
    <x v="0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s v="上海"/>
    <s v="meituan"/>
    <x v="1"/>
    <s v="蛙小辣火锅杯（宝山店）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s v="上海"/>
    <s v="eleme"/>
    <x v="0"/>
    <s v="蛙小辣·美蛙火锅杯麻辣烫(宝山店)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s v="上海"/>
    <s v="eleme"/>
    <x v="0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s v="上海"/>
    <s v="meituan"/>
    <x v="1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s v="上海"/>
    <s v="eleme"/>
    <x v="0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s v="上海"/>
    <s v="eleme"/>
    <x v="0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s v="上海"/>
    <s v="meituan"/>
    <x v="1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s v="上海"/>
    <s v="eleme"/>
    <x v="0"/>
    <s v="蛙小辣·美蛙火锅杯麻辣烫(宝山店)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s v="上海"/>
    <s v="eleme"/>
    <x v="0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s v="上海"/>
    <s v="meituan"/>
    <x v="1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s v="上海"/>
    <s v="eleme"/>
    <x v="0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s v="上海"/>
    <s v="eleme"/>
    <x v="0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s v="上海"/>
    <s v="meituan"/>
    <x v="1"/>
    <s v="蛙小辣火锅杯（宝山店）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x v="94"/>
    <n v="4636"/>
    <x v="0"/>
    <x v="0"/>
    <x v="0"/>
    <s v="上海"/>
    <s v="eleme"/>
    <x v="0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s v="上海"/>
    <s v="meituan"/>
    <x v="1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s v="上海"/>
    <s v="eleme"/>
    <x v="0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s v="上海"/>
    <s v="meituan"/>
    <x v="1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s v="上海"/>
    <s v="eleme"/>
    <x v="0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s v="上海"/>
    <s v="meituan"/>
    <x v="1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s v="上海"/>
    <s v="eleme"/>
    <x v="0"/>
    <s v="蛙小辣·美蛙火锅杯麻辣烫(宝山店)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x v="97"/>
    <n v="4636"/>
    <x v="0"/>
    <x v="5"/>
    <x v="0"/>
    <s v="上海"/>
    <s v="meituan"/>
    <x v="1"/>
    <s v="蛙小辣火锅杯（宝山店）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s v="上海"/>
    <s v="eleme"/>
    <x v="0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s v="上海"/>
    <s v="eleme"/>
    <x v="0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s v="上海"/>
    <s v="eleme"/>
    <x v="0"/>
    <s v="蛙小辣·美蛙火锅杯麻辣烫(宝山店)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s v="上海"/>
    <s v="eleme"/>
    <x v="0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s v="上海"/>
    <s v="eleme"/>
    <x v="0"/>
    <s v="拌客干拌麻辣烫(武宁路店)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s v="上海"/>
    <s v="eleme"/>
    <x v="0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0"/>
    <n v="0"/>
    <n v="0"/>
    <n v="80.989999999999995"/>
    <n v="1528"/>
    <n v="60"/>
    <n v="854"/>
    <n v="56"/>
  </r>
  <r>
    <x v="103"/>
    <n v="6108"/>
    <x v="1"/>
    <x v="6"/>
    <x v="4"/>
    <s v="上海"/>
    <s v="eleme"/>
    <x v="0"/>
    <s v="拌客干拌麻辣烫(武宁路店)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s v="上海"/>
    <s v="eleme"/>
    <x v="0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s v="上海"/>
    <s v="meituan"/>
    <x v="1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s v="上海"/>
    <s v="eleme"/>
    <x v="0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s v="上海"/>
    <s v="eleme"/>
    <x v="0"/>
    <s v="蛙小辣·美蛙火锅杯麻辣烫(宝山店)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x v="104"/>
    <n v="4636"/>
    <x v="0"/>
    <x v="5"/>
    <x v="0"/>
    <s v="上海"/>
    <s v="meituan"/>
    <x v="1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s v="上海"/>
    <s v="eleme"/>
    <x v="0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s v="上海"/>
    <s v="eleme"/>
    <x v="0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s v="上海"/>
    <s v="meituan"/>
    <x v="1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s v="上海"/>
    <s v="eleme"/>
    <x v="0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s v="上海"/>
    <s v="eleme"/>
    <x v="0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s v="上海"/>
    <s v="meituan"/>
    <x v="1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s v="上海"/>
    <s v="eleme"/>
    <x v="0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s v="上海"/>
    <s v="eleme"/>
    <x v="0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s v="上海"/>
    <s v="meituan"/>
    <x v="1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s v="上海"/>
    <s v="eleme"/>
    <x v="0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s v="上海"/>
    <s v="eleme"/>
    <x v="0"/>
    <s v="蛙小辣·美蛙火锅杯麻辣烫(宝山店)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s v="上海"/>
    <s v="meituan"/>
    <x v="1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s v="上海"/>
    <s v="eleme"/>
    <x v="0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s v="上海"/>
    <s v="eleme"/>
    <x v="0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s v="上海"/>
    <s v="meituan"/>
    <x v="1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s v="上海"/>
    <s v="eleme"/>
    <x v="0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s v="上海"/>
    <s v="eleme"/>
    <x v="0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s v="上海"/>
    <s v="meituan"/>
    <x v="1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s v="上海"/>
    <s v="eleme"/>
    <x v="0"/>
    <s v="拌客·干拌麻辣烫(武宁路店)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s v="上海"/>
    <s v="eleme"/>
    <x v="0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s v="上海"/>
    <s v="meituan"/>
    <x v="1"/>
    <s v="蛙小辣火锅杯（宝山店）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s v="上海"/>
    <s v="eleme"/>
    <x v="0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s v="上海"/>
    <s v="eleme"/>
    <x v="0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s v="上海"/>
    <s v="meituan"/>
    <x v="1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s v="上海"/>
    <s v="eleme"/>
    <x v="0"/>
    <s v="拌客·干拌麻辣烫(武宁路店)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s v="上海"/>
    <s v="eleme"/>
    <x v="0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s v="上海"/>
    <s v="meituan"/>
    <x v="1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s v="上海"/>
    <s v="eleme"/>
    <x v="0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s v="上海"/>
    <s v="eleme"/>
    <x v="0"/>
    <s v="蛙小辣·美蛙火锅杯麻辣烫(宝山店)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s v="上海"/>
    <s v="meituan"/>
    <x v="1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s v="上海"/>
    <s v="eleme"/>
    <x v="0"/>
    <s v="拌客·干拌麻辣烫(武宁路店)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s v="上海"/>
    <s v="eleme"/>
    <x v="0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s v="上海"/>
    <s v="meituan"/>
    <x v="1"/>
    <s v="蛙小辣火锅杯（宝山店）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s v="上海"/>
    <s v="eleme"/>
    <x v="0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s v="上海"/>
    <s v="eleme"/>
    <x v="0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s v="上海"/>
    <s v="meituan"/>
    <x v="1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s v="上海"/>
    <s v="eleme"/>
    <x v="0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s v="上海"/>
    <s v="eleme"/>
    <x v="0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s v="上海"/>
    <s v="meituan"/>
    <x v="1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s v="上海"/>
    <s v="eleme"/>
    <x v="0"/>
    <s v="拌客·干拌麻辣烫(武宁路店)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s v="上海"/>
    <s v="eleme"/>
    <x v="0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s v="上海"/>
    <s v="meituan"/>
    <x v="1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s v="上海"/>
    <s v="eleme"/>
    <x v="0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s v="上海"/>
    <s v="eleme"/>
    <x v="0"/>
    <s v="蛙小辣·美蛙火锅杯麻辣烫(宝山店)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s v="上海"/>
    <s v="meituan"/>
    <x v="1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s v="上海"/>
    <s v="eleme"/>
    <x v="0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s v="上海"/>
    <s v="eleme"/>
    <x v="0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s v="上海"/>
    <s v="meituan"/>
    <x v="1"/>
    <s v="蛙小辣火锅杯（宝山店）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s v="上海"/>
    <s v="eleme"/>
    <x v="0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s v="上海"/>
    <s v="eleme"/>
    <x v="0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s v="上海"/>
    <s v="meituan"/>
    <x v="1"/>
    <s v="蛙小辣火锅杯（宝山店）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s v="上海"/>
    <s v="eleme"/>
    <x v="0"/>
    <s v="拌客·干拌麻辣烫(武宁路店)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x v="122"/>
    <n v="4636"/>
    <x v="0"/>
    <x v="0"/>
    <x v="0"/>
    <s v="上海"/>
    <s v="eleme"/>
    <x v="0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s v="上海"/>
    <s v="meituan"/>
    <x v="1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s v="上海"/>
    <s v="eleme"/>
    <x v="0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s v="上海"/>
    <s v="eleme"/>
    <x v="0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s v="上海"/>
    <s v="meituan"/>
    <x v="1"/>
    <s v="蛙小辣火锅杯（宝山店）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s v="上海"/>
    <s v="eleme"/>
    <x v="0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s v="上海"/>
    <s v="eleme"/>
    <x v="0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s v="上海"/>
    <s v="meituan"/>
    <x v="1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s v="上海"/>
    <s v="eleme"/>
    <x v="0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s v="上海"/>
    <s v="eleme"/>
    <x v="0"/>
    <s v="蛙小辣·美蛙火锅杯麻辣烫(宝山店)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s v="上海"/>
    <s v="meituan"/>
    <x v="1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s v="上海"/>
    <s v="eleme"/>
    <x v="0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s v="上海"/>
    <s v="eleme"/>
    <x v="0"/>
    <s v="蛙小辣·美蛙火锅杯麻辣烫(宝山店)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x v="126"/>
    <n v="4636"/>
    <x v="0"/>
    <x v="5"/>
    <x v="0"/>
    <s v="上海"/>
    <s v="meituan"/>
    <x v="1"/>
    <s v="蛙小辣火锅杯（宝山店）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s v="上海"/>
    <s v="eleme"/>
    <x v="0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s v="上海"/>
    <s v="eleme"/>
    <x v="0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s v="上海"/>
    <s v="meituan"/>
    <x v="1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s v="上海"/>
    <s v="eleme"/>
    <x v="0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s v="上海"/>
    <s v="eleme"/>
    <x v="0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s v="上海"/>
    <s v="meituan"/>
    <x v="1"/>
    <s v="蛙小辣火锅杯（宝山店）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s v="上海"/>
    <s v="eleme"/>
    <x v="0"/>
    <s v="拌客·干拌麻辣烫(武宁路店)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s v="上海"/>
    <s v="eleme"/>
    <x v="0"/>
    <s v="蛙小辣·美蛙火锅杯麻辣烫(宝山店)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s v="上海"/>
    <s v="meituan"/>
    <x v="1"/>
    <s v="蛙小辣火锅杯（宝山店）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s v="上海"/>
    <s v="eleme"/>
    <x v="0"/>
    <s v="拌客·干拌麻辣烫(武宁路店)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x v="130"/>
    <n v="4636"/>
    <x v="0"/>
    <x v="0"/>
    <x v="0"/>
    <s v="上海"/>
    <s v="eleme"/>
    <x v="0"/>
    <s v="蛙小辣·美蛙火锅杯麻辣烫(宝山店)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s v="上海"/>
    <s v="meituan"/>
    <x v="1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s v="上海"/>
    <s v="eleme"/>
    <x v="0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s v="上海"/>
    <s v="eleme"/>
    <x v="0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s v="上海"/>
    <s v="meituan"/>
    <x v="1"/>
    <s v="蛙小辣火锅杯（宝山店）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s v="上海"/>
    <s v="eleme"/>
    <x v="0"/>
    <s v="拌客·干拌麻辣烫(武宁路店)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s v="上海"/>
    <s v="eleme"/>
    <x v="0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s v="上海"/>
    <s v="meituan"/>
    <x v="1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s v="上海"/>
    <s v="eleme"/>
    <x v="0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s v="上海"/>
    <s v="eleme"/>
    <x v="0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s v="上海"/>
    <s v="eleme"/>
    <x v="0"/>
    <s v="拌客·干拌麻辣烫(武宁路店)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s v="上海"/>
    <s v="eleme"/>
    <x v="0"/>
    <s v="蛙小辣·美蛙火锅杯麻辣烫(宝山店)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s v="上海"/>
    <s v="eleme"/>
    <x v="0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s v="上海"/>
    <s v="eleme"/>
    <x v="0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s v="上海"/>
    <s v="meituan"/>
    <x v="1"/>
    <s v="蛙小辣火锅杯（宝山店）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s v="上海"/>
    <s v="eleme"/>
    <x v="0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s v="上海"/>
    <s v="eleme"/>
    <x v="0"/>
    <s v="蛙小辣·美蛙火锅杯麻辣烫(宝山店)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s v="上海"/>
    <s v="meituan"/>
    <x v="1"/>
    <s v="蛙小辣火锅杯（宝山店）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s v="上海"/>
    <s v="eleme"/>
    <x v="0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s v="上海"/>
    <s v="eleme"/>
    <x v="0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s v="上海"/>
    <s v="meituan"/>
    <x v="1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s v="上海"/>
    <s v="eleme"/>
    <x v="0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s v="上海"/>
    <s v="eleme"/>
    <x v="0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s v="上海"/>
    <s v="meituan"/>
    <x v="1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s v="上海"/>
    <s v="eleme"/>
    <x v="0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s v="上海"/>
    <s v="eleme"/>
    <x v="0"/>
    <s v="蛙小辣·美蛙火锅杯麻辣烫(宝山店)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s v="上海"/>
    <s v="meituan"/>
    <x v="1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s v="上海"/>
    <s v="eleme"/>
    <x v="0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s v="上海"/>
    <s v="eleme"/>
    <x v="0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s v="上海"/>
    <s v="meituan"/>
    <x v="1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s v="上海"/>
    <s v="eleme"/>
    <x v="0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s v="上海"/>
    <s v="eleme"/>
    <x v="0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s v="上海"/>
    <s v="meituan"/>
    <x v="1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s v="上海"/>
    <s v="eleme"/>
    <x v="0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s v="上海"/>
    <s v="eleme"/>
    <x v="0"/>
    <s v="蛙小辣·美蛙火锅杯麻辣烫(宝山店)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s v="上海"/>
    <s v="meituan"/>
    <x v="1"/>
    <s v="蛙小辣火锅杯（宝山店）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x v="143"/>
    <n v="6108"/>
    <x v="1"/>
    <x v="6"/>
    <x v="4"/>
    <s v="上海"/>
    <s v="eleme"/>
    <x v="0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s v="上海"/>
    <s v="eleme"/>
    <x v="0"/>
    <s v="蛙小辣·美蛙火锅杯麻辣烫(宝山店)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s v="上海"/>
    <s v="meituan"/>
    <x v="1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s v="上海"/>
    <s v="eleme"/>
    <x v="0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s v="上海"/>
    <s v="eleme"/>
    <x v="0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s v="上海"/>
    <s v="meituan"/>
    <x v="1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s v="上海"/>
    <s v="eleme"/>
    <x v="0"/>
    <s v="拌客·干拌麻辣烫(武宁路店)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s v="上海"/>
    <s v="eleme"/>
    <x v="0"/>
    <s v="蛙小辣·美蛙火锅杯麻辣烫(宝山店)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s v="上海"/>
    <s v="meituan"/>
    <x v="1"/>
    <s v="蛙小辣火锅杯（宝山店）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s v="上海"/>
    <s v="eleme"/>
    <x v="0"/>
    <s v="拌客·干拌麻辣烫(武宁路店)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s v="上海"/>
    <s v="eleme"/>
    <x v="0"/>
    <s v="蛙小辣·美蛙火锅杯麻辣烫(宝山店)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s v="上海"/>
    <s v="meituan"/>
    <x v="1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s v="上海"/>
    <s v="eleme"/>
    <x v="0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s v="上海"/>
    <s v="eleme"/>
    <x v="0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s v="上海"/>
    <s v="meituan"/>
    <x v="1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s v="上海"/>
    <s v="eleme"/>
    <x v="0"/>
    <s v="拌客·干拌麻辣烫(武宁路店)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s v="上海"/>
    <s v="eleme"/>
    <x v="0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s v="上海"/>
    <s v="meituan"/>
    <x v="1"/>
    <s v="蛙小辣火锅杯（宝山店）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s v="上海"/>
    <s v="eleme"/>
    <x v="0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s v="上海"/>
    <s v="eleme"/>
    <x v="0"/>
    <s v="蛙小辣·美蛙火锅杯麻辣烫(宝山店)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s v="上海"/>
    <s v="meituan"/>
    <x v="1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s v="上海"/>
    <s v="eleme"/>
    <x v="0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s v="上海"/>
    <s v="eleme"/>
    <x v="0"/>
    <s v="蛙小辣·美蛙火锅杯麻辣烫(宝山店)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x v="150"/>
    <n v="4636"/>
    <x v="0"/>
    <x v="5"/>
    <x v="0"/>
    <s v="上海"/>
    <s v="meituan"/>
    <x v="1"/>
    <s v="蛙小辣火锅杯（宝山店）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s v="上海"/>
    <s v="eleme"/>
    <x v="0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s v="上海"/>
    <s v="eleme"/>
    <x v="0"/>
    <s v="蛙小辣·美蛙火锅杯麻辣烫(宝山店)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s v="上海"/>
    <s v="meituan"/>
    <x v="1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s v="上海"/>
    <s v="eleme"/>
    <x v="0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s v="上海"/>
    <s v="eleme"/>
    <x v="0"/>
    <s v="蛙小辣·美蛙火锅杯麻辣烫(宝山店)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x v="152"/>
    <n v="4636"/>
    <x v="0"/>
    <x v="5"/>
    <x v="0"/>
    <s v="上海"/>
    <s v="meituan"/>
    <x v="1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s v="上海"/>
    <s v="eleme"/>
    <x v="0"/>
    <s v="拌客·干拌麻辣烫(武宁路店)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x v="153"/>
    <n v="4636"/>
    <x v="0"/>
    <x v="0"/>
    <x v="0"/>
    <s v="上海"/>
    <s v="eleme"/>
    <x v="0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s v="上海"/>
    <s v="meituan"/>
    <x v="1"/>
    <s v="蛙小辣火锅杯（宝山店）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x v="154"/>
    <n v="6108"/>
    <x v="1"/>
    <x v="6"/>
    <x v="4"/>
    <s v="上海"/>
    <s v="eleme"/>
    <x v="0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s v="上海"/>
    <s v="eleme"/>
    <x v="0"/>
    <s v="蛙小辣·美蛙火锅杯麻辣烫(宝山店)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s v="上海"/>
    <s v="meituan"/>
    <x v="1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s v="上海"/>
    <s v="eleme"/>
    <x v="0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s v="上海"/>
    <s v="eleme"/>
    <x v="0"/>
    <s v="蛙小辣·美蛙火锅杯麻辣烫(宝山店)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s v="上海"/>
    <s v="meituan"/>
    <x v="1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s v="上海"/>
    <s v="eleme"/>
    <x v="0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s v="上海"/>
    <s v="eleme"/>
    <x v="0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s v="上海"/>
    <s v="meituan"/>
    <x v="1"/>
    <s v="蛙小辣火锅杯（宝山店）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x v="157"/>
    <n v="6108"/>
    <x v="1"/>
    <x v="6"/>
    <x v="4"/>
    <s v="上海"/>
    <s v="eleme"/>
    <x v="0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s v="上海"/>
    <s v="eleme"/>
    <x v="0"/>
    <s v="蛙小辣·美蛙火锅杯麻辣烫(宝山店)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x v="157"/>
    <n v="4636"/>
    <x v="0"/>
    <x v="5"/>
    <x v="0"/>
    <s v="上海"/>
    <s v="meituan"/>
    <x v="1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s v="上海"/>
    <s v="eleme"/>
    <x v="0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s v="上海"/>
    <s v="eleme"/>
    <x v="0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s v="上海"/>
    <s v="meituan"/>
    <x v="1"/>
    <s v="蛙小辣火锅杯（宝山店）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s v="上海"/>
    <s v="eleme"/>
    <x v="0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s v="上海"/>
    <s v="meituan"/>
    <x v="1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s v="上海"/>
    <s v="eleme"/>
    <x v="0"/>
    <s v="拌客·干拌麻辣烫(武宁路店)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s v="上海"/>
    <s v="eleme"/>
    <x v="0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s v="上海"/>
    <s v="meituan"/>
    <x v="1"/>
    <s v="蛙小辣火锅杯（宝山店）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s v="上海"/>
    <s v="eleme"/>
    <x v="0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s v="上海"/>
    <s v="meituan"/>
    <x v="1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s v="上海"/>
    <s v="eleme"/>
    <x v="0"/>
    <s v="蛙小辣·美蛙火锅杯麻辣烫(宝山店)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x v="161"/>
    <n v="4636"/>
    <x v="0"/>
    <x v="5"/>
    <x v="0"/>
    <s v="上海"/>
    <s v="meituan"/>
    <x v="1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s v="上海"/>
    <s v="eleme"/>
    <x v="0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s v="上海"/>
    <s v="meituan"/>
    <x v="1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s v="上海"/>
    <s v="eleme"/>
    <x v="0"/>
    <s v="蛙小辣·美蛙火锅杯麻辣烫(宝山店)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x v="162"/>
    <n v="4636"/>
    <x v="0"/>
    <x v="5"/>
    <x v="0"/>
    <s v="上海"/>
    <s v="meituan"/>
    <x v="1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s v="上海"/>
    <s v="eleme"/>
    <x v="0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s v="上海"/>
    <s v="meituan"/>
    <x v="1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s v="上海"/>
    <s v="eleme"/>
    <x v="0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s v="上海"/>
    <s v="meituan"/>
    <x v="1"/>
    <s v="蛙小辣火锅杯（宝山店）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s v="上海"/>
    <s v="eleme"/>
    <x v="0"/>
    <s v="拌客·干拌麻辣烫(武宁路店)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s v="上海"/>
    <s v="meituan"/>
    <x v="1"/>
    <s v="拌客干拌麻辣烫（武宁路店）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s v="上海"/>
    <s v="eleme"/>
    <x v="0"/>
    <s v="蛙小辣·美蛙火锅杯麻辣烫(宝山店)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s v="上海"/>
    <s v="meituan"/>
    <x v="1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s v="上海"/>
    <s v="eleme"/>
    <x v="0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s v="上海"/>
    <s v="meituan"/>
    <x v="1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s v="上海"/>
    <s v="eleme"/>
    <x v="0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s v="上海"/>
    <s v="meituan"/>
    <x v="1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s v="上海"/>
    <s v="eleme"/>
    <x v="0"/>
    <s v="拌客·干拌麻辣烫(武宁路店)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x v="166"/>
    <n v="6108"/>
    <x v="1"/>
    <x v="7"/>
    <x v="4"/>
    <s v="上海"/>
    <s v="meituan"/>
    <x v="1"/>
    <s v="拌客干拌麻辣烫（武宁路店）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s v="上海"/>
    <s v="eleme"/>
    <x v="0"/>
    <s v="蛙小辣·美蛙火锅杯麻辣烫(宝山店)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s v="上海"/>
    <s v="meituan"/>
    <x v="1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s v="上海"/>
    <s v="eleme"/>
    <x v="0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s v="上海"/>
    <s v="meituan"/>
    <x v="1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s v="上海"/>
    <s v="eleme"/>
    <x v="0"/>
    <s v="蛙小辣·美蛙火锅杯麻辣烫(宝山店)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x v="167"/>
    <n v="4636"/>
    <x v="0"/>
    <x v="5"/>
    <x v="0"/>
    <s v="上海"/>
    <s v="meituan"/>
    <x v="1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s v="上海"/>
    <s v="eleme"/>
    <x v="0"/>
    <s v="拌客·干拌麻辣烫(武宁路店)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s v="上海"/>
    <s v="meituan"/>
    <x v="1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s v="上海"/>
    <s v="eleme"/>
    <x v="0"/>
    <s v="蛙小辣·美蛙火锅杯麻辣烫(宝山店)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s v="上海"/>
    <s v="meituan"/>
    <x v="1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s v="上海"/>
    <s v="eleme"/>
    <x v="0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s v="上海"/>
    <s v="meituan"/>
    <x v="1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s v="上海"/>
    <s v="eleme"/>
    <x v="0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s v="上海"/>
    <s v="eleme"/>
    <x v="0"/>
    <s v="拌客·干拌麻辣烫(武宁路店)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s v="上海"/>
    <s v="meituan"/>
    <x v="1"/>
    <s v="拌客干拌麻辣烫（武宁路店）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s v="上海"/>
    <s v="eleme"/>
    <x v="0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s v="上海"/>
    <s v="eleme"/>
    <x v="0"/>
    <s v="拌客·干拌麻辣烫(武宁路店)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s v="上海"/>
    <s v="meituan"/>
    <x v="1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s v="上海"/>
    <s v="eleme"/>
    <x v="0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s v="上海"/>
    <s v="eleme"/>
    <x v="0"/>
    <s v="拌客·干拌麻辣烫(武宁路店)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s v="上海"/>
    <s v="meituan"/>
    <x v="1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s v="上海"/>
    <s v="eleme"/>
    <x v="0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s v="上海"/>
    <s v="eleme"/>
    <x v="0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s v="上海"/>
    <s v="meituan"/>
    <x v="1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s v="上海"/>
    <s v="eleme"/>
    <x v="0"/>
    <s v="拌客·干拌麻辣烫(武宁路店)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s v="上海"/>
    <s v="meituan"/>
    <x v="1"/>
    <s v="拌客干拌麻辣烫（武宁路店）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x v="174"/>
    <n v="4636"/>
    <x v="0"/>
    <x v="0"/>
    <x v="0"/>
    <s v="上海"/>
    <s v="eleme"/>
    <x v="0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s v="上海"/>
    <s v="eleme"/>
    <x v="0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s v="上海"/>
    <s v="meituan"/>
    <x v="1"/>
    <s v="拌客干拌麻辣烫（武宁路店）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s v="上海"/>
    <s v="eleme"/>
    <x v="0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s v="上海"/>
    <s v="meituan"/>
    <x v="1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s v="上海"/>
    <s v="eleme"/>
    <x v="0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s v="上海"/>
    <s v="meituan"/>
    <x v="1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s v="上海"/>
    <s v="eleme"/>
    <x v="0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s v="上海"/>
    <s v="meituan"/>
    <x v="1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s v="上海"/>
    <s v="eleme"/>
    <x v="0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s v="上海"/>
    <s v="meituan"/>
    <x v="1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s v="上海"/>
    <s v="eleme"/>
    <x v="0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s v="上海"/>
    <s v="meituan"/>
    <x v="1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s v="上海"/>
    <s v="eleme"/>
    <x v="0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s v="上海"/>
    <s v="meituan"/>
    <x v="1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s v="上海"/>
    <s v="eleme"/>
    <x v="0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s v="上海"/>
    <s v="meituan"/>
    <x v="1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s v="上海"/>
    <s v="meituan"/>
    <x v="1"/>
    <s v="蛙小辣火锅杯（宝山店）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s v="上海"/>
    <s v="eleme"/>
    <x v="0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s v="上海"/>
    <s v="meituan"/>
    <x v="1"/>
    <s v="拌客干拌麻辣烫（武宁路店）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s v="上海"/>
    <s v="meituan"/>
    <x v="1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s v="上海"/>
    <s v="eleme"/>
    <x v="0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s v="上海"/>
    <s v="meituan"/>
    <x v="1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s v="上海"/>
    <s v="eleme"/>
    <x v="0"/>
    <s v="蛙小辣·美蛙火锅杯麻辣烫(宝山店)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x v="181"/>
    <n v="4636"/>
    <x v="0"/>
    <x v="5"/>
    <x v="0"/>
    <s v="上海"/>
    <s v="meituan"/>
    <x v="1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s v="上海"/>
    <s v="eleme"/>
    <x v="0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s v="上海"/>
    <s v="meituan"/>
    <x v="1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s v="上海"/>
    <s v="eleme"/>
    <x v="0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s v="上海"/>
    <s v="meituan"/>
    <x v="1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s v="上海"/>
    <s v="eleme"/>
    <x v="0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s v="上海"/>
    <s v="meituan"/>
    <x v="1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s v="上海"/>
    <s v="eleme"/>
    <x v="0"/>
    <s v="蛙小辣·美蛙火锅杯麻辣烫(宝山店)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s v="上海"/>
    <s v="meituan"/>
    <x v="1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s v="上海"/>
    <s v="eleme"/>
    <x v="0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s v="上海"/>
    <s v="meituan"/>
    <x v="1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s v="上海"/>
    <s v="eleme"/>
    <x v="0"/>
    <s v="蛙小辣·美蛙火锅杯麻辣烫(宝山店)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x v="184"/>
    <n v="4636"/>
    <x v="0"/>
    <x v="5"/>
    <x v="0"/>
    <s v="上海"/>
    <s v="meituan"/>
    <x v="1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s v="上海"/>
    <s v="eleme"/>
    <x v="0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s v="上海"/>
    <s v="meituan"/>
    <x v="1"/>
    <s v="拌客干拌麻辣烫（武宁路店）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s v="上海"/>
    <s v="eleme"/>
    <x v="0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s v="上海"/>
    <s v="meituan"/>
    <x v="1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s v="上海"/>
    <s v="eleme"/>
    <x v="0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s v="上海"/>
    <s v="meituan"/>
    <x v="1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s v="上海"/>
    <s v="eleme"/>
    <x v="0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s v="上海"/>
    <s v="meituan"/>
    <x v="1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s v="上海"/>
    <s v="eleme"/>
    <x v="0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s v="上海"/>
    <s v="meituan"/>
    <x v="1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s v="上海"/>
    <s v="eleme"/>
    <x v="0"/>
    <s v="蛙小辣·美蛙火锅杯麻辣烫(宝山店)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x v="187"/>
    <n v="4636"/>
    <x v="0"/>
    <x v="5"/>
    <x v="0"/>
    <s v="上海"/>
    <s v="meituan"/>
    <x v="1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s v="上海"/>
    <s v="eleme"/>
    <x v="0"/>
    <s v="蛙小辣·美蛙火锅杯麻辣烫(宝山店)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s v="上海"/>
    <s v="meituan"/>
    <x v="1"/>
    <s v="蛙小辣火锅杯（宝山店）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s v="上海"/>
    <s v="eleme"/>
    <x v="0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s v="上海"/>
    <s v="meituan"/>
    <x v="1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s v="上海"/>
    <s v="eleme"/>
    <x v="0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s v="上海"/>
    <s v="meituan"/>
    <x v="1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s v="上海"/>
    <s v="eleme"/>
    <x v="0"/>
    <s v="蛙小辣·美蛙火锅杯麻辣烫(宝山店)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x v="191"/>
    <n v="4636"/>
    <x v="0"/>
    <x v="5"/>
    <x v="0"/>
    <s v="上海"/>
    <s v="meituan"/>
    <x v="1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s v="上海"/>
    <s v="eleme"/>
    <x v="0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s v="上海"/>
    <s v="meituan"/>
    <x v="1"/>
    <s v="蛙小辣火锅杯（宝山店）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x v="193"/>
    <n v="4636"/>
    <x v="0"/>
    <x v="0"/>
    <x v="0"/>
    <s v="上海"/>
    <s v="eleme"/>
    <x v="0"/>
    <s v="蛙小辣·美蛙火锅杯麻辣烫(宝山店)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s v="上海"/>
    <s v="meituan"/>
    <x v="1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s v="上海"/>
    <s v="eleme"/>
    <x v="0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s v="上海"/>
    <s v="meituan"/>
    <x v="1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s v="上海"/>
    <s v="eleme"/>
    <x v="0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s v="上海"/>
    <s v="meituan"/>
    <x v="1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s v="上海"/>
    <s v="eleme"/>
    <x v="0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s v="上海"/>
    <s v="meituan"/>
    <x v="1"/>
    <s v="蛙小辣火锅杯（宝山店）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x v="197"/>
    <n v="4636"/>
    <x v="0"/>
    <x v="0"/>
    <x v="0"/>
    <s v="上海"/>
    <s v="eleme"/>
    <x v="0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s v="上海"/>
    <s v="meituan"/>
    <x v="1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s v="上海"/>
    <s v="eleme"/>
    <x v="0"/>
    <s v="蛙小辣·美蛙火锅杯麻辣烫(宝山店)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s v="上海"/>
    <s v="meituan"/>
    <x v="1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s v="上海"/>
    <s v="eleme"/>
    <x v="0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s v="上海"/>
    <s v="meituan"/>
    <x v="1"/>
    <s v="蛙小辣火锅杯（宝山店）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s v="上海"/>
    <s v="eleme"/>
    <x v="0"/>
    <s v="蛙小辣·美蛙火锅杯麻辣烫(宝山店)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s v="上海"/>
    <s v="meituan"/>
    <x v="1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s v="上海"/>
    <s v="eleme"/>
    <x v="0"/>
    <s v="蛙小辣·美蛙火锅杯麻辣烫(宝山店)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s v="上海"/>
    <s v="meituan"/>
    <x v="1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s v="上海"/>
    <s v="eleme"/>
    <x v="0"/>
    <s v="蛙小辣·美蛙火锅杯麻辣烫(宝山店)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s v="上海"/>
    <s v="meituan"/>
    <x v="1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s v="上海"/>
    <s v="eleme"/>
    <x v="0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s v="上海"/>
    <s v="meituan"/>
    <x v="1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s v="上海"/>
    <s v="eleme"/>
    <x v="0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s v="上海"/>
    <s v="meituan"/>
    <x v="1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s v="上海"/>
    <s v="eleme"/>
    <x v="0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s v="上海"/>
    <s v="meituan"/>
    <x v="1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s v="上海"/>
    <s v="eleme"/>
    <x v="0"/>
    <s v="蛙小辣·美蛙火锅杯麻辣烫(宝山店)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x v="206"/>
    <n v="4636"/>
    <x v="0"/>
    <x v="5"/>
    <x v="0"/>
    <s v="上海"/>
    <s v="meituan"/>
    <x v="1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s v="上海"/>
    <s v="eleme"/>
    <x v="0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s v="上海"/>
    <s v="meituan"/>
    <x v="1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s v="上海"/>
    <s v="eleme"/>
    <x v="0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s v="上海"/>
    <s v="meituan"/>
    <x v="1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s v="上海"/>
    <s v="eleme"/>
    <x v="0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s v="上海"/>
    <s v="meituan"/>
    <x v="1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s v="上海"/>
    <s v="meituan"/>
    <x v="1"/>
    <s v="蛙小辣火锅杯（宝山店）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s v="上海"/>
    <s v="eleme"/>
    <x v="0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s v="上海"/>
    <s v="meituan"/>
    <x v="1"/>
    <s v="蛙小辣火锅杯（宝山店）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s v="上海"/>
    <s v="eleme"/>
    <x v="0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s v="上海"/>
    <s v="meituan"/>
    <x v="1"/>
    <s v="蛙小辣火锅杯（宝山店）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s v="上海"/>
    <s v="eleme"/>
    <x v="0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s v="上海"/>
    <s v="meituan"/>
    <x v="1"/>
    <s v="蛙小辣火锅杯（宝山店）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s v="上海"/>
    <s v="eleme"/>
    <x v="0"/>
    <s v="蛙小辣·美蛙火锅杯麻辣烫(宝山店)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s v="上海"/>
    <s v="meituan"/>
    <x v="1"/>
    <s v="蛙小辣火锅杯（宝山店）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s v="上海"/>
    <s v="eleme"/>
    <x v="0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s v="上海"/>
    <s v="meituan"/>
    <x v="1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"/>
  </r>
  <r>
    <x v="0"/>
    <x v="1"/>
    <n v="2"/>
  </r>
  <r>
    <x v="1"/>
    <x v="2"/>
    <n v="3"/>
  </r>
  <r>
    <x v="1"/>
    <x v="2"/>
    <n v="4"/>
  </r>
  <r>
    <x v="1"/>
    <x v="0"/>
    <n v="5"/>
  </r>
  <r>
    <x v="2"/>
    <x v="0"/>
    <n v="6"/>
  </r>
  <r>
    <x v="2"/>
    <x v="0"/>
    <n v="7"/>
  </r>
  <r>
    <x v="3"/>
    <x v="1"/>
    <n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"/>
  </r>
  <r>
    <x v="0"/>
    <x v="1"/>
    <n v="2"/>
  </r>
  <r>
    <x v="1"/>
    <x v="2"/>
    <n v="3"/>
  </r>
  <r>
    <x v="1"/>
    <x v="2"/>
    <n v="4"/>
  </r>
  <r>
    <x v="1"/>
    <x v="0"/>
    <n v="5"/>
  </r>
  <r>
    <x v="2"/>
    <x v="0"/>
    <n v="6"/>
  </r>
  <r>
    <x v="2"/>
    <x v="0"/>
    <n v="7"/>
  </r>
  <r>
    <x v="3"/>
    <x v="1"/>
    <n v="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d v="2020-01-01T00:00:00"/>
    <n v="4636"/>
    <s v="蛙小辣火锅杯（总账号）"/>
    <x v="0"/>
    <s v="宝山店"/>
    <s v="上海"/>
    <s v="eleme"/>
    <s v="饿了么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d v="2020-01-01T00:00:00"/>
    <n v="4636"/>
    <s v="蛙小辣火锅杯（总账号）"/>
    <x v="1"/>
    <s v="五角场店"/>
    <s v="上海"/>
    <s v="meituan"/>
    <s v="美团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d v="2020-01-01T00:00:00"/>
    <n v="4636"/>
    <s v="蛙小辣火锅杯（总账号）"/>
    <x v="2"/>
    <s v="龙阳广场店"/>
    <s v="上海"/>
    <s v="eleme"/>
    <s v="饿了么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d v="2020-01-01T00:00:00"/>
    <n v="4636"/>
    <s v="蛙小辣火锅杯（总账号）"/>
    <x v="3"/>
    <s v="五角场店"/>
    <s v="上海"/>
    <s v="eleme"/>
    <s v="饿了么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d v="2020-01-02T00:00:00"/>
    <n v="4636"/>
    <s v="蛙小辣火锅杯（总账号）"/>
    <x v="0"/>
    <s v="宝山店"/>
    <s v="上海"/>
    <s v="eleme"/>
    <s v="饿了么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d v="2020-01-02T00:00:00"/>
    <n v="4636"/>
    <s v="蛙小辣火锅杯（总账号）"/>
    <x v="1"/>
    <s v="五角场店"/>
    <s v="上海"/>
    <s v="meituan"/>
    <s v="美团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d v="2020-01-02T00:00:00"/>
    <n v="4636"/>
    <s v="蛙小辣火锅杯（总账号）"/>
    <x v="2"/>
    <s v="龙阳广场店"/>
    <s v="上海"/>
    <s v="eleme"/>
    <s v="饿了么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d v="2020-01-02T00:00:00"/>
    <n v="4636"/>
    <s v="蛙小辣火锅杯（总账号）"/>
    <x v="3"/>
    <s v="五角场店"/>
    <s v="上海"/>
    <s v="eleme"/>
    <s v="饿了么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d v="2020-01-03T00:00:00"/>
    <n v="4636"/>
    <s v="蛙小辣火锅杯（总账号）"/>
    <x v="0"/>
    <s v="宝山店"/>
    <s v="上海"/>
    <s v="eleme"/>
    <s v="饿了么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d v="2020-01-03T00:00:00"/>
    <n v="4636"/>
    <s v="蛙小辣火锅杯（总账号）"/>
    <x v="2"/>
    <s v="龙阳广场店"/>
    <s v="上海"/>
    <s v="eleme"/>
    <s v="饿了么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d v="2020-01-03T00:00:00"/>
    <n v="4636"/>
    <s v="蛙小辣火锅杯（总账号）"/>
    <x v="3"/>
    <s v="五角场店"/>
    <s v="上海"/>
    <s v="eleme"/>
    <s v="饿了么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d v="2020-01-04T00:00:00"/>
    <n v="4636"/>
    <s v="蛙小辣火锅杯（总账号）"/>
    <x v="0"/>
    <s v="宝山店"/>
    <s v="上海"/>
    <s v="eleme"/>
    <s v="饿了么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d v="2020-01-04T00:00:00"/>
    <n v="4636"/>
    <s v="蛙小辣火锅杯（总账号）"/>
    <x v="1"/>
    <s v="五角场店"/>
    <s v="上海"/>
    <s v="meituan"/>
    <s v="美团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d v="2020-01-04T00:00:00"/>
    <n v="4636"/>
    <s v="蛙小辣火锅杯（总账号）"/>
    <x v="2"/>
    <s v="龙阳广场店"/>
    <s v="上海"/>
    <s v="eleme"/>
    <s v="饿了么"/>
    <s v="蛙小辣火锅杯(龙阳广场店)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d v="2020-01-04T00:00:00"/>
    <n v="4636"/>
    <s v="蛙小辣火锅杯（总账号）"/>
    <x v="3"/>
    <s v="五角场店"/>
    <s v="上海"/>
    <s v="eleme"/>
    <s v="饿了么"/>
    <s v="蛙小辣火锅杯(五角场店)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d v="2020-01-05T00:00:00"/>
    <n v="4636"/>
    <s v="蛙小辣火锅杯（总账号）"/>
    <x v="0"/>
    <s v="宝山店"/>
    <s v="上海"/>
    <s v="eleme"/>
    <s v="饿了么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d v="2020-01-05T00:00:00"/>
    <n v="4636"/>
    <s v="蛙小辣火锅杯（总账号）"/>
    <x v="3"/>
    <s v="五角场店"/>
    <s v="上海"/>
    <s v="eleme"/>
    <s v="饿了么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d v="2020-01-06T00:00:00"/>
    <n v="4636"/>
    <s v="蛙小辣火锅杯（总账号）"/>
    <x v="0"/>
    <s v="宝山店"/>
    <s v="上海"/>
    <s v="eleme"/>
    <s v="饿了么"/>
    <s v="蛙小辣·美蛙火锅杯(宝山店)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d v="2020-01-06T00:00:00"/>
    <n v="4636"/>
    <s v="蛙小辣火锅杯（总账号）"/>
    <x v="3"/>
    <s v="五角场店"/>
    <s v="上海"/>
    <s v="eleme"/>
    <s v="饿了么"/>
    <s v="蛙小辣火锅杯(五角场店)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d v="2020-01-07T00:00:00"/>
    <n v="4636"/>
    <s v="蛙小辣火锅杯（总账号）"/>
    <x v="0"/>
    <s v="宝山店"/>
    <s v="上海"/>
    <s v="eleme"/>
    <s v="饿了么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d v="2020-01-08T00:00:00"/>
    <n v="4636"/>
    <s v="蛙小辣火锅杯（总账号）"/>
    <x v="0"/>
    <s v="宝山店"/>
    <s v="上海"/>
    <s v="eleme"/>
    <s v="饿了么"/>
    <s v="蛙小辣·美蛙火锅杯(宝山店)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d v="2020-01-09T00:00:00"/>
    <n v="4636"/>
    <s v="蛙小辣火锅杯（总账号）"/>
    <x v="0"/>
    <s v="宝山店"/>
    <s v="上海"/>
    <s v="eleme"/>
    <s v="饿了么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d v="2020-01-10T00:00:00"/>
    <n v="4636"/>
    <s v="蛙小辣火锅杯（总账号）"/>
    <x v="0"/>
    <s v="宝山店"/>
    <s v="上海"/>
    <s v="eleme"/>
    <s v="饿了么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d v="2020-01-30T00:00:00"/>
    <n v="4636"/>
    <s v="蛙小辣火锅杯（总账号）"/>
    <x v="0"/>
    <s v="宝山店"/>
    <s v="上海"/>
    <s v="eleme"/>
    <s v="饿了么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d v="2020-02-09T00:00:00"/>
    <n v="4636"/>
    <s v="蛙小辣火锅杯（总账号）"/>
    <x v="0"/>
    <s v="宝山店"/>
    <s v="上海"/>
    <s v="eleme"/>
    <s v="饿了么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d v="2020-02-10T00:00:00"/>
    <n v="4636"/>
    <s v="蛙小辣火锅杯（总账号）"/>
    <x v="0"/>
    <s v="宝山店"/>
    <s v="上海"/>
    <s v="eleme"/>
    <s v="饿了么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d v="2020-02-11T00:00:00"/>
    <n v="4636"/>
    <s v="蛙小辣火锅杯（总账号）"/>
    <x v="0"/>
    <s v="宝山店"/>
    <s v="上海"/>
    <s v="eleme"/>
    <s v="饿了么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d v="2020-02-12T00:00:00"/>
    <n v="4636"/>
    <s v="蛙小辣火锅杯（总账号）"/>
    <x v="0"/>
    <s v="宝山店"/>
    <s v="上海"/>
    <s v="eleme"/>
    <s v="饿了么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d v="2020-02-13T00:00:00"/>
    <n v="4636"/>
    <s v="蛙小辣火锅杯（总账号）"/>
    <x v="0"/>
    <s v="宝山店"/>
    <s v="上海"/>
    <s v="eleme"/>
    <s v="饿了么"/>
    <s v="蛙小辣·美蛙火锅杯(宝山店)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d v="2020-02-14T00:00:00"/>
    <n v="4636"/>
    <s v="蛙小辣火锅杯（总账号）"/>
    <x v="0"/>
    <s v="宝山店"/>
    <s v="上海"/>
    <s v="eleme"/>
    <s v="饿了么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d v="2020-02-15T00:00:00"/>
    <n v="4636"/>
    <s v="蛙小辣火锅杯（总账号）"/>
    <x v="0"/>
    <s v="宝山店"/>
    <s v="上海"/>
    <s v="eleme"/>
    <s v="饿了么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d v="2020-02-16T00:00:00"/>
    <n v="4636"/>
    <s v="蛙小辣火锅杯（总账号）"/>
    <x v="0"/>
    <s v="宝山店"/>
    <s v="上海"/>
    <s v="eleme"/>
    <s v="饿了么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d v="2020-02-17T00:00:00"/>
    <n v="4636"/>
    <s v="蛙小辣火锅杯（总账号）"/>
    <x v="0"/>
    <s v="宝山店"/>
    <s v="上海"/>
    <s v="eleme"/>
    <s v="饿了么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d v="2020-02-18T00:00:00"/>
    <n v="4636"/>
    <s v="蛙小辣火锅杯（总账号）"/>
    <x v="0"/>
    <s v="宝山店"/>
    <s v="上海"/>
    <s v="eleme"/>
    <s v="饿了么"/>
    <s v="蛙小辣·美蛙火锅杯(宝山店)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d v="2020-02-19T00:00:00"/>
    <n v="4636"/>
    <s v="蛙小辣火锅杯（总账号）"/>
    <x v="0"/>
    <s v="宝山店"/>
    <s v="上海"/>
    <s v="eleme"/>
    <s v="饿了么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d v="2020-02-20T00:00:00"/>
    <n v="4636"/>
    <s v="蛙小辣火锅杯（总账号）"/>
    <x v="0"/>
    <s v="宝山店"/>
    <s v="上海"/>
    <s v="eleme"/>
    <s v="饿了么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d v="2020-02-21T00:00:00"/>
    <n v="4636"/>
    <s v="蛙小辣火锅杯（总账号）"/>
    <x v="0"/>
    <s v="宝山店"/>
    <s v="上海"/>
    <s v="eleme"/>
    <s v="饿了么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d v="2020-02-22T00:00:00"/>
    <n v="4636"/>
    <s v="蛙小辣火锅杯（总账号）"/>
    <x v="0"/>
    <s v="宝山店"/>
    <s v="上海"/>
    <s v="eleme"/>
    <s v="饿了么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d v="2020-02-23T00:00:00"/>
    <n v="4636"/>
    <s v="蛙小辣火锅杯（总账号）"/>
    <x v="0"/>
    <s v="宝山店"/>
    <s v="上海"/>
    <s v="eleme"/>
    <s v="饿了么"/>
    <s v="蛙小辣·美蛙火锅杯(宝山店)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d v="2020-02-24T00:00:00"/>
    <n v="4636"/>
    <s v="蛙小辣火锅杯（总账号）"/>
    <x v="0"/>
    <s v="宝山店"/>
    <s v="上海"/>
    <s v="eleme"/>
    <s v="饿了么"/>
    <s v="蛙小辣·美蛙火锅杯(宝山店)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d v="2020-02-25T00:00:00"/>
    <n v="4636"/>
    <s v="蛙小辣火锅杯（总账号）"/>
    <x v="0"/>
    <s v="宝山店"/>
    <s v="上海"/>
    <s v="eleme"/>
    <s v="饿了么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d v="2020-02-26T00:00:00"/>
    <n v="4636"/>
    <s v="蛙小辣火锅杯（总账号）"/>
    <x v="0"/>
    <s v="宝山店"/>
    <s v="上海"/>
    <s v="eleme"/>
    <s v="饿了么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d v="2020-02-27T00:00:00"/>
    <n v="4636"/>
    <s v="蛙小辣火锅杯（总账号）"/>
    <x v="0"/>
    <s v="宝山店"/>
    <s v="上海"/>
    <s v="eleme"/>
    <s v="饿了么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d v="2020-02-28T00:00:00"/>
    <n v="4636"/>
    <s v="蛙小辣火锅杯（总账号）"/>
    <x v="0"/>
    <s v="宝山店"/>
    <s v="上海"/>
    <s v="eleme"/>
    <s v="饿了么"/>
    <s v="蛙小辣·美蛙火锅杯(宝山店)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d v="2020-02-28T00:00:00"/>
    <n v="4636"/>
    <s v="蛙小辣火锅杯（总账号）"/>
    <x v="4"/>
    <s v="怒江路店"/>
    <s v="上海"/>
    <s v="meituan"/>
    <s v="美团"/>
    <s v="蛙小辣·美蛙火锅杯（长风大悦城店）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d v="2020-02-29T00:00:00"/>
    <n v="4636"/>
    <s v="蛙小辣火锅杯（总账号）"/>
    <x v="0"/>
    <s v="宝山店"/>
    <s v="上海"/>
    <s v="eleme"/>
    <s v="饿了么"/>
    <s v="蛙小辣·美蛙火锅杯(宝山店)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d v="2020-02-29T00:00:00"/>
    <n v="4636"/>
    <s v="蛙小辣火锅杯（总账号）"/>
    <x v="4"/>
    <s v="怒江路店"/>
    <s v="上海"/>
    <s v="meituan"/>
    <s v="美团"/>
    <s v="蛙小辣·美蛙火锅杯（长风大悦城店）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d v="2020-03-01T00:00:00"/>
    <n v="4636"/>
    <s v="蛙小辣火锅杯（总账号）"/>
    <x v="0"/>
    <s v="宝山店"/>
    <s v="上海"/>
    <s v="eleme"/>
    <s v="饿了么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d v="2020-03-01T00:00:00"/>
    <n v="4636"/>
    <s v="蛙小辣火锅杯（总账号）"/>
    <x v="4"/>
    <s v="怒江路店"/>
    <s v="上海"/>
    <s v="meituan"/>
    <s v="美团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d v="2020-03-02T00:00:00"/>
    <n v="4636"/>
    <s v="蛙小辣火锅杯（总账号）"/>
    <x v="0"/>
    <s v="宝山店"/>
    <s v="上海"/>
    <s v="eleme"/>
    <s v="饿了么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d v="2020-03-02T00:00:00"/>
    <n v="4636"/>
    <s v="蛙小辣火锅杯（总账号）"/>
    <x v="4"/>
    <s v="怒江路店"/>
    <s v="上海"/>
    <s v="meituan"/>
    <s v="美团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d v="2020-03-03T00:00:00"/>
    <n v="4636"/>
    <s v="蛙小辣火锅杯（总账号）"/>
    <x v="0"/>
    <s v="宝山店"/>
    <s v="上海"/>
    <s v="eleme"/>
    <s v="饿了么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d v="2020-03-04T00:00:00"/>
    <n v="4636"/>
    <s v="蛙小辣火锅杯（总账号）"/>
    <x v="0"/>
    <s v="宝山店"/>
    <s v="上海"/>
    <s v="eleme"/>
    <s v="饿了么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d v="2020-03-05T00:00:00"/>
    <n v="4636"/>
    <s v="蛙小辣火锅杯（总账号）"/>
    <x v="0"/>
    <s v="宝山店"/>
    <s v="上海"/>
    <s v="eleme"/>
    <s v="饿了么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d v="2020-03-06T00:00:00"/>
    <n v="4636"/>
    <s v="蛙小辣火锅杯（总账号）"/>
    <x v="0"/>
    <s v="宝山店"/>
    <s v="上海"/>
    <s v="eleme"/>
    <s v="饿了么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d v="2020-03-06T00:00:00"/>
    <n v="4636"/>
    <s v="蛙小辣火锅杯（总账号）"/>
    <x v="5"/>
    <s v="宝山店"/>
    <s v="上海"/>
    <s v="meituan"/>
    <s v="美团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d v="2020-03-07T00:00:00"/>
    <n v="4636"/>
    <s v="蛙小辣火锅杯（总账号）"/>
    <x v="0"/>
    <s v="宝山店"/>
    <s v="上海"/>
    <s v="eleme"/>
    <s v="饿了么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d v="2020-03-07T00:00:00"/>
    <n v="4636"/>
    <s v="蛙小辣火锅杯（总账号）"/>
    <x v="5"/>
    <s v="宝山店"/>
    <s v="上海"/>
    <s v="meituan"/>
    <s v="美团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d v="2020-03-08T00:00:00"/>
    <n v="4636"/>
    <s v="蛙小辣火锅杯（总账号）"/>
    <x v="0"/>
    <s v="宝山店"/>
    <s v="上海"/>
    <s v="eleme"/>
    <s v="饿了么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d v="2020-03-08T00:00:00"/>
    <n v="4636"/>
    <s v="蛙小辣火锅杯（总账号）"/>
    <x v="5"/>
    <s v="宝山店"/>
    <s v="上海"/>
    <s v="meituan"/>
    <s v="美团"/>
    <s v="蛙小辣火锅杯（宝山店）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d v="2020-03-09T00:00:00"/>
    <n v="4636"/>
    <s v="蛙小辣火锅杯（总账号）"/>
    <x v="0"/>
    <s v="宝山店"/>
    <s v="上海"/>
    <s v="eleme"/>
    <s v="饿了么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d v="2020-03-09T00:00:00"/>
    <n v="4636"/>
    <s v="蛙小辣火锅杯（总账号）"/>
    <x v="5"/>
    <s v="宝山店"/>
    <s v="上海"/>
    <s v="meituan"/>
    <s v="美团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d v="2020-03-09T00:00:00"/>
    <n v="4636"/>
    <s v="蛙小辣火锅杯（总账号）"/>
    <x v="1"/>
    <s v="五角场店"/>
    <s v="上海"/>
    <s v="meituan"/>
    <s v="美团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d v="2020-03-09T00:00:00"/>
    <n v="4636"/>
    <s v="蛙小辣火锅杯（总账号）"/>
    <x v="3"/>
    <s v="五角场店"/>
    <s v="上海"/>
    <s v="eleme"/>
    <s v="饿了么"/>
    <s v="蛙小辣火锅杯(五角场店)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d v="2020-03-10T00:00:00"/>
    <n v="4636"/>
    <s v="蛙小辣火锅杯（总账号）"/>
    <x v="0"/>
    <s v="宝山店"/>
    <s v="上海"/>
    <s v="eleme"/>
    <s v="饿了么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d v="2020-03-10T00:00:00"/>
    <n v="4636"/>
    <s v="蛙小辣火锅杯（总账号）"/>
    <x v="5"/>
    <s v="宝山店"/>
    <s v="上海"/>
    <s v="meituan"/>
    <s v="美团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d v="2020-03-10T00:00:00"/>
    <n v="4636"/>
    <s v="蛙小辣火锅杯（总账号）"/>
    <x v="1"/>
    <s v="五角场店"/>
    <s v="上海"/>
    <s v="meituan"/>
    <s v="美团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d v="2020-03-10T00:00:00"/>
    <n v="4636"/>
    <s v="蛙小辣火锅杯（总账号）"/>
    <x v="3"/>
    <s v="五角场店"/>
    <s v="上海"/>
    <s v="eleme"/>
    <s v="饿了么"/>
    <s v="蛙小辣火锅杯(五角场店)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d v="2020-03-11T00:00:00"/>
    <n v="4636"/>
    <s v="蛙小辣火锅杯（总账号）"/>
    <x v="0"/>
    <s v="宝山店"/>
    <s v="上海"/>
    <s v="eleme"/>
    <s v="饿了么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d v="2020-03-11T00:00:00"/>
    <n v="4636"/>
    <s v="蛙小辣火锅杯（总账号）"/>
    <x v="5"/>
    <s v="宝山店"/>
    <s v="上海"/>
    <s v="meituan"/>
    <s v="美团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d v="2020-03-11T00:00:00"/>
    <n v="4636"/>
    <s v="蛙小辣火锅杯（总账号）"/>
    <x v="3"/>
    <s v="五角场店"/>
    <s v="上海"/>
    <s v="eleme"/>
    <s v="饿了么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d v="2020-03-11T00:00:00"/>
    <n v="4636"/>
    <s v="蛙小辣火锅杯（总账号）"/>
    <x v="1"/>
    <s v="五角场店"/>
    <s v="上海"/>
    <s v="meituan"/>
    <s v="美团"/>
    <s v="蛙小辣火锅杯（五角场店）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d v="2020-03-12T00:00:00"/>
    <n v="4636"/>
    <s v="蛙小辣火锅杯（总账号）"/>
    <x v="0"/>
    <s v="宝山店"/>
    <s v="上海"/>
    <s v="eleme"/>
    <s v="饿了么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d v="2020-03-12T00:00:00"/>
    <n v="4636"/>
    <s v="蛙小辣火锅杯（总账号）"/>
    <x v="5"/>
    <s v="宝山店"/>
    <s v="上海"/>
    <s v="meituan"/>
    <s v="美团"/>
    <s v="蛙小辣火锅杯（宝山店）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d v="2020-03-13T00:00:00"/>
    <n v="4636"/>
    <s v="蛙小辣火锅杯（总账号）"/>
    <x v="0"/>
    <s v="宝山店"/>
    <s v="上海"/>
    <s v="eleme"/>
    <s v="饿了么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d v="2020-03-13T00:00:00"/>
    <n v="4636"/>
    <s v="蛙小辣火锅杯（总账号）"/>
    <x v="5"/>
    <s v="宝山店"/>
    <s v="上海"/>
    <s v="meituan"/>
    <s v="美团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d v="2020-03-14T00:00:00"/>
    <n v="4636"/>
    <s v="蛙小辣火锅杯（总账号）"/>
    <x v="0"/>
    <s v="宝山店"/>
    <s v="上海"/>
    <s v="eleme"/>
    <s v="饿了么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d v="2020-03-14T00:00:00"/>
    <n v="4636"/>
    <s v="蛙小辣火锅杯（总账号）"/>
    <x v="5"/>
    <s v="宝山店"/>
    <s v="上海"/>
    <s v="meituan"/>
    <s v="美团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d v="2020-03-15T00:00:00"/>
    <n v="4636"/>
    <s v="蛙小辣火锅杯（总账号）"/>
    <x v="0"/>
    <s v="宝山店"/>
    <s v="上海"/>
    <s v="eleme"/>
    <s v="饿了么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d v="2020-03-15T00:00:00"/>
    <n v="4636"/>
    <s v="蛙小辣火锅杯（总账号）"/>
    <x v="5"/>
    <s v="宝山店"/>
    <s v="上海"/>
    <s v="meituan"/>
    <s v="美团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d v="2020-03-16T00:00:00"/>
    <n v="4636"/>
    <s v="蛙小辣火锅杯（总账号）"/>
    <x v="0"/>
    <s v="宝山店"/>
    <s v="上海"/>
    <s v="eleme"/>
    <s v="饿了么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d v="2020-03-16T00:00:00"/>
    <n v="4636"/>
    <s v="蛙小辣火锅杯（总账号）"/>
    <x v="5"/>
    <s v="宝山店"/>
    <s v="上海"/>
    <s v="meituan"/>
    <s v="美团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d v="2020-03-17T00:00:00"/>
    <n v="4636"/>
    <s v="蛙小辣火锅杯（总账号）"/>
    <x v="0"/>
    <s v="宝山店"/>
    <s v="上海"/>
    <s v="eleme"/>
    <s v="饿了么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d v="2020-03-17T00:00:00"/>
    <n v="4636"/>
    <s v="蛙小辣火锅杯（总账号）"/>
    <x v="5"/>
    <s v="宝山店"/>
    <s v="上海"/>
    <s v="meituan"/>
    <s v="美团"/>
    <s v="蛙小辣火锅杯（宝山店）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d v="2020-03-18T00:00:00"/>
    <n v="4636"/>
    <s v="蛙小辣火锅杯（总账号）"/>
    <x v="0"/>
    <s v="宝山店"/>
    <s v="上海"/>
    <s v="eleme"/>
    <s v="饿了么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d v="2020-03-18T00:00:00"/>
    <n v="4636"/>
    <s v="蛙小辣火锅杯（总账号）"/>
    <x v="5"/>
    <s v="宝山店"/>
    <s v="上海"/>
    <s v="meituan"/>
    <s v="美团"/>
    <s v="蛙小辣火锅杯（宝山店）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d v="2020-03-19T00:00:00"/>
    <n v="4636"/>
    <s v="蛙小辣火锅杯（总账号）"/>
    <x v="0"/>
    <s v="宝山店"/>
    <s v="上海"/>
    <s v="eleme"/>
    <s v="饿了么"/>
    <s v="蛙小辣·美蛙火锅杯(宝山店)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d v="2020-03-19T00:00:00"/>
    <n v="4636"/>
    <s v="蛙小辣火锅杯（总账号）"/>
    <x v="5"/>
    <s v="宝山店"/>
    <s v="上海"/>
    <s v="meituan"/>
    <s v="美团"/>
    <s v="蛙小辣火锅杯（宝山店）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d v="2020-03-20T00:00:00"/>
    <n v="4636"/>
    <s v="蛙小辣火锅杯（总账号）"/>
    <x v="0"/>
    <s v="宝山店"/>
    <s v="上海"/>
    <s v="eleme"/>
    <s v="饿了么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d v="2020-03-20T00:00:00"/>
    <n v="4636"/>
    <s v="蛙小辣火锅杯（总账号）"/>
    <x v="5"/>
    <s v="宝山店"/>
    <s v="上海"/>
    <s v="meituan"/>
    <s v="美团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d v="2020-03-20T00:00:00"/>
    <n v="4636"/>
    <s v="蛙小辣火锅杯（总账号）"/>
    <x v="1"/>
    <s v="五角场店"/>
    <s v="上海"/>
    <s v="meituan"/>
    <s v="美团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d v="2020-03-20T00:00:00"/>
    <n v="4636"/>
    <s v="蛙小辣火锅杯（总账号）"/>
    <x v="3"/>
    <s v="五角场店"/>
    <s v="上海"/>
    <s v="eleme"/>
    <s v="饿了么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d v="2020-03-21T00:00:00"/>
    <n v="4636"/>
    <s v="蛙小辣火锅杯（总账号）"/>
    <x v="0"/>
    <s v="宝山店"/>
    <s v="上海"/>
    <s v="eleme"/>
    <s v="饿了么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d v="2020-03-21T00:00:00"/>
    <n v="4636"/>
    <s v="蛙小辣火锅杯（总账号）"/>
    <x v="3"/>
    <s v="五角场店"/>
    <s v="上海"/>
    <s v="eleme"/>
    <s v="饿了么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d v="2020-03-21T00:00:00"/>
    <n v="4636"/>
    <s v="蛙小辣火锅杯（总账号）"/>
    <x v="1"/>
    <s v="五角场店"/>
    <s v="上海"/>
    <s v="meituan"/>
    <s v="美团"/>
    <s v="蛙小辣火锅杯（五角场店）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d v="2020-03-22T00:00:00"/>
    <n v="4636"/>
    <s v="蛙小辣火锅杯（总账号）"/>
    <x v="0"/>
    <s v="宝山店"/>
    <s v="上海"/>
    <s v="eleme"/>
    <s v="饿了么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d v="2020-03-22T00:00:00"/>
    <n v="4636"/>
    <s v="蛙小辣火锅杯（总账号）"/>
    <x v="1"/>
    <s v="五角场店"/>
    <s v="上海"/>
    <s v="meituan"/>
    <s v="美团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d v="2020-03-22T00:00:00"/>
    <n v="4636"/>
    <s v="蛙小辣火锅杯（总账号）"/>
    <x v="3"/>
    <s v="五角场店"/>
    <s v="上海"/>
    <s v="eleme"/>
    <s v="饿了么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d v="2020-03-23T00:00:00"/>
    <n v="4636"/>
    <s v="蛙小辣火锅杯（总账号）"/>
    <x v="0"/>
    <s v="宝山店"/>
    <s v="上海"/>
    <s v="eleme"/>
    <s v="饿了么"/>
    <s v="蛙小辣·美蛙火锅杯(宝山店)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d v="2020-03-23T00:00:00"/>
    <n v="4636"/>
    <s v="蛙小辣火锅杯（总账号）"/>
    <x v="5"/>
    <s v="宝山店"/>
    <s v="上海"/>
    <s v="meituan"/>
    <s v="美团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d v="2020-03-23T00:00:00"/>
    <n v="4636"/>
    <s v="蛙小辣火锅杯（总账号）"/>
    <x v="1"/>
    <s v="五角场店"/>
    <s v="上海"/>
    <s v="meituan"/>
    <s v="美团"/>
    <s v="蛙小辣火锅杯（五角场店）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d v="2020-03-23T00:00:00"/>
    <n v="4636"/>
    <s v="蛙小辣火锅杯（总账号）"/>
    <x v="3"/>
    <s v="五角场店"/>
    <s v="上海"/>
    <s v="eleme"/>
    <s v="饿了么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d v="2020-03-24T00:00:00"/>
    <n v="4636"/>
    <s v="蛙小辣火锅杯（总账号）"/>
    <x v="0"/>
    <s v="宝山店"/>
    <s v="上海"/>
    <s v="eleme"/>
    <s v="饿了么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d v="2020-03-24T00:00:00"/>
    <n v="4636"/>
    <s v="蛙小辣火锅杯（总账号）"/>
    <x v="5"/>
    <s v="宝山店"/>
    <s v="上海"/>
    <s v="meituan"/>
    <s v="美团"/>
    <s v="蛙小辣火锅杯（宝山店）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d v="2020-03-24T00:00:00"/>
    <n v="4636"/>
    <s v="蛙小辣火锅杯（总账号）"/>
    <x v="1"/>
    <s v="五角场店"/>
    <s v="上海"/>
    <s v="meituan"/>
    <s v="美团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d v="2020-03-24T00:00:00"/>
    <n v="4636"/>
    <s v="蛙小辣火锅杯（总账号）"/>
    <x v="3"/>
    <s v="五角场店"/>
    <s v="上海"/>
    <s v="eleme"/>
    <s v="饿了么"/>
    <s v="蛙小辣火锅杯(五角场店)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d v="2020-03-25T00:00:00"/>
    <n v="4636"/>
    <s v="蛙小辣火锅杯（总账号）"/>
    <x v="0"/>
    <s v="宝山店"/>
    <s v="上海"/>
    <s v="eleme"/>
    <s v="饿了么"/>
    <s v="蛙小辣·美蛙火锅杯(宝山店)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d v="2020-03-25T00:00:00"/>
    <n v="4636"/>
    <s v="蛙小辣火锅杯（总账号）"/>
    <x v="5"/>
    <s v="宝山店"/>
    <s v="上海"/>
    <s v="meituan"/>
    <s v="美团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d v="2020-03-25T00:00:00"/>
    <n v="4636"/>
    <s v="蛙小辣火锅杯（总账号）"/>
    <x v="1"/>
    <s v="五角场店"/>
    <s v="上海"/>
    <s v="meituan"/>
    <s v="美团"/>
    <s v="蛙小辣火锅杯（五角场店）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d v="2020-03-25T00:00:00"/>
    <n v="4636"/>
    <s v="蛙小辣火锅杯（总账号）"/>
    <x v="3"/>
    <s v="五角场店"/>
    <s v="上海"/>
    <s v="eleme"/>
    <s v="饿了么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d v="2020-03-26T00:00:00"/>
    <n v="4636"/>
    <s v="蛙小辣火锅杯（总账号）"/>
    <x v="0"/>
    <s v="宝山店"/>
    <s v="上海"/>
    <s v="eleme"/>
    <s v="饿了么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d v="2020-03-26T00:00:00"/>
    <n v="4636"/>
    <s v="蛙小辣火锅杯（总账号）"/>
    <x v="5"/>
    <s v="宝山店"/>
    <s v="上海"/>
    <s v="meituan"/>
    <s v="美团"/>
    <s v="蛙小辣火锅杯（宝山店）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d v="2020-03-26T00:00:00"/>
    <n v="4636"/>
    <s v="蛙小辣火锅杯（总账号）"/>
    <x v="3"/>
    <s v="五角场店"/>
    <s v="上海"/>
    <s v="eleme"/>
    <s v="饿了么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d v="2020-03-27T00:00:00"/>
    <n v="4636"/>
    <s v="蛙小辣火锅杯（总账号）"/>
    <x v="0"/>
    <s v="宝山店"/>
    <s v="上海"/>
    <s v="eleme"/>
    <s v="饿了么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d v="2020-03-27T00:00:00"/>
    <n v="4636"/>
    <s v="蛙小辣火锅杯（总账号）"/>
    <x v="5"/>
    <s v="宝山店"/>
    <s v="上海"/>
    <s v="meituan"/>
    <s v="美团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d v="2020-03-27T00:00:00"/>
    <n v="4636"/>
    <s v="蛙小辣火锅杯（总账号）"/>
    <x v="3"/>
    <s v="五角场店"/>
    <s v="上海"/>
    <s v="eleme"/>
    <s v="饿了么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d v="2020-03-28T00:00:00"/>
    <n v="4636"/>
    <s v="蛙小辣火锅杯（总账号）"/>
    <x v="0"/>
    <s v="宝山店"/>
    <s v="上海"/>
    <s v="eleme"/>
    <s v="饿了么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d v="2020-03-28T00:00:00"/>
    <n v="4636"/>
    <s v="蛙小辣火锅杯（总账号）"/>
    <x v="5"/>
    <s v="宝山店"/>
    <s v="上海"/>
    <s v="meituan"/>
    <s v="美团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d v="2020-03-28T00:00:00"/>
    <n v="4636"/>
    <s v="蛙小辣火锅杯（总账号）"/>
    <x v="3"/>
    <s v="五角场店"/>
    <s v="上海"/>
    <s v="eleme"/>
    <s v="饿了么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d v="2020-03-29T00:00:00"/>
    <n v="4636"/>
    <s v="蛙小辣火锅杯（总账号）"/>
    <x v="0"/>
    <s v="宝山店"/>
    <s v="上海"/>
    <s v="eleme"/>
    <s v="饿了么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d v="2020-03-29T00:00:00"/>
    <n v="4636"/>
    <s v="蛙小辣火锅杯（总账号）"/>
    <x v="5"/>
    <s v="宝山店"/>
    <s v="上海"/>
    <s v="meituan"/>
    <s v="美团"/>
    <s v="蛙小辣火锅杯（宝山店）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d v="2020-03-29T00:00:00"/>
    <n v="4636"/>
    <s v="蛙小辣火锅杯（总账号）"/>
    <x v="3"/>
    <s v="五角场店"/>
    <s v="上海"/>
    <s v="eleme"/>
    <s v="饿了么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d v="2020-03-30T00:00:00"/>
    <n v="4636"/>
    <s v="蛙小辣火锅杯（总账号）"/>
    <x v="5"/>
    <s v="宝山店"/>
    <s v="上海"/>
    <s v="meituan"/>
    <s v="美团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d v="2020-03-31T00:00:00"/>
    <n v="4636"/>
    <s v="蛙小辣火锅杯（总账号）"/>
    <x v="5"/>
    <s v="宝山店"/>
    <s v="上海"/>
    <s v="meituan"/>
    <s v="美团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d v="2020-04-01T00:00:00"/>
    <n v="4636"/>
    <s v="蛙小辣火锅杯（总账号）"/>
    <x v="0"/>
    <s v="宝山店"/>
    <s v="上海"/>
    <s v="eleme"/>
    <s v="饿了么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d v="2020-04-01T00:00:00"/>
    <n v="4636"/>
    <s v="蛙小辣火锅杯（总账号）"/>
    <x v="5"/>
    <s v="宝山店"/>
    <s v="上海"/>
    <s v="meituan"/>
    <s v="美团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d v="2020-04-02T00:00:00"/>
    <n v="4636"/>
    <s v="蛙小辣火锅杯（总账号）"/>
    <x v="0"/>
    <s v="宝山店"/>
    <s v="上海"/>
    <s v="eleme"/>
    <s v="饿了么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d v="2020-04-02T00:00:00"/>
    <n v="4636"/>
    <s v="蛙小辣火锅杯（总账号）"/>
    <x v="5"/>
    <s v="宝山店"/>
    <s v="上海"/>
    <s v="meituan"/>
    <s v="美团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d v="2020-04-02T00:00:00"/>
    <n v="4636"/>
    <s v="蛙小辣火锅杯（总账号）"/>
    <x v="3"/>
    <s v="五角场店"/>
    <s v="上海"/>
    <s v="eleme"/>
    <s v="饿了么"/>
    <s v="蛙小辣火锅杯(五角场店)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d v="2020-04-02T00:00:00"/>
    <n v="4636"/>
    <s v="蛙小辣火锅杯（总账号）"/>
    <x v="1"/>
    <s v="五角场店"/>
    <s v="上海"/>
    <s v="meituan"/>
    <s v="美团"/>
    <s v="蛙小辣火锅杯（五角场店）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d v="2020-04-03T00:00:00"/>
    <n v="4636"/>
    <s v="蛙小辣火锅杯（总账号）"/>
    <x v="0"/>
    <s v="宝山店"/>
    <s v="上海"/>
    <s v="eleme"/>
    <s v="饿了么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d v="2020-04-03T00:00:00"/>
    <n v="4636"/>
    <s v="蛙小辣火锅杯（总账号）"/>
    <x v="5"/>
    <s v="宝山店"/>
    <s v="上海"/>
    <s v="meituan"/>
    <s v="美团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d v="2020-04-03T00:00:00"/>
    <n v="4636"/>
    <s v="蛙小辣火锅杯（总账号）"/>
    <x v="3"/>
    <s v="五角场店"/>
    <s v="上海"/>
    <s v="eleme"/>
    <s v="饿了么"/>
    <s v="蛙小辣火锅杯(五角场店)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d v="2020-04-04T00:00:00"/>
    <n v="4636"/>
    <s v="蛙小辣火锅杯（总账号）"/>
    <x v="0"/>
    <s v="宝山店"/>
    <s v="上海"/>
    <s v="eleme"/>
    <s v="饿了么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d v="2020-04-04T00:00:00"/>
    <n v="4636"/>
    <s v="蛙小辣火锅杯（总账号）"/>
    <x v="5"/>
    <s v="宝山店"/>
    <s v="上海"/>
    <s v="meituan"/>
    <s v="美团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d v="2020-04-04T00:00:00"/>
    <n v="4636"/>
    <s v="蛙小辣火锅杯（总账号）"/>
    <x v="3"/>
    <s v="五角场店"/>
    <s v="上海"/>
    <s v="eleme"/>
    <s v="饿了么"/>
    <s v="蛙小辣火锅杯(五角场店)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d v="2020-04-05T00:00:00"/>
    <n v="4636"/>
    <s v="蛙小辣火锅杯（总账号）"/>
    <x v="0"/>
    <s v="宝山店"/>
    <s v="上海"/>
    <s v="eleme"/>
    <s v="饿了么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d v="2020-04-05T00:00:00"/>
    <n v="4636"/>
    <s v="蛙小辣火锅杯（总账号）"/>
    <x v="5"/>
    <s v="宝山店"/>
    <s v="上海"/>
    <s v="meituan"/>
    <s v="美团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d v="2020-04-05T00:00:00"/>
    <n v="4636"/>
    <s v="蛙小辣火锅杯（总账号）"/>
    <x v="3"/>
    <s v="五角场店"/>
    <s v="上海"/>
    <s v="eleme"/>
    <s v="饿了么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d v="2020-04-06T00:00:00"/>
    <n v="4636"/>
    <s v="蛙小辣火锅杯（总账号）"/>
    <x v="0"/>
    <s v="宝山店"/>
    <s v="上海"/>
    <s v="eleme"/>
    <s v="饿了么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d v="2020-04-06T00:00:00"/>
    <n v="4636"/>
    <s v="蛙小辣火锅杯（总账号）"/>
    <x v="5"/>
    <s v="宝山店"/>
    <s v="上海"/>
    <s v="meituan"/>
    <s v="美团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d v="2020-04-06T00:00:00"/>
    <n v="4636"/>
    <s v="蛙小辣火锅杯（总账号）"/>
    <x v="3"/>
    <s v="五角场店"/>
    <s v="上海"/>
    <s v="eleme"/>
    <s v="饿了么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d v="2020-04-07T00:00:00"/>
    <n v="4636"/>
    <s v="蛙小辣火锅杯（总账号）"/>
    <x v="0"/>
    <s v="宝山店"/>
    <s v="上海"/>
    <s v="eleme"/>
    <s v="饿了么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d v="2020-04-07T00:00:00"/>
    <n v="4636"/>
    <s v="蛙小辣火锅杯（总账号）"/>
    <x v="3"/>
    <s v="五角场店"/>
    <s v="上海"/>
    <s v="eleme"/>
    <s v="饿了么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d v="2020-04-07T00:00:00"/>
    <n v="4636"/>
    <s v="蛙小辣火锅杯（总账号）"/>
    <x v="5"/>
    <s v="宝山店"/>
    <s v="上海"/>
    <s v="meituan"/>
    <s v="美团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d v="2020-04-08T00:00:00"/>
    <n v="4636"/>
    <s v="蛙小辣火锅杯（总账号）"/>
    <x v="0"/>
    <s v="宝山店"/>
    <s v="上海"/>
    <s v="eleme"/>
    <s v="饿了么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d v="2020-04-08T00:00:00"/>
    <n v="4636"/>
    <s v="蛙小辣火锅杯（总账号）"/>
    <x v="3"/>
    <s v="五角场店"/>
    <s v="上海"/>
    <s v="eleme"/>
    <s v="饿了么"/>
    <s v="蛙小辣·美蛙火锅杯(五角场店)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d v="2020-04-08T00:00:00"/>
    <n v="4636"/>
    <s v="蛙小辣火锅杯（总账号）"/>
    <x v="5"/>
    <s v="宝山店"/>
    <s v="上海"/>
    <s v="meituan"/>
    <s v="美团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d v="2020-04-09T00:00:00"/>
    <n v="4636"/>
    <s v="蛙小辣火锅杯（总账号）"/>
    <x v="0"/>
    <s v="宝山店"/>
    <s v="上海"/>
    <s v="eleme"/>
    <s v="饿了么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d v="2020-04-09T00:00:00"/>
    <n v="4636"/>
    <s v="蛙小辣火锅杯（总账号）"/>
    <x v="3"/>
    <s v="五角场店"/>
    <s v="上海"/>
    <s v="eleme"/>
    <s v="饿了么"/>
    <s v="蛙小辣·美蛙火锅杯(五角场店)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d v="2020-04-09T00:00:00"/>
    <n v="4636"/>
    <s v="蛙小辣火锅杯（总账号）"/>
    <x v="5"/>
    <s v="宝山店"/>
    <s v="上海"/>
    <s v="meituan"/>
    <s v="美团"/>
    <s v="蛙小辣火锅杯（宝山店）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d v="2020-04-10T00:00:00"/>
    <n v="4636"/>
    <s v="蛙小辣火锅杯（总账号）"/>
    <x v="0"/>
    <s v="宝山店"/>
    <s v="上海"/>
    <s v="eleme"/>
    <s v="饿了么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d v="2020-04-10T00:00:00"/>
    <n v="4636"/>
    <s v="蛙小辣火锅杯（总账号）"/>
    <x v="3"/>
    <s v="五角场店"/>
    <s v="上海"/>
    <s v="eleme"/>
    <s v="饿了么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d v="2020-04-10T00:00:00"/>
    <n v="4636"/>
    <s v="蛙小辣火锅杯（总账号）"/>
    <x v="5"/>
    <s v="宝山店"/>
    <s v="上海"/>
    <s v="meituan"/>
    <s v="美团"/>
    <s v="蛙小辣火锅杯（宝山店）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d v="2020-04-11T00:00:00"/>
    <n v="4636"/>
    <s v="蛙小辣火锅杯（总账号）"/>
    <x v="3"/>
    <s v="五角场店"/>
    <s v="上海"/>
    <s v="eleme"/>
    <s v="饿了么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d v="2020-04-11T00:00:00"/>
    <n v="4636"/>
    <s v="蛙小辣火锅杯（总账号）"/>
    <x v="0"/>
    <s v="宝山店"/>
    <s v="上海"/>
    <s v="eleme"/>
    <s v="饿了么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d v="2020-04-11T00:00:00"/>
    <n v="4636"/>
    <s v="蛙小辣火锅杯（总账号）"/>
    <x v="5"/>
    <s v="宝山店"/>
    <s v="上海"/>
    <s v="meituan"/>
    <s v="美团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d v="2020-04-12T00:00:00"/>
    <n v="4636"/>
    <s v="蛙小辣火锅杯（总账号）"/>
    <x v="3"/>
    <s v="五角场店"/>
    <s v="上海"/>
    <s v="eleme"/>
    <s v="饿了么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d v="2020-04-12T00:00:00"/>
    <n v="4636"/>
    <s v="蛙小辣火锅杯（总账号）"/>
    <x v="0"/>
    <s v="宝山店"/>
    <s v="上海"/>
    <s v="eleme"/>
    <s v="饿了么"/>
    <s v="蛙小辣·美蛙火锅杯麻辣烫(宝山店)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d v="2020-04-12T00:00:00"/>
    <n v="4636"/>
    <s v="蛙小辣火锅杯（总账号）"/>
    <x v="5"/>
    <s v="宝山店"/>
    <s v="上海"/>
    <s v="meituan"/>
    <s v="美团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d v="2020-04-13T00:00:00"/>
    <n v="4636"/>
    <s v="蛙小辣火锅杯（总账号）"/>
    <x v="3"/>
    <s v="五角场店"/>
    <s v="上海"/>
    <s v="eleme"/>
    <s v="饿了么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d v="2020-04-13T00:00:00"/>
    <n v="4636"/>
    <s v="蛙小辣火锅杯（总账号）"/>
    <x v="0"/>
    <s v="宝山店"/>
    <s v="上海"/>
    <s v="eleme"/>
    <s v="饿了么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d v="2020-04-13T00:00:00"/>
    <n v="4636"/>
    <s v="蛙小辣火锅杯（总账号）"/>
    <x v="5"/>
    <s v="宝山店"/>
    <s v="上海"/>
    <s v="meituan"/>
    <s v="美团"/>
    <s v="蛙小辣火锅杯（宝山店）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d v="2020-04-14T00:00:00"/>
    <n v="4636"/>
    <s v="蛙小辣火锅杯（总账号）"/>
    <x v="3"/>
    <s v="五角场店"/>
    <s v="上海"/>
    <s v="eleme"/>
    <s v="饿了么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d v="2020-04-14T00:00:00"/>
    <n v="4636"/>
    <s v="蛙小辣火锅杯（总账号）"/>
    <x v="0"/>
    <s v="宝山店"/>
    <s v="上海"/>
    <s v="eleme"/>
    <s v="饿了么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d v="2020-04-14T00:00:00"/>
    <n v="4636"/>
    <s v="蛙小辣火锅杯（总账号）"/>
    <x v="5"/>
    <s v="宝山店"/>
    <s v="上海"/>
    <s v="meituan"/>
    <s v="美团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d v="2020-04-15T00:00:00"/>
    <n v="4636"/>
    <s v="蛙小辣火锅杯（总账号）"/>
    <x v="3"/>
    <s v="五角场店"/>
    <s v="上海"/>
    <s v="eleme"/>
    <s v="饿了么"/>
    <s v="蛙小辣·美蛙火锅杯(五角场店)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d v="2020-04-15T00:00:00"/>
    <n v="4636"/>
    <s v="蛙小辣火锅杯（总账号）"/>
    <x v="0"/>
    <s v="宝山店"/>
    <s v="上海"/>
    <s v="eleme"/>
    <s v="饿了么"/>
    <s v="蛙小辣·美蛙火锅杯麻辣烫(宝山店)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d v="2020-04-15T00:00:00"/>
    <n v="4636"/>
    <s v="蛙小辣火锅杯（总账号）"/>
    <x v="5"/>
    <s v="宝山店"/>
    <s v="上海"/>
    <s v="meituan"/>
    <s v="美团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d v="2020-04-16T00:00:00"/>
    <n v="4636"/>
    <s v="蛙小辣火锅杯（总账号）"/>
    <x v="3"/>
    <s v="五角场店"/>
    <s v="上海"/>
    <s v="eleme"/>
    <s v="饿了么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d v="2020-04-16T00:00:00"/>
    <n v="4636"/>
    <s v="蛙小辣火锅杯（总账号）"/>
    <x v="0"/>
    <s v="宝山店"/>
    <s v="上海"/>
    <s v="eleme"/>
    <s v="饿了么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d v="2020-04-16T00:00:00"/>
    <n v="4636"/>
    <s v="蛙小辣火锅杯（总账号）"/>
    <x v="5"/>
    <s v="宝山店"/>
    <s v="上海"/>
    <s v="meituan"/>
    <s v="美团"/>
    <s v="蛙小辣火锅杯（宝山店）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d v="2020-04-17T00:00:00"/>
    <n v="4636"/>
    <s v="蛙小辣火锅杯（总账号）"/>
    <x v="0"/>
    <s v="宝山店"/>
    <s v="上海"/>
    <s v="eleme"/>
    <s v="饿了么"/>
    <s v="蛙小辣·美蛙火锅杯麻辣烫(宝山店)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d v="2020-04-17T00:00:00"/>
    <n v="4636"/>
    <s v="蛙小辣火锅杯（总账号）"/>
    <x v="3"/>
    <s v="五角场店"/>
    <s v="上海"/>
    <s v="eleme"/>
    <s v="饿了么"/>
    <s v="蛙小辣·美蛙火锅杯麻辣烫(五角场店)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d v="2020-04-17T00:00:00"/>
    <n v="4636"/>
    <s v="蛙小辣火锅杯（总账号）"/>
    <x v="5"/>
    <s v="宝山店"/>
    <s v="上海"/>
    <s v="meituan"/>
    <s v="美团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d v="2020-04-18T00:00:00"/>
    <n v="4636"/>
    <s v="蛙小辣火锅杯（总账号）"/>
    <x v="0"/>
    <s v="宝山店"/>
    <s v="上海"/>
    <s v="eleme"/>
    <s v="饿了么"/>
    <s v="蛙小辣·美蛙火锅杯麻辣烫(宝山店)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d v="2020-04-18T00:00:00"/>
    <n v="4636"/>
    <s v="蛙小辣火锅杯（总账号）"/>
    <x v="3"/>
    <s v="五角场店"/>
    <s v="上海"/>
    <s v="eleme"/>
    <s v="饿了么"/>
    <s v="蛙小辣·美蛙火锅杯麻辣烫(五角场店)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d v="2020-04-18T00:00:00"/>
    <n v="4636"/>
    <s v="蛙小辣火锅杯（总账号）"/>
    <x v="5"/>
    <s v="宝山店"/>
    <s v="上海"/>
    <s v="meituan"/>
    <s v="美团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d v="2020-04-19T00:00:00"/>
    <n v="4636"/>
    <s v="蛙小辣火锅杯（总账号）"/>
    <x v="0"/>
    <s v="宝山店"/>
    <s v="上海"/>
    <s v="eleme"/>
    <s v="饿了么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d v="2020-04-19T00:00:00"/>
    <n v="4636"/>
    <s v="蛙小辣火锅杯（总账号）"/>
    <x v="3"/>
    <s v="五角场店"/>
    <s v="上海"/>
    <s v="eleme"/>
    <s v="饿了么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d v="2020-04-19T00:00:00"/>
    <n v="4636"/>
    <s v="蛙小辣火锅杯（总账号）"/>
    <x v="5"/>
    <s v="宝山店"/>
    <s v="上海"/>
    <s v="meituan"/>
    <s v="美团"/>
    <s v="蛙小辣火锅杯（宝山店）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d v="2020-04-20T00:00:00"/>
    <n v="4636"/>
    <s v="蛙小辣火锅杯（总账号）"/>
    <x v="0"/>
    <s v="宝山店"/>
    <s v="上海"/>
    <s v="eleme"/>
    <s v="饿了么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d v="2020-04-20T00:00:00"/>
    <n v="4636"/>
    <s v="蛙小辣火锅杯（总账号）"/>
    <x v="3"/>
    <s v="五角场店"/>
    <s v="上海"/>
    <s v="eleme"/>
    <s v="饿了么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d v="2020-04-20T00:00:00"/>
    <n v="4636"/>
    <s v="蛙小辣火锅杯（总账号）"/>
    <x v="5"/>
    <s v="宝山店"/>
    <s v="上海"/>
    <s v="meituan"/>
    <s v="美团"/>
    <s v="蛙小辣火锅杯（宝山店）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d v="2020-04-20T00:00:00"/>
    <n v="4636"/>
    <s v="蛙小辣火锅杯（总账号）"/>
    <x v="1"/>
    <s v="五角场店"/>
    <s v="上海"/>
    <s v="meituan"/>
    <s v="美团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d v="2020-04-21T00:00:00"/>
    <n v="4636"/>
    <s v="蛙小辣火锅杯（总账号）"/>
    <x v="0"/>
    <s v="宝山店"/>
    <s v="上海"/>
    <s v="eleme"/>
    <s v="饿了么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d v="2020-04-21T00:00:00"/>
    <n v="4636"/>
    <s v="蛙小辣火锅杯（总账号）"/>
    <x v="3"/>
    <s v="五角场店"/>
    <s v="上海"/>
    <s v="eleme"/>
    <s v="饿了么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d v="2020-04-21T00:00:00"/>
    <n v="4636"/>
    <s v="蛙小辣火锅杯（总账号）"/>
    <x v="5"/>
    <s v="宝山店"/>
    <s v="上海"/>
    <s v="meituan"/>
    <s v="美团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d v="2020-04-21T00:00:00"/>
    <n v="4636"/>
    <s v="蛙小辣火锅杯（总账号）"/>
    <x v="1"/>
    <s v="五角场店"/>
    <s v="上海"/>
    <s v="meituan"/>
    <s v="美团"/>
    <s v="蛙小辣火锅杯（五角场店）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d v="2020-04-22T00:00:00"/>
    <n v="4636"/>
    <s v="蛙小辣火锅杯（总账号）"/>
    <x v="0"/>
    <s v="宝山店"/>
    <s v="上海"/>
    <s v="eleme"/>
    <s v="饿了么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d v="2020-04-22T00:00:00"/>
    <n v="4636"/>
    <s v="蛙小辣火锅杯（总账号）"/>
    <x v="3"/>
    <s v="五角场店"/>
    <s v="上海"/>
    <s v="eleme"/>
    <s v="饿了么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d v="2020-04-22T00:00:00"/>
    <n v="4636"/>
    <s v="蛙小辣火锅杯（总账号）"/>
    <x v="5"/>
    <s v="宝山店"/>
    <s v="上海"/>
    <s v="meituan"/>
    <s v="美团"/>
    <s v="蛙小辣火锅杯（宝山店）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d v="2020-04-22T00:00:00"/>
    <n v="4636"/>
    <s v="蛙小辣火锅杯（总账号）"/>
    <x v="1"/>
    <s v="五角场店"/>
    <s v="上海"/>
    <s v="meituan"/>
    <s v="美团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d v="2020-04-23T00:00:00"/>
    <n v="4636"/>
    <s v="蛙小辣火锅杯（总账号）"/>
    <x v="0"/>
    <s v="宝山店"/>
    <s v="上海"/>
    <s v="eleme"/>
    <s v="饿了么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d v="2020-04-23T00:00:00"/>
    <n v="4636"/>
    <s v="蛙小辣火锅杯（总账号）"/>
    <x v="1"/>
    <s v="五角场店"/>
    <s v="上海"/>
    <s v="meituan"/>
    <s v="美团"/>
    <s v="蛙小辣·美蛙火锅杯麻辣烫（五角场店）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d v="2020-04-23T00:00:00"/>
    <n v="4636"/>
    <s v="蛙小辣火锅杯（总账号）"/>
    <x v="3"/>
    <s v="五角场店"/>
    <s v="上海"/>
    <s v="eleme"/>
    <s v="饿了么"/>
    <s v="蛙小辣·美蛙火锅杯麻辣烫(五角场店)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d v="2020-04-23T00:00:00"/>
    <n v="4636"/>
    <s v="蛙小辣火锅杯（总账号）"/>
    <x v="5"/>
    <s v="宝山店"/>
    <s v="上海"/>
    <s v="meituan"/>
    <s v="美团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d v="2020-04-24T00:00:00"/>
    <n v="4636"/>
    <s v="蛙小辣火锅杯（总账号）"/>
    <x v="0"/>
    <s v="宝山店"/>
    <s v="上海"/>
    <s v="eleme"/>
    <s v="饿了么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d v="2020-04-24T00:00:00"/>
    <n v="4636"/>
    <s v="蛙小辣火锅杯（总账号）"/>
    <x v="3"/>
    <s v="五角场店"/>
    <s v="上海"/>
    <s v="eleme"/>
    <s v="饿了么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d v="2020-04-24T00:00:00"/>
    <n v="4636"/>
    <s v="蛙小辣火锅杯（总账号）"/>
    <x v="5"/>
    <s v="宝山店"/>
    <s v="上海"/>
    <s v="meituan"/>
    <s v="美团"/>
    <s v="蛙小辣火锅杯（宝山店）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d v="2020-04-25T00:00:00"/>
    <n v="4636"/>
    <s v="蛙小辣火锅杯（总账号）"/>
    <x v="0"/>
    <s v="宝山店"/>
    <s v="上海"/>
    <s v="eleme"/>
    <s v="饿了么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d v="2020-04-25T00:00:00"/>
    <n v="4636"/>
    <s v="蛙小辣火锅杯（总账号）"/>
    <x v="3"/>
    <s v="五角场店"/>
    <s v="上海"/>
    <s v="eleme"/>
    <s v="饿了么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d v="2020-04-25T00:00:00"/>
    <n v="4636"/>
    <s v="蛙小辣火锅杯（总账号）"/>
    <x v="5"/>
    <s v="宝山店"/>
    <s v="上海"/>
    <s v="meituan"/>
    <s v="美团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d v="2020-04-26T00:00:00"/>
    <n v="4636"/>
    <s v="蛙小辣火锅杯（总账号）"/>
    <x v="0"/>
    <s v="宝山店"/>
    <s v="上海"/>
    <s v="eleme"/>
    <s v="饿了么"/>
    <s v="蛙小辣·美蛙火锅杯麻辣烫(宝山店)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d v="2020-04-26T00:00:00"/>
    <n v="4636"/>
    <s v="蛙小辣火锅杯（总账号）"/>
    <x v="5"/>
    <s v="宝山店"/>
    <s v="上海"/>
    <s v="meituan"/>
    <s v="美团"/>
    <s v="蛙小辣火锅杯（宝山店）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d v="2020-04-27T00:00:00"/>
    <n v="4636"/>
    <s v="蛙小辣火锅杯（总账号）"/>
    <x v="0"/>
    <s v="宝山店"/>
    <s v="上海"/>
    <s v="eleme"/>
    <s v="饿了么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d v="2020-04-27T00:00:00"/>
    <n v="4636"/>
    <s v="蛙小辣火锅杯（总账号）"/>
    <x v="3"/>
    <s v="五角场店"/>
    <s v="上海"/>
    <s v="eleme"/>
    <s v="饿了么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d v="2020-04-27T00:00:00"/>
    <n v="4636"/>
    <s v="蛙小辣火锅杯（总账号）"/>
    <x v="5"/>
    <s v="宝山店"/>
    <s v="上海"/>
    <s v="meituan"/>
    <s v="美团"/>
    <s v="蛙小辣火锅杯（宝山店）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d v="2020-04-28T00:00:00"/>
    <n v="4636"/>
    <s v="蛙小辣火锅杯（总账号）"/>
    <x v="0"/>
    <s v="宝山店"/>
    <s v="上海"/>
    <s v="eleme"/>
    <s v="饿了么"/>
    <s v="蛙小辣·美蛙火锅杯麻辣烫(宝山店)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d v="2020-04-28T00:00:00"/>
    <n v="4636"/>
    <s v="蛙小辣火锅杯（总账号）"/>
    <x v="3"/>
    <s v="五角场店"/>
    <s v="上海"/>
    <s v="eleme"/>
    <s v="饿了么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d v="2020-04-28T00:00:00"/>
    <n v="4636"/>
    <s v="蛙小辣火锅杯（总账号）"/>
    <x v="5"/>
    <s v="宝山店"/>
    <s v="上海"/>
    <s v="meituan"/>
    <s v="美团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d v="2020-04-29T00:00:00"/>
    <n v="4636"/>
    <s v="蛙小辣火锅杯（总账号）"/>
    <x v="0"/>
    <s v="宝山店"/>
    <s v="上海"/>
    <s v="eleme"/>
    <s v="饿了么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d v="2020-04-29T00:00:00"/>
    <n v="4636"/>
    <s v="蛙小辣火锅杯（总账号）"/>
    <x v="3"/>
    <s v="五角场店"/>
    <s v="上海"/>
    <s v="eleme"/>
    <s v="饿了么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d v="2020-04-29T00:00:00"/>
    <n v="4636"/>
    <s v="蛙小辣火锅杯（总账号）"/>
    <x v="5"/>
    <s v="宝山店"/>
    <s v="上海"/>
    <s v="meituan"/>
    <s v="美团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d v="2020-04-30T00:00:00"/>
    <n v="4636"/>
    <s v="蛙小辣火锅杯（总账号）"/>
    <x v="0"/>
    <s v="宝山店"/>
    <s v="上海"/>
    <s v="eleme"/>
    <s v="饿了么"/>
    <s v="蛙小辣·美蛙火锅杯麻辣烫(宝山店)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d v="2020-04-30T00:00:00"/>
    <n v="4636"/>
    <s v="蛙小辣火锅杯（总账号）"/>
    <x v="3"/>
    <s v="五角场店"/>
    <s v="上海"/>
    <s v="eleme"/>
    <s v="饿了么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d v="2020-04-30T00:00:00"/>
    <n v="4636"/>
    <s v="蛙小辣火锅杯（总账号）"/>
    <x v="5"/>
    <s v="宝山店"/>
    <s v="上海"/>
    <s v="meituan"/>
    <s v="美团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d v="2020-05-01T00:00:00"/>
    <n v="4636"/>
    <s v="蛙小辣火锅杯（总账号）"/>
    <x v="0"/>
    <s v="宝山店"/>
    <s v="上海"/>
    <s v="eleme"/>
    <s v="饿了么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d v="2020-05-01T00:00:00"/>
    <n v="4636"/>
    <s v="蛙小辣火锅杯（总账号）"/>
    <x v="3"/>
    <s v="五角场店"/>
    <s v="上海"/>
    <s v="eleme"/>
    <s v="饿了么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d v="2020-05-01T00:00:00"/>
    <n v="4636"/>
    <s v="蛙小辣火锅杯（总账号）"/>
    <x v="5"/>
    <s v="宝山店"/>
    <s v="上海"/>
    <s v="meituan"/>
    <s v="美团"/>
    <s v="蛙小辣火锅杯（宝山店）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d v="2020-05-02T00:00:00"/>
    <n v="4636"/>
    <s v="蛙小辣火锅杯（总账号）"/>
    <x v="0"/>
    <s v="宝山店"/>
    <s v="上海"/>
    <s v="eleme"/>
    <s v="饿了么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d v="2020-05-02T00:00:00"/>
    <n v="4636"/>
    <s v="蛙小辣火锅杯（总账号）"/>
    <x v="5"/>
    <s v="宝山店"/>
    <s v="上海"/>
    <s v="meituan"/>
    <s v="美团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d v="2020-05-03T00:00:00"/>
    <n v="4636"/>
    <s v="蛙小辣火锅杯（总账号）"/>
    <x v="0"/>
    <s v="宝山店"/>
    <s v="上海"/>
    <s v="eleme"/>
    <s v="饿了么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d v="2020-05-03T00:00:00"/>
    <n v="4636"/>
    <s v="蛙小辣火锅杯（总账号）"/>
    <x v="5"/>
    <s v="宝山店"/>
    <s v="上海"/>
    <s v="meituan"/>
    <s v="美团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d v="2020-05-04T00:00:00"/>
    <n v="4636"/>
    <s v="蛙小辣火锅杯（总账号）"/>
    <x v="0"/>
    <s v="宝山店"/>
    <s v="上海"/>
    <s v="eleme"/>
    <s v="饿了么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d v="2020-05-04T00:00:00"/>
    <n v="4636"/>
    <s v="蛙小辣火锅杯（总账号）"/>
    <x v="5"/>
    <s v="宝山店"/>
    <s v="上海"/>
    <s v="meituan"/>
    <s v="美团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d v="2020-05-05T00:00:00"/>
    <n v="4636"/>
    <s v="蛙小辣火锅杯（总账号）"/>
    <x v="0"/>
    <s v="宝山店"/>
    <s v="上海"/>
    <s v="eleme"/>
    <s v="饿了么"/>
    <s v="蛙小辣·美蛙火锅杯麻辣烫(宝山店)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d v="2020-05-05T00:00:00"/>
    <n v="4636"/>
    <s v="蛙小辣火锅杯（总账号）"/>
    <x v="5"/>
    <s v="宝山店"/>
    <s v="上海"/>
    <s v="meituan"/>
    <s v="美团"/>
    <s v="蛙小辣火锅杯（宝山店）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d v="2020-05-06T00:00:00"/>
    <n v="4636"/>
    <s v="蛙小辣火锅杯（总账号）"/>
    <x v="0"/>
    <s v="宝山店"/>
    <s v="上海"/>
    <s v="eleme"/>
    <s v="饿了么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d v="2020-05-07T00:00:00"/>
    <n v="4636"/>
    <s v="蛙小辣火锅杯（总账号）"/>
    <x v="0"/>
    <s v="宝山店"/>
    <s v="上海"/>
    <s v="eleme"/>
    <s v="饿了么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d v="2020-05-07T00:00:00"/>
    <n v="4636"/>
    <s v="蛙小辣火锅杯（总账号）"/>
    <x v="5"/>
    <s v="宝山店"/>
    <s v="上海"/>
    <s v="meituan"/>
    <s v="美团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d v="2020-05-08T00:00:00"/>
    <n v="4636"/>
    <s v="蛙小辣火锅杯（总账号）"/>
    <x v="0"/>
    <s v="宝山店"/>
    <s v="上海"/>
    <s v="eleme"/>
    <s v="饿了么"/>
    <s v="蛙小辣·美蛙火锅杯麻辣烫(宝山店)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d v="2020-05-08T00:00:00"/>
    <n v="4636"/>
    <s v="蛙小辣火锅杯（总账号）"/>
    <x v="5"/>
    <s v="宝山店"/>
    <s v="上海"/>
    <s v="meituan"/>
    <s v="美团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d v="2020-05-09T00:00:00"/>
    <n v="4636"/>
    <s v="蛙小辣火锅杯（总账号）"/>
    <x v="0"/>
    <s v="宝山店"/>
    <s v="上海"/>
    <s v="eleme"/>
    <s v="饿了么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d v="2020-05-09T00:00:00"/>
    <n v="4636"/>
    <s v="蛙小辣火锅杯（总账号）"/>
    <x v="5"/>
    <s v="宝山店"/>
    <s v="上海"/>
    <s v="meituan"/>
    <s v="美团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d v="2020-05-10T00:00:00"/>
    <n v="6108"/>
    <s v="拌客（武宁路店）"/>
    <x v="6"/>
    <s v="拌客干拌麻辣烫(武宁路店)"/>
    <s v="上海"/>
    <s v="eleme"/>
    <s v="饿了么"/>
    <s v="拌客干拌麻辣烫(武宁路店)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d v="2020-05-10T00:00:00"/>
    <n v="4636"/>
    <s v="蛙小辣火锅杯（总账号）"/>
    <x v="0"/>
    <s v="宝山店"/>
    <s v="上海"/>
    <s v="eleme"/>
    <s v="饿了么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d v="2020-05-10T00:00:00"/>
    <n v="4636"/>
    <s v="蛙小辣火锅杯（总账号）"/>
    <x v="5"/>
    <s v="宝山店"/>
    <s v="上海"/>
    <s v="meituan"/>
    <s v="美团"/>
    <s v="蛙小辣火锅杯（宝山店）"/>
    <n v="0"/>
    <n v="0"/>
    <n v="0"/>
    <n v="0"/>
    <n v="23"/>
    <n v="0"/>
    <n v="23"/>
    <n v="0"/>
    <n v="0"/>
    <n v="0"/>
    <n v="80.989999999999995"/>
    <n v="1528"/>
    <n v="60"/>
    <n v="854"/>
    <n v="56"/>
  </r>
  <r>
    <d v="2020-05-11T00:00:00"/>
    <n v="6108"/>
    <s v="拌客（武宁路店）"/>
    <x v="6"/>
    <s v="拌客干拌麻辣烫(武宁路店)"/>
    <s v="上海"/>
    <s v="eleme"/>
    <s v="饿了么"/>
    <s v="拌客干拌麻辣烫(武宁路店)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d v="2020-05-11T00:00:00"/>
    <n v="4636"/>
    <s v="蛙小辣火锅杯（总账号）"/>
    <x v="0"/>
    <s v="宝山店"/>
    <s v="上海"/>
    <s v="eleme"/>
    <s v="饿了么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d v="2020-05-11T00:00:00"/>
    <n v="4636"/>
    <s v="蛙小辣火锅杯（总账号）"/>
    <x v="5"/>
    <s v="宝山店"/>
    <s v="上海"/>
    <s v="meituan"/>
    <s v="美团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d v="2020-05-12T00:00:00"/>
    <n v="6108"/>
    <s v="拌客（武宁路店）"/>
    <x v="6"/>
    <s v="拌客干拌麻辣烫(武宁路店)"/>
    <s v="上海"/>
    <s v="eleme"/>
    <s v="饿了么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d v="2020-05-12T00:00:00"/>
    <n v="4636"/>
    <s v="蛙小辣火锅杯（总账号）"/>
    <x v="0"/>
    <s v="宝山店"/>
    <s v="上海"/>
    <s v="eleme"/>
    <s v="饿了么"/>
    <s v="蛙小辣·美蛙火锅杯麻辣烫(宝山店)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d v="2020-05-12T00:00:00"/>
    <n v="4636"/>
    <s v="蛙小辣火锅杯（总账号）"/>
    <x v="5"/>
    <s v="宝山店"/>
    <s v="上海"/>
    <s v="meituan"/>
    <s v="美团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d v="2020-05-13T00:00:00"/>
    <n v="6108"/>
    <s v="拌客（武宁路店）"/>
    <x v="6"/>
    <s v="拌客干拌麻辣烫(武宁路店)"/>
    <s v="上海"/>
    <s v="eleme"/>
    <s v="饿了么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d v="2020-05-13T00:00:00"/>
    <n v="4636"/>
    <s v="蛙小辣火锅杯（总账号）"/>
    <x v="0"/>
    <s v="宝山店"/>
    <s v="上海"/>
    <s v="eleme"/>
    <s v="饿了么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d v="2020-05-13T00:00:00"/>
    <n v="4636"/>
    <s v="蛙小辣火锅杯（总账号）"/>
    <x v="5"/>
    <s v="宝山店"/>
    <s v="上海"/>
    <s v="meituan"/>
    <s v="美团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d v="2020-05-14T00:00:00"/>
    <n v="6108"/>
    <s v="拌客（武宁路店）"/>
    <x v="6"/>
    <s v="拌客干拌麻辣烫(武宁路店)"/>
    <s v="上海"/>
    <s v="eleme"/>
    <s v="饿了么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d v="2020-05-14T00:00:00"/>
    <n v="4636"/>
    <s v="蛙小辣火锅杯（总账号）"/>
    <x v="0"/>
    <s v="宝山店"/>
    <s v="上海"/>
    <s v="eleme"/>
    <s v="饿了么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d v="2020-05-14T00:00:00"/>
    <n v="4636"/>
    <s v="蛙小辣火锅杯（总账号）"/>
    <x v="5"/>
    <s v="宝山店"/>
    <s v="上海"/>
    <s v="meituan"/>
    <s v="美团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d v="2020-05-15T00:00:00"/>
    <n v="6108"/>
    <s v="拌客（武宁路店）"/>
    <x v="6"/>
    <s v="拌客干拌麻辣烫(武宁路店)"/>
    <s v="上海"/>
    <s v="eleme"/>
    <s v="饿了么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d v="2020-05-15T00:00:00"/>
    <n v="4636"/>
    <s v="蛙小辣火锅杯（总账号）"/>
    <x v="0"/>
    <s v="宝山店"/>
    <s v="上海"/>
    <s v="eleme"/>
    <s v="饿了么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d v="2020-05-15T00:00:00"/>
    <n v="4636"/>
    <s v="蛙小辣火锅杯（总账号）"/>
    <x v="5"/>
    <s v="宝山店"/>
    <s v="上海"/>
    <s v="meituan"/>
    <s v="美团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d v="2020-05-16T00:00:00"/>
    <n v="6108"/>
    <s v="拌客（武宁路店）"/>
    <x v="6"/>
    <s v="拌客干拌麻辣烫(武宁路店)"/>
    <s v="上海"/>
    <s v="eleme"/>
    <s v="饿了么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d v="2020-05-16T00:00:00"/>
    <n v="4636"/>
    <s v="蛙小辣火锅杯（总账号）"/>
    <x v="0"/>
    <s v="宝山店"/>
    <s v="上海"/>
    <s v="eleme"/>
    <s v="饿了么"/>
    <s v="蛙小辣·美蛙火锅杯麻辣烫(宝山店)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d v="2020-05-16T00:00:00"/>
    <n v="4636"/>
    <s v="蛙小辣火锅杯（总账号）"/>
    <x v="5"/>
    <s v="宝山店"/>
    <s v="上海"/>
    <s v="meituan"/>
    <s v="美团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d v="2020-05-17T00:00:00"/>
    <n v="6108"/>
    <s v="拌客（武宁路店）"/>
    <x v="6"/>
    <s v="拌客干拌麻辣烫(武宁路店)"/>
    <s v="上海"/>
    <s v="eleme"/>
    <s v="饿了么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d v="2020-05-17T00:00:00"/>
    <n v="4636"/>
    <s v="蛙小辣火锅杯（总账号）"/>
    <x v="0"/>
    <s v="宝山店"/>
    <s v="上海"/>
    <s v="eleme"/>
    <s v="饿了么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d v="2020-05-17T00:00:00"/>
    <n v="4636"/>
    <s v="蛙小辣火锅杯（总账号）"/>
    <x v="5"/>
    <s v="宝山店"/>
    <s v="上海"/>
    <s v="meituan"/>
    <s v="美团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d v="2020-05-18T00:00:00"/>
    <n v="6108"/>
    <s v="拌客（武宁路店）"/>
    <x v="6"/>
    <s v="拌客干拌麻辣烫(武宁路店)"/>
    <s v="上海"/>
    <s v="eleme"/>
    <s v="饿了么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d v="2020-05-18T00:00:00"/>
    <n v="4636"/>
    <s v="蛙小辣火锅杯（总账号）"/>
    <x v="0"/>
    <s v="宝山店"/>
    <s v="上海"/>
    <s v="eleme"/>
    <s v="饿了么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d v="2020-05-18T00:00:00"/>
    <n v="4636"/>
    <s v="蛙小辣火锅杯（总账号）"/>
    <x v="5"/>
    <s v="宝山店"/>
    <s v="上海"/>
    <s v="meituan"/>
    <s v="美团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d v="2020-05-19T00:00:00"/>
    <n v="6108"/>
    <s v="拌客（武宁路店）"/>
    <x v="6"/>
    <s v="拌客干拌麻辣烫(武宁路店)"/>
    <s v="上海"/>
    <s v="eleme"/>
    <s v="饿了么"/>
    <s v="拌客·干拌麻辣烫(武宁路店)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d v="2020-05-19T00:00:00"/>
    <n v="4636"/>
    <s v="蛙小辣火锅杯（总账号）"/>
    <x v="0"/>
    <s v="宝山店"/>
    <s v="上海"/>
    <s v="eleme"/>
    <s v="饿了么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d v="2020-05-19T00:00:00"/>
    <n v="4636"/>
    <s v="蛙小辣火锅杯（总账号）"/>
    <x v="5"/>
    <s v="宝山店"/>
    <s v="上海"/>
    <s v="meituan"/>
    <s v="美团"/>
    <s v="蛙小辣火锅杯（宝山店）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d v="2020-05-20T00:00:00"/>
    <n v="6108"/>
    <s v="拌客（武宁路店）"/>
    <x v="6"/>
    <s v="拌客干拌麻辣烫(武宁路店)"/>
    <s v="上海"/>
    <s v="eleme"/>
    <s v="饿了么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d v="2020-05-20T00:00:00"/>
    <n v="4636"/>
    <s v="蛙小辣火锅杯（总账号）"/>
    <x v="0"/>
    <s v="宝山店"/>
    <s v="上海"/>
    <s v="eleme"/>
    <s v="饿了么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d v="2020-05-20T00:00:00"/>
    <n v="4636"/>
    <s v="蛙小辣火锅杯（总账号）"/>
    <x v="5"/>
    <s v="宝山店"/>
    <s v="上海"/>
    <s v="meituan"/>
    <s v="美团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d v="2020-05-21T00:00:00"/>
    <n v="6108"/>
    <s v="拌客（武宁路店）"/>
    <x v="6"/>
    <s v="拌客干拌麻辣烫(武宁路店)"/>
    <s v="上海"/>
    <s v="eleme"/>
    <s v="饿了么"/>
    <s v="拌客·干拌麻辣烫(武宁路店)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d v="2020-05-21T00:00:00"/>
    <n v="4636"/>
    <s v="蛙小辣火锅杯（总账号）"/>
    <x v="0"/>
    <s v="宝山店"/>
    <s v="上海"/>
    <s v="eleme"/>
    <s v="饿了么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d v="2020-05-21T00:00:00"/>
    <n v="4636"/>
    <s v="蛙小辣火锅杯（总账号）"/>
    <x v="5"/>
    <s v="宝山店"/>
    <s v="上海"/>
    <s v="meituan"/>
    <s v="美团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d v="2020-05-22T00:00:00"/>
    <n v="6108"/>
    <s v="拌客（武宁路店）"/>
    <x v="6"/>
    <s v="拌客干拌麻辣烫(武宁路店)"/>
    <s v="上海"/>
    <s v="eleme"/>
    <s v="饿了么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d v="2020-05-22T00:00:00"/>
    <n v="4636"/>
    <s v="蛙小辣火锅杯（总账号）"/>
    <x v="0"/>
    <s v="宝山店"/>
    <s v="上海"/>
    <s v="eleme"/>
    <s v="饿了么"/>
    <s v="蛙小辣·美蛙火锅杯麻辣烫(宝山店)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d v="2020-05-22T00:00:00"/>
    <n v="4636"/>
    <s v="蛙小辣火锅杯（总账号）"/>
    <x v="5"/>
    <s v="宝山店"/>
    <s v="上海"/>
    <s v="meituan"/>
    <s v="美团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d v="2020-05-23T00:00:00"/>
    <n v="6108"/>
    <s v="拌客（武宁路店）"/>
    <x v="6"/>
    <s v="拌客干拌麻辣烫(武宁路店)"/>
    <s v="上海"/>
    <s v="eleme"/>
    <s v="饿了么"/>
    <s v="拌客·干拌麻辣烫(武宁路店)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d v="2020-05-23T00:00:00"/>
    <n v="4636"/>
    <s v="蛙小辣火锅杯（总账号）"/>
    <x v="0"/>
    <s v="宝山店"/>
    <s v="上海"/>
    <s v="eleme"/>
    <s v="饿了么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d v="2020-05-23T00:00:00"/>
    <n v="4636"/>
    <s v="蛙小辣火锅杯（总账号）"/>
    <x v="5"/>
    <s v="宝山店"/>
    <s v="上海"/>
    <s v="meituan"/>
    <s v="美团"/>
    <s v="蛙小辣火锅杯（宝山店）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d v="2020-05-24T00:00:00"/>
    <n v="6108"/>
    <s v="拌客（武宁路店）"/>
    <x v="6"/>
    <s v="拌客干拌麻辣烫(武宁路店)"/>
    <s v="上海"/>
    <s v="eleme"/>
    <s v="饿了么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d v="2020-05-24T00:00:00"/>
    <n v="4636"/>
    <s v="蛙小辣火锅杯（总账号）"/>
    <x v="0"/>
    <s v="宝山店"/>
    <s v="上海"/>
    <s v="eleme"/>
    <s v="饿了么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d v="2020-05-24T00:00:00"/>
    <n v="4636"/>
    <s v="蛙小辣火锅杯（总账号）"/>
    <x v="5"/>
    <s v="宝山店"/>
    <s v="上海"/>
    <s v="meituan"/>
    <s v="美团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d v="2020-05-25T00:00:00"/>
    <n v="6108"/>
    <s v="拌客（武宁路店）"/>
    <x v="6"/>
    <s v="拌客干拌麻辣烫(武宁路店)"/>
    <s v="上海"/>
    <s v="eleme"/>
    <s v="饿了么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d v="2020-05-25T00:00:00"/>
    <n v="4636"/>
    <s v="蛙小辣火锅杯（总账号）"/>
    <x v="0"/>
    <s v="宝山店"/>
    <s v="上海"/>
    <s v="eleme"/>
    <s v="饿了么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d v="2020-05-25T00:00:00"/>
    <n v="4636"/>
    <s v="蛙小辣火锅杯（总账号）"/>
    <x v="5"/>
    <s v="宝山店"/>
    <s v="上海"/>
    <s v="meituan"/>
    <s v="美团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d v="2020-05-26T00:00:00"/>
    <n v="6108"/>
    <s v="拌客（武宁路店）"/>
    <x v="6"/>
    <s v="拌客干拌麻辣烫(武宁路店)"/>
    <s v="上海"/>
    <s v="eleme"/>
    <s v="饿了么"/>
    <s v="拌客·干拌麻辣烫(武宁路店)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d v="2020-05-26T00:00:00"/>
    <n v="4636"/>
    <s v="蛙小辣火锅杯（总账号）"/>
    <x v="0"/>
    <s v="宝山店"/>
    <s v="上海"/>
    <s v="eleme"/>
    <s v="饿了么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d v="2020-05-26T00:00:00"/>
    <n v="4636"/>
    <s v="蛙小辣火锅杯（总账号）"/>
    <x v="5"/>
    <s v="宝山店"/>
    <s v="上海"/>
    <s v="meituan"/>
    <s v="美团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d v="2020-05-27T00:00:00"/>
    <n v="6108"/>
    <s v="拌客（武宁路店）"/>
    <x v="6"/>
    <s v="拌客干拌麻辣烫(武宁路店)"/>
    <s v="上海"/>
    <s v="eleme"/>
    <s v="饿了么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d v="2020-05-27T00:00:00"/>
    <n v="4636"/>
    <s v="蛙小辣火锅杯（总账号）"/>
    <x v="0"/>
    <s v="宝山店"/>
    <s v="上海"/>
    <s v="eleme"/>
    <s v="饿了么"/>
    <s v="蛙小辣·美蛙火锅杯麻辣烫(宝山店)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d v="2020-05-27T00:00:00"/>
    <n v="4636"/>
    <s v="蛙小辣火锅杯（总账号）"/>
    <x v="5"/>
    <s v="宝山店"/>
    <s v="上海"/>
    <s v="meituan"/>
    <s v="美团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d v="2020-05-28T00:00:00"/>
    <n v="6108"/>
    <s v="拌客（武宁路店）"/>
    <x v="6"/>
    <s v="拌客干拌麻辣烫(武宁路店)"/>
    <s v="上海"/>
    <s v="eleme"/>
    <s v="饿了么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d v="2020-05-28T00:00:00"/>
    <n v="4636"/>
    <s v="蛙小辣火锅杯（总账号）"/>
    <x v="0"/>
    <s v="宝山店"/>
    <s v="上海"/>
    <s v="eleme"/>
    <s v="饿了么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d v="2020-05-28T00:00:00"/>
    <n v="4636"/>
    <s v="蛙小辣火锅杯（总账号）"/>
    <x v="5"/>
    <s v="宝山店"/>
    <s v="上海"/>
    <s v="meituan"/>
    <s v="美团"/>
    <s v="蛙小辣火锅杯（宝山店）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d v="2020-05-29T00:00:00"/>
    <n v="6108"/>
    <s v="拌客（武宁路店）"/>
    <x v="6"/>
    <s v="拌客干拌麻辣烫(武宁路店)"/>
    <s v="上海"/>
    <s v="eleme"/>
    <s v="饿了么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d v="2020-05-29T00:00:00"/>
    <n v="4636"/>
    <s v="蛙小辣火锅杯（总账号）"/>
    <x v="0"/>
    <s v="宝山店"/>
    <s v="上海"/>
    <s v="eleme"/>
    <s v="饿了么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d v="2020-05-29T00:00:00"/>
    <n v="4636"/>
    <s v="蛙小辣火锅杯（总账号）"/>
    <x v="5"/>
    <s v="宝山店"/>
    <s v="上海"/>
    <s v="meituan"/>
    <s v="美团"/>
    <s v="蛙小辣火锅杯（宝山店）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d v="2020-05-30T00:00:00"/>
    <n v="6108"/>
    <s v="拌客（武宁路店）"/>
    <x v="6"/>
    <s v="拌客干拌麻辣烫(武宁路店)"/>
    <s v="上海"/>
    <s v="eleme"/>
    <s v="饿了么"/>
    <s v="拌客·干拌麻辣烫(武宁路店)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d v="2020-05-30T00:00:00"/>
    <n v="4636"/>
    <s v="蛙小辣火锅杯（总账号）"/>
    <x v="0"/>
    <s v="宝山店"/>
    <s v="上海"/>
    <s v="eleme"/>
    <s v="饿了么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d v="2020-05-30T00:00:00"/>
    <n v="4636"/>
    <s v="蛙小辣火锅杯（总账号）"/>
    <x v="5"/>
    <s v="宝山店"/>
    <s v="上海"/>
    <s v="meituan"/>
    <s v="美团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d v="2020-05-31T00:00:00"/>
    <n v="6108"/>
    <s v="拌客（武宁路店）"/>
    <x v="6"/>
    <s v="拌客干拌麻辣烫(武宁路店)"/>
    <s v="上海"/>
    <s v="eleme"/>
    <s v="饿了么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d v="2020-05-31T00:00:00"/>
    <n v="4636"/>
    <s v="蛙小辣火锅杯（总账号）"/>
    <x v="0"/>
    <s v="宝山店"/>
    <s v="上海"/>
    <s v="eleme"/>
    <s v="饿了么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d v="2020-05-31T00:00:00"/>
    <n v="4636"/>
    <s v="蛙小辣火锅杯（总账号）"/>
    <x v="5"/>
    <s v="宝山店"/>
    <s v="上海"/>
    <s v="meituan"/>
    <s v="美团"/>
    <s v="蛙小辣火锅杯（宝山店）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d v="2020-06-01T00:00:00"/>
    <n v="6108"/>
    <s v="拌客（武宁路店）"/>
    <x v="6"/>
    <s v="拌客干拌麻辣烫(武宁路店)"/>
    <s v="上海"/>
    <s v="eleme"/>
    <s v="饿了么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d v="2020-06-01T00:00:00"/>
    <n v="4636"/>
    <s v="蛙小辣火锅杯（总账号）"/>
    <x v="0"/>
    <s v="宝山店"/>
    <s v="上海"/>
    <s v="eleme"/>
    <s v="饿了么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d v="2020-06-01T00:00:00"/>
    <n v="4636"/>
    <s v="蛙小辣火锅杯（总账号）"/>
    <x v="5"/>
    <s v="宝山店"/>
    <s v="上海"/>
    <s v="meituan"/>
    <s v="美团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d v="2020-06-02T00:00:00"/>
    <n v="6108"/>
    <s v="拌客（武宁路店）"/>
    <x v="6"/>
    <s v="拌客干拌麻辣烫(武宁路店)"/>
    <s v="上海"/>
    <s v="eleme"/>
    <s v="饿了么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d v="2020-06-02T00:00:00"/>
    <n v="4636"/>
    <s v="蛙小辣火锅杯（总账号）"/>
    <x v="0"/>
    <s v="宝山店"/>
    <s v="上海"/>
    <s v="eleme"/>
    <s v="饿了么"/>
    <s v="蛙小辣·美蛙火锅杯麻辣烫(宝山店)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d v="2020-06-02T00:00:00"/>
    <n v="4636"/>
    <s v="蛙小辣火锅杯（总账号）"/>
    <x v="5"/>
    <s v="宝山店"/>
    <s v="上海"/>
    <s v="meituan"/>
    <s v="美团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d v="2020-06-03T00:00:00"/>
    <n v="6108"/>
    <s v="拌客（武宁路店）"/>
    <x v="6"/>
    <s v="拌客干拌麻辣烫(武宁路店)"/>
    <s v="上海"/>
    <s v="eleme"/>
    <s v="饿了么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d v="2020-06-03T00:00:00"/>
    <n v="4636"/>
    <s v="蛙小辣火锅杯（总账号）"/>
    <x v="0"/>
    <s v="宝山店"/>
    <s v="上海"/>
    <s v="eleme"/>
    <s v="饿了么"/>
    <s v="蛙小辣·美蛙火锅杯麻辣烫(宝山店)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d v="2020-06-03T00:00:00"/>
    <n v="4636"/>
    <s v="蛙小辣火锅杯（总账号）"/>
    <x v="5"/>
    <s v="宝山店"/>
    <s v="上海"/>
    <s v="meituan"/>
    <s v="美团"/>
    <s v="蛙小辣火锅杯（宝山店）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d v="2020-06-04T00:00:00"/>
    <n v="6108"/>
    <s v="拌客（武宁路店）"/>
    <x v="6"/>
    <s v="拌客干拌麻辣烫(武宁路店)"/>
    <s v="上海"/>
    <s v="eleme"/>
    <s v="饿了么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d v="2020-06-04T00:00:00"/>
    <n v="4636"/>
    <s v="蛙小辣火锅杯（总账号）"/>
    <x v="0"/>
    <s v="宝山店"/>
    <s v="上海"/>
    <s v="eleme"/>
    <s v="饿了么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d v="2020-06-04T00:00:00"/>
    <n v="4636"/>
    <s v="蛙小辣火锅杯（总账号）"/>
    <x v="5"/>
    <s v="宝山店"/>
    <s v="上海"/>
    <s v="meituan"/>
    <s v="美团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d v="2020-06-05T00:00:00"/>
    <n v="6108"/>
    <s v="拌客（武宁路店）"/>
    <x v="6"/>
    <s v="拌客干拌麻辣烫(武宁路店)"/>
    <s v="上海"/>
    <s v="eleme"/>
    <s v="饿了么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d v="2020-06-05T00:00:00"/>
    <n v="4636"/>
    <s v="蛙小辣火锅杯（总账号）"/>
    <x v="0"/>
    <s v="宝山店"/>
    <s v="上海"/>
    <s v="eleme"/>
    <s v="饿了么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d v="2020-06-05T00:00:00"/>
    <n v="4636"/>
    <s v="蛙小辣火锅杯（总账号）"/>
    <x v="5"/>
    <s v="宝山店"/>
    <s v="上海"/>
    <s v="meituan"/>
    <s v="美团"/>
    <s v="蛙小辣火锅杯（宝山店）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d v="2020-06-06T00:00:00"/>
    <n v="6108"/>
    <s v="拌客（武宁路店）"/>
    <x v="6"/>
    <s v="拌客干拌麻辣烫(武宁路店)"/>
    <s v="上海"/>
    <s v="eleme"/>
    <s v="饿了么"/>
    <s v="拌客·干拌麻辣烫(武宁路店)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d v="2020-06-06T00:00:00"/>
    <n v="4636"/>
    <s v="蛙小辣火锅杯（总账号）"/>
    <x v="0"/>
    <s v="宝山店"/>
    <s v="上海"/>
    <s v="eleme"/>
    <s v="饿了么"/>
    <s v="蛙小辣·美蛙火锅杯麻辣烫(宝山店)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d v="2020-06-06T00:00:00"/>
    <n v="4636"/>
    <s v="蛙小辣火锅杯（总账号）"/>
    <x v="5"/>
    <s v="宝山店"/>
    <s v="上海"/>
    <s v="meituan"/>
    <s v="美团"/>
    <s v="蛙小辣火锅杯（宝山店）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d v="2020-06-07T00:00:00"/>
    <n v="6108"/>
    <s v="拌客（武宁路店）"/>
    <x v="6"/>
    <s v="拌客干拌麻辣烫(武宁路店)"/>
    <s v="上海"/>
    <s v="eleme"/>
    <s v="饿了么"/>
    <s v="拌客·干拌麻辣烫(武宁路店)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d v="2020-06-07T00:00:00"/>
    <n v="4636"/>
    <s v="蛙小辣火锅杯（总账号）"/>
    <x v="0"/>
    <s v="宝山店"/>
    <s v="上海"/>
    <s v="eleme"/>
    <s v="饿了么"/>
    <s v="蛙小辣·美蛙火锅杯麻辣烫(宝山店)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d v="2020-06-07T00:00:00"/>
    <n v="4636"/>
    <s v="蛙小辣火锅杯（总账号）"/>
    <x v="5"/>
    <s v="宝山店"/>
    <s v="上海"/>
    <s v="meituan"/>
    <s v="美团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d v="2020-06-08T00:00:00"/>
    <n v="6108"/>
    <s v="拌客（武宁路店）"/>
    <x v="6"/>
    <s v="拌客干拌麻辣烫(武宁路店)"/>
    <s v="上海"/>
    <s v="eleme"/>
    <s v="饿了么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d v="2020-06-08T00:00:00"/>
    <n v="4636"/>
    <s v="蛙小辣火锅杯（总账号）"/>
    <x v="0"/>
    <s v="宝山店"/>
    <s v="上海"/>
    <s v="eleme"/>
    <s v="饿了么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d v="2020-06-08T00:00:00"/>
    <n v="4636"/>
    <s v="蛙小辣火锅杯（总账号）"/>
    <x v="5"/>
    <s v="宝山店"/>
    <s v="上海"/>
    <s v="meituan"/>
    <s v="美团"/>
    <s v="蛙小辣火锅杯（宝山店）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d v="2020-06-09T00:00:00"/>
    <n v="6108"/>
    <s v="拌客（武宁路店）"/>
    <x v="6"/>
    <s v="拌客干拌麻辣烫(武宁路店)"/>
    <s v="上海"/>
    <s v="eleme"/>
    <s v="饿了么"/>
    <s v="拌客·干拌麻辣烫(武宁路店)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d v="2020-06-09T00:00:00"/>
    <n v="4636"/>
    <s v="蛙小辣火锅杯（总账号）"/>
    <x v="0"/>
    <s v="宝山店"/>
    <s v="上海"/>
    <s v="eleme"/>
    <s v="饿了么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d v="2020-06-09T00:00:00"/>
    <n v="4636"/>
    <s v="蛙小辣火锅杯（总账号）"/>
    <x v="5"/>
    <s v="宝山店"/>
    <s v="上海"/>
    <s v="meituan"/>
    <s v="美团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d v="2020-06-10T00:00:00"/>
    <n v="6108"/>
    <s v="拌客（武宁路店）"/>
    <x v="6"/>
    <s v="拌客干拌麻辣烫(武宁路店)"/>
    <s v="上海"/>
    <s v="eleme"/>
    <s v="饿了么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d v="2020-06-10T00:00:00"/>
    <n v="4636"/>
    <s v="蛙小辣火锅杯（总账号）"/>
    <x v="0"/>
    <s v="宝山店"/>
    <s v="上海"/>
    <s v="eleme"/>
    <s v="饿了么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d v="2020-06-11T00:00:00"/>
    <n v="6108"/>
    <s v="拌客（武宁路店）"/>
    <x v="6"/>
    <s v="拌客干拌麻辣烫(武宁路店)"/>
    <s v="上海"/>
    <s v="eleme"/>
    <s v="饿了么"/>
    <s v="拌客·干拌麻辣烫(武宁路店)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d v="2020-06-11T00:00:00"/>
    <n v="4636"/>
    <s v="蛙小辣火锅杯（总账号）"/>
    <x v="0"/>
    <s v="宝山店"/>
    <s v="上海"/>
    <s v="eleme"/>
    <s v="饿了么"/>
    <s v="蛙小辣·美蛙火锅杯麻辣烫(宝山店)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d v="2020-06-12T00:00:00"/>
    <n v="6108"/>
    <s v="拌客（武宁路店）"/>
    <x v="6"/>
    <s v="拌客干拌麻辣烫(武宁路店)"/>
    <s v="上海"/>
    <s v="eleme"/>
    <s v="饿了么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d v="2020-06-12T00:00:00"/>
    <n v="4636"/>
    <s v="蛙小辣火锅杯（总账号）"/>
    <x v="0"/>
    <s v="宝山店"/>
    <s v="上海"/>
    <s v="eleme"/>
    <s v="饿了么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d v="2020-06-12T00:00:00"/>
    <n v="4636"/>
    <s v="蛙小辣火锅杯（总账号）"/>
    <x v="5"/>
    <s v="宝山店"/>
    <s v="上海"/>
    <s v="meituan"/>
    <s v="美团"/>
    <s v="蛙小辣火锅杯（宝山店）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d v="2020-06-13T00:00:00"/>
    <n v="6108"/>
    <s v="拌客（武宁路店）"/>
    <x v="6"/>
    <s v="拌客干拌麻辣烫(武宁路店)"/>
    <s v="上海"/>
    <s v="eleme"/>
    <s v="饿了么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d v="2020-06-13T00:00:00"/>
    <n v="4636"/>
    <s v="蛙小辣火锅杯（总账号）"/>
    <x v="0"/>
    <s v="宝山店"/>
    <s v="上海"/>
    <s v="eleme"/>
    <s v="饿了么"/>
    <s v="蛙小辣·美蛙火锅杯麻辣烫(宝山店)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d v="2020-06-13T00:00:00"/>
    <n v="4636"/>
    <s v="蛙小辣火锅杯（总账号）"/>
    <x v="5"/>
    <s v="宝山店"/>
    <s v="上海"/>
    <s v="meituan"/>
    <s v="美团"/>
    <s v="蛙小辣火锅杯（宝山店）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d v="2020-06-14T00:00:00"/>
    <n v="6108"/>
    <s v="拌客（武宁路店）"/>
    <x v="6"/>
    <s v="拌客干拌麻辣烫(武宁路店)"/>
    <s v="上海"/>
    <s v="eleme"/>
    <s v="饿了么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d v="2020-06-14T00:00:00"/>
    <n v="4636"/>
    <s v="蛙小辣火锅杯（总账号）"/>
    <x v="0"/>
    <s v="宝山店"/>
    <s v="上海"/>
    <s v="eleme"/>
    <s v="饿了么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d v="2020-06-14T00:00:00"/>
    <n v="4636"/>
    <s v="蛙小辣火锅杯（总账号）"/>
    <x v="5"/>
    <s v="宝山店"/>
    <s v="上海"/>
    <s v="meituan"/>
    <s v="美团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d v="2020-06-15T00:00:00"/>
    <n v="6108"/>
    <s v="拌客（武宁路店）"/>
    <x v="6"/>
    <s v="拌客干拌麻辣烫(武宁路店)"/>
    <s v="上海"/>
    <s v="eleme"/>
    <s v="饿了么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d v="2020-06-15T00:00:00"/>
    <n v="4636"/>
    <s v="蛙小辣火锅杯（总账号）"/>
    <x v="0"/>
    <s v="宝山店"/>
    <s v="上海"/>
    <s v="eleme"/>
    <s v="饿了么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d v="2020-06-15T00:00:00"/>
    <n v="4636"/>
    <s v="蛙小辣火锅杯（总账号）"/>
    <x v="5"/>
    <s v="宝山店"/>
    <s v="上海"/>
    <s v="meituan"/>
    <s v="美团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d v="2020-06-16T00:00:00"/>
    <n v="6108"/>
    <s v="拌客（武宁路店）"/>
    <x v="6"/>
    <s v="拌客干拌麻辣烫(武宁路店)"/>
    <s v="上海"/>
    <s v="eleme"/>
    <s v="饿了么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d v="2020-06-16T00:00:00"/>
    <n v="4636"/>
    <s v="蛙小辣火锅杯（总账号）"/>
    <x v="0"/>
    <s v="宝山店"/>
    <s v="上海"/>
    <s v="eleme"/>
    <s v="饿了么"/>
    <s v="蛙小辣·美蛙火锅杯麻辣烫(宝山店)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d v="2020-06-16T00:00:00"/>
    <n v="4636"/>
    <s v="蛙小辣火锅杯（总账号）"/>
    <x v="5"/>
    <s v="宝山店"/>
    <s v="上海"/>
    <s v="meituan"/>
    <s v="美团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d v="2020-06-17T00:00:00"/>
    <n v="6108"/>
    <s v="拌客（武宁路店）"/>
    <x v="6"/>
    <s v="拌客干拌麻辣烫(武宁路店)"/>
    <s v="上海"/>
    <s v="eleme"/>
    <s v="饿了么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d v="2020-06-17T00:00:00"/>
    <n v="4636"/>
    <s v="蛙小辣火锅杯（总账号）"/>
    <x v="0"/>
    <s v="宝山店"/>
    <s v="上海"/>
    <s v="eleme"/>
    <s v="饿了么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d v="2020-06-17T00:00:00"/>
    <n v="4636"/>
    <s v="蛙小辣火锅杯（总账号）"/>
    <x v="5"/>
    <s v="宝山店"/>
    <s v="上海"/>
    <s v="meituan"/>
    <s v="美团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d v="2020-06-18T00:00:00"/>
    <n v="6108"/>
    <s v="拌客（武宁路店）"/>
    <x v="6"/>
    <s v="拌客干拌麻辣烫(武宁路店)"/>
    <s v="上海"/>
    <s v="eleme"/>
    <s v="饿了么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d v="2020-06-18T00:00:00"/>
    <n v="4636"/>
    <s v="蛙小辣火锅杯（总账号）"/>
    <x v="0"/>
    <s v="宝山店"/>
    <s v="上海"/>
    <s v="eleme"/>
    <s v="饿了么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d v="2020-06-18T00:00:00"/>
    <n v="4636"/>
    <s v="蛙小辣火锅杯（总账号）"/>
    <x v="5"/>
    <s v="宝山店"/>
    <s v="上海"/>
    <s v="meituan"/>
    <s v="美团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d v="2020-06-19T00:00:00"/>
    <n v="6108"/>
    <s v="拌客（武宁路店）"/>
    <x v="6"/>
    <s v="拌客干拌麻辣烫(武宁路店)"/>
    <s v="上海"/>
    <s v="eleme"/>
    <s v="饿了么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d v="2020-06-19T00:00:00"/>
    <n v="4636"/>
    <s v="蛙小辣火锅杯（总账号）"/>
    <x v="0"/>
    <s v="宝山店"/>
    <s v="上海"/>
    <s v="eleme"/>
    <s v="饿了么"/>
    <s v="蛙小辣·美蛙火锅杯麻辣烫(宝山店)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d v="2020-06-19T00:00:00"/>
    <n v="4636"/>
    <s v="蛙小辣火锅杯（总账号）"/>
    <x v="5"/>
    <s v="宝山店"/>
    <s v="上海"/>
    <s v="meituan"/>
    <s v="美团"/>
    <s v="蛙小辣火锅杯（宝山店）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d v="2020-06-20T00:00:00"/>
    <n v="6108"/>
    <s v="拌客（武宁路店）"/>
    <x v="6"/>
    <s v="拌客干拌麻辣烫(武宁路店)"/>
    <s v="上海"/>
    <s v="eleme"/>
    <s v="饿了么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d v="2020-06-20T00:00:00"/>
    <n v="4636"/>
    <s v="蛙小辣火锅杯（总账号）"/>
    <x v="0"/>
    <s v="宝山店"/>
    <s v="上海"/>
    <s v="eleme"/>
    <s v="饿了么"/>
    <s v="蛙小辣·美蛙火锅杯麻辣烫(宝山店)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d v="2020-06-20T00:00:00"/>
    <n v="4636"/>
    <s v="蛙小辣火锅杯（总账号）"/>
    <x v="5"/>
    <s v="宝山店"/>
    <s v="上海"/>
    <s v="meituan"/>
    <s v="美团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d v="2020-06-21T00:00:00"/>
    <n v="6108"/>
    <s v="拌客（武宁路店）"/>
    <x v="6"/>
    <s v="拌客干拌麻辣烫(武宁路店)"/>
    <s v="上海"/>
    <s v="eleme"/>
    <s v="饿了么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d v="2020-06-21T00:00:00"/>
    <n v="4636"/>
    <s v="蛙小辣火锅杯（总账号）"/>
    <x v="0"/>
    <s v="宝山店"/>
    <s v="上海"/>
    <s v="eleme"/>
    <s v="饿了么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d v="2020-06-21T00:00:00"/>
    <n v="4636"/>
    <s v="蛙小辣火锅杯（总账号）"/>
    <x v="5"/>
    <s v="宝山店"/>
    <s v="上海"/>
    <s v="meituan"/>
    <s v="美团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d v="2020-06-22T00:00:00"/>
    <n v="6108"/>
    <s v="拌客（武宁路店）"/>
    <x v="6"/>
    <s v="拌客干拌麻辣烫(武宁路店)"/>
    <s v="上海"/>
    <s v="eleme"/>
    <s v="饿了么"/>
    <s v="拌客·干拌麻辣烫(武宁路店)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d v="2020-06-22T00:00:00"/>
    <n v="4636"/>
    <s v="蛙小辣火锅杯（总账号）"/>
    <x v="0"/>
    <s v="宝山店"/>
    <s v="上海"/>
    <s v="eleme"/>
    <s v="饿了么"/>
    <s v="蛙小辣·美蛙火锅杯麻辣烫(宝山店)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d v="2020-06-22T00:00:00"/>
    <n v="4636"/>
    <s v="蛙小辣火锅杯（总账号）"/>
    <x v="5"/>
    <s v="宝山店"/>
    <s v="上海"/>
    <s v="meituan"/>
    <s v="美团"/>
    <s v="蛙小辣火锅杯（宝山店）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d v="2020-06-23T00:00:00"/>
    <n v="6108"/>
    <s v="拌客（武宁路店）"/>
    <x v="6"/>
    <s v="拌客干拌麻辣烫(武宁路店)"/>
    <s v="上海"/>
    <s v="eleme"/>
    <s v="饿了么"/>
    <s v="拌客·干拌麻辣烫(武宁路店)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d v="2020-06-23T00:00:00"/>
    <n v="4636"/>
    <s v="蛙小辣火锅杯（总账号）"/>
    <x v="0"/>
    <s v="宝山店"/>
    <s v="上海"/>
    <s v="eleme"/>
    <s v="饿了么"/>
    <s v="蛙小辣·美蛙火锅杯麻辣烫(宝山店)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d v="2020-06-23T00:00:00"/>
    <n v="4636"/>
    <s v="蛙小辣火锅杯（总账号）"/>
    <x v="5"/>
    <s v="宝山店"/>
    <s v="上海"/>
    <s v="meituan"/>
    <s v="美团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d v="2020-06-24T00:00:00"/>
    <n v="6108"/>
    <s v="拌客（武宁路店）"/>
    <x v="6"/>
    <s v="拌客干拌麻辣烫(武宁路店)"/>
    <s v="上海"/>
    <s v="eleme"/>
    <s v="饿了么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d v="2020-06-24T00:00:00"/>
    <n v="4636"/>
    <s v="蛙小辣火锅杯（总账号）"/>
    <x v="0"/>
    <s v="宝山店"/>
    <s v="上海"/>
    <s v="eleme"/>
    <s v="饿了么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d v="2020-06-24T00:00:00"/>
    <n v="4636"/>
    <s v="蛙小辣火锅杯（总账号）"/>
    <x v="5"/>
    <s v="宝山店"/>
    <s v="上海"/>
    <s v="meituan"/>
    <s v="美团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d v="2020-06-25T00:00:00"/>
    <n v="6108"/>
    <s v="拌客（武宁路店）"/>
    <x v="6"/>
    <s v="拌客干拌麻辣烫(武宁路店)"/>
    <s v="上海"/>
    <s v="eleme"/>
    <s v="饿了么"/>
    <s v="拌客·干拌麻辣烫(武宁路店)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d v="2020-06-25T00:00:00"/>
    <n v="4636"/>
    <s v="蛙小辣火锅杯（总账号）"/>
    <x v="0"/>
    <s v="宝山店"/>
    <s v="上海"/>
    <s v="eleme"/>
    <s v="饿了么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d v="2020-06-25T00:00:00"/>
    <n v="4636"/>
    <s v="蛙小辣火锅杯（总账号）"/>
    <x v="5"/>
    <s v="宝山店"/>
    <s v="上海"/>
    <s v="meituan"/>
    <s v="美团"/>
    <s v="蛙小辣火锅杯（宝山店）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d v="2020-06-26T00:00:00"/>
    <n v="6108"/>
    <s v="拌客（武宁路店）"/>
    <x v="6"/>
    <s v="拌客干拌麻辣烫(武宁路店)"/>
    <s v="上海"/>
    <s v="eleme"/>
    <s v="饿了么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d v="2020-06-26T00:00:00"/>
    <n v="4636"/>
    <s v="蛙小辣火锅杯（总账号）"/>
    <x v="0"/>
    <s v="宝山店"/>
    <s v="上海"/>
    <s v="eleme"/>
    <s v="饿了么"/>
    <s v="蛙小辣·美蛙火锅杯麻辣烫(宝山店)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d v="2020-06-26T00:00:00"/>
    <n v="4636"/>
    <s v="蛙小辣火锅杯（总账号）"/>
    <x v="5"/>
    <s v="宝山店"/>
    <s v="上海"/>
    <s v="meituan"/>
    <s v="美团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d v="2020-06-27T00:00:00"/>
    <n v="6108"/>
    <s v="拌客（武宁路店）"/>
    <x v="6"/>
    <s v="拌客干拌麻辣烫(武宁路店)"/>
    <s v="上海"/>
    <s v="eleme"/>
    <s v="饿了么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d v="2020-06-27T00:00:00"/>
    <n v="4636"/>
    <s v="蛙小辣火锅杯（总账号）"/>
    <x v="0"/>
    <s v="宝山店"/>
    <s v="上海"/>
    <s v="eleme"/>
    <s v="饿了么"/>
    <s v="蛙小辣·美蛙火锅杯麻辣烫(宝山店)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d v="2020-06-27T00:00:00"/>
    <n v="4636"/>
    <s v="蛙小辣火锅杯（总账号）"/>
    <x v="5"/>
    <s v="宝山店"/>
    <s v="上海"/>
    <s v="meituan"/>
    <s v="美团"/>
    <s v="蛙小辣火锅杯（宝山店）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d v="2020-06-28T00:00:00"/>
    <n v="6108"/>
    <s v="拌客（武宁路店）"/>
    <x v="6"/>
    <s v="拌客干拌麻辣烫(武宁路店)"/>
    <s v="上海"/>
    <s v="eleme"/>
    <s v="饿了么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d v="2020-06-28T00:00:00"/>
    <n v="4636"/>
    <s v="蛙小辣火锅杯（总账号）"/>
    <x v="0"/>
    <s v="宝山店"/>
    <s v="上海"/>
    <s v="eleme"/>
    <s v="饿了么"/>
    <s v="蛙小辣·美蛙火锅杯麻辣烫(宝山店)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d v="2020-06-28T00:00:00"/>
    <n v="4636"/>
    <s v="蛙小辣火锅杯（总账号）"/>
    <x v="5"/>
    <s v="宝山店"/>
    <s v="上海"/>
    <s v="meituan"/>
    <s v="美团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d v="2020-06-29T00:00:00"/>
    <n v="6108"/>
    <s v="拌客（武宁路店）"/>
    <x v="6"/>
    <s v="拌客干拌麻辣烫(武宁路店)"/>
    <s v="上海"/>
    <s v="eleme"/>
    <s v="饿了么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d v="2020-06-29T00:00:00"/>
    <n v="4636"/>
    <s v="蛙小辣火锅杯（总账号）"/>
    <x v="0"/>
    <s v="宝山店"/>
    <s v="上海"/>
    <s v="eleme"/>
    <s v="饿了么"/>
    <s v="蛙小辣·美蛙火锅杯麻辣烫(宝山店)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d v="2020-06-29T00:00:00"/>
    <n v="4636"/>
    <s v="蛙小辣火锅杯（总账号）"/>
    <x v="5"/>
    <s v="宝山店"/>
    <s v="上海"/>
    <s v="meituan"/>
    <s v="美团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d v="2020-06-30T00:00:00"/>
    <n v="6108"/>
    <s v="拌客（武宁路店）"/>
    <x v="6"/>
    <s v="拌客干拌麻辣烫(武宁路店)"/>
    <s v="上海"/>
    <s v="eleme"/>
    <s v="饿了么"/>
    <s v="拌客·干拌麻辣烫(武宁路店)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d v="2020-06-30T00:00:00"/>
    <n v="4636"/>
    <s v="蛙小辣火锅杯（总账号）"/>
    <x v="0"/>
    <s v="宝山店"/>
    <s v="上海"/>
    <s v="eleme"/>
    <s v="饿了么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d v="2020-06-30T00:00:00"/>
    <n v="4636"/>
    <s v="蛙小辣火锅杯（总账号）"/>
    <x v="5"/>
    <s v="宝山店"/>
    <s v="上海"/>
    <s v="meituan"/>
    <s v="美团"/>
    <s v="蛙小辣火锅杯（宝山店）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d v="2020-07-01T00:00:00"/>
    <n v="6108"/>
    <s v="拌客（武宁路店）"/>
    <x v="6"/>
    <s v="拌客干拌麻辣烫(武宁路店)"/>
    <s v="上海"/>
    <s v="eleme"/>
    <s v="饿了么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d v="2020-07-01T00:00:00"/>
    <n v="4636"/>
    <s v="蛙小辣火锅杯（总账号）"/>
    <x v="0"/>
    <s v="宝山店"/>
    <s v="上海"/>
    <s v="eleme"/>
    <s v="饿了么"/>
    <s v="蛙小辣·美蛙火锅杯麻辣烫(宝山店)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d v="2020-07-01T00:00:00"/>
    <n v="4636"/>
    <s v="蛙小辣火锅杯（总账号）"/>
    <x v="5"/>
    <s v="宝山店"/>
    <s v="上海"/>
    <s v="meituan"/>
    <s v="美团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d v="2020-07-02T00:00:00"/>
    <n v="6108"/>
    <s v="拌客（武宁路店）"/>
    <x v="6"/>
    <s v="拌客干拌麻辣烫(武宁路店)"/>
    <s v="上海"/>
    <s v="eleme"/>
    <s v="饿了么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d v="2020-07-02T00:00:00"/>
    <n v="4636"/>
    <s v="蛙小辣火锅杯（总账号）"/>
    <x v="0"/>
    <s v="宝山店"/>
    <s v="上海"/>
    <s v="eleme"/>
    <s v="饿了么"/>
    <s v="蛙小辣·美蛙火锅杯麻辣烫(宝山店)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d v="2020-07-02T00:00:00"/>
    <n v="4636"/>
    <s v="蛙小辣火锅杯（总账号）"/>
    <x v="5"/>
    <s v="宝山店"/>
    <s v="上海"/>
    <s v="meituan"/>
    <s v="美团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d v="2020-07-03T00:00:00"/>
    <n v="6108"/>
    <s v="拌客（武宁路店）"/>
    <x v="6"/>
    <s v="拌客干拌麻辣烫(武宁路店)"/>
    <s v="上海"/>
    <s v="eleme"/>
    <s v="饿了么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d v="2020-07-03T00:00:00"/>
    <n v="4636"/>
    <s v="蛙小辣火锅杯（总账号）"/>
    <x v="0"/>
    <s v="宝山店"/>
    <s v="上海"/>
    <s v="eleme"/>
    <s v="饿了么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d v="2020-07-03T00:00:00"/>
    <n v="4636"/>
    <s v="蛙小辣火锅杯（总账号）"/>
    <x v="5"/>
    <s v="宝山店"/>
    <s v="上海"/>
    <s v="meituan"/>
    <s v="美团"/>
    <s v="蛙小辣火锅杯（宝山店）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d v="2020-07-04T00:00:00"/>
    <n v="6108"/>
    <s v="拌客（武宁路店）"/>
    <x v="6"/>
    <s v="拌客干拌麻辣烫(武宁路店)"/>
    <s v="上海"/>
    <s v="eleme"/>
    <s v="饿了么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d v="2020-07-04T00:00:00"/>
    <n v="4636"/>
    <s v="蛙小辣火锅杯（总账号）"/>
    <x v="0"/>
    <s v="宝山店"/>
    <s v="上海"/>
    <s v="eleme"/>
    <s v="饿了么"/>
    <s v="蛙小辣·美蛙火锅杯麻辣烫(宝山店)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d v="2020-07-04T00:00:00"/>
    <n v="4636"/>
    <s v="蛙小辣火锅杯（总账号）"/>
    <x v="5"/>
    <s v="宝山店"/>
    <s v="上海"/>
    <s v="meituan"/>
    <s v="美团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d v="2020-07-05T00:00:00"/>
    <n v="6108"/>
    <s v="拌客（武宁路店）"/>
    <x v="6"/>
    <s v="拌客干拌麻辣烫(武宁路店)"/>
    <s v="上海"/>
    <s v="eleme"/>
    <s v="饿了么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d v="2020-07-05T00:00:00"/>
    <n v="4636"/>
    <s v="蛙小辣火锅杯（总账号）"/>
    <x v="0"/>
    <s v="宝山店"/>
    <s v="上海"/>
    <s v="eleme"/>
    <s v="饿了么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d v="2020-07-05T00:00:00"/>
    <n v="4636"/>
    <s v="蛙小辣火锅杯（总账号）"/>
    <x v="5"/>
    <s v="宝山店"/>
    <s v="上海"/>
    <s v="meituan"/>
    <s v="美团"/>
    <s v="蛙小辣火锅杯（宝山店）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d v="2020-07-06T00:00:00"/>
    <n v="4636"/>
    <s v="蛙小辣火锅杯（总账号）"/>
    <x v="0"/>
    <s v="宝山店"/>
    <s v="上海"/>
    <s v="eleme"/>
    <s v="饿了么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d v="2020-07-06T00:00:00"/>
    <n v="4636"/>
    <s v="蛙小辣火锅杯（总账号）"/>
    <x v="5"/>
    <s v="宝山店"/>
    <s v="上海"/>
    <s v="meituan"/>
    <s v="美团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d v="2020-07-07T00:00:00"/>
    <n v="6108"/>
    <s v="拌客（武宁路店）"/>
    <x v="6"/>
    <s v="拌客干拌麻辣烫(武宁路店)"/>
    <s v="上海"/>
    <s v="eleme"/>
    <s v="饿了么"/>
    <s v="拌客·干拌麻辣烫(武宁路店)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d v="2020-07-07T00:00:00"/>
    <n v="4636"/>
    <s v="蛙小辣火锅杯（总账号）"/>
    <x v="0"/>
    <s v="宝山店"/>
    <s v="上海"/>
    <s v="eleme"/>
    <s v="饿了么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d v="2020-07-07T00:00:00"/>
    <n v="4636"/>
    <s v="蛙小辣火锅杯（总账号）"/>
    <x v="5"/>
    <s v="宝山店"/>
    <s v="上海"/>
    <s v="meituan"/>
    <s v="美团"/>
    <s v="蛙小辣火锅杯（宝山店）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d v="2020-07-08T00:00:00"/>
    <n v="6108"/>
    <s v="拌客（武宁路店）"/>
    <x v="6"/>
    <s v="拌客干拌麻辣烫(武宁路店)"/>
    <s v="上海"/>
    <s v="eleme"/>
    <s v="饿了么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d v="2020-07-08T00:00:00"/>
    <n v="6108"/>
    <s v="拌客（武宁路店）"/>
    <x v="7"/>
    <s v="拌客干拌麻辣烫(武宁路店)"/>
    <s v="上海"/>
    <s v="meituan"/>
    <s v="美团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d v="2020-07-08T00:00:00"/>
    <n v="4636"/>
    <s v="蛙小辣火锅杯（总账号）"/>
    <x v="0"/>
    <s v="宝山店"/>
    <s v="上海"/>
    <s v="eleme"/>
    <s v="饿了么"/>
    <s v="蛙小辣·美蛙火锅杯麻辣烫(宝山店)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d v="2020-07-08T00:00:00"/>
    <n v="4636"/>
    <s v="蛙小辣火锅杯（总账号）"/>
    <x v="5"/>
    <s v="宝山店"/>
    <s v="上海"/>
    <s v="meituan"/>
    <s v="美团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d v="2020-07-09T00:00:00"/>
    <n v="6108"/>
    <s v="拌客（武宁路店）"/>
    <x v="6"/>
    <s v="拌客干拌麻辣烫(武宁路店)"/>
    <s v="上海"/>
    <s v="eleme"/>
    <s v="饿了么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d v="2020-07-09T00:00:00"/>
    <n v="6108"/>
    <s v="拌客（武宁路店）"/>
    <x v="7"/>
    <s v="拌客干拌麻辣烫(武宁路店)"/>
    <s v="上海"/>
    <s v="meituan"/>
    <s v="美团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d v="2020-07-09T00:00:00"/>
    <n v="4636"/>
    <s v="蛙小辣火锅杯（总账号）"/>
    <x v="0"/>
    <s v="宝山店"/>
    <s v="上海"/>
    <s v="eleme"/>
    <s v="饿了么"/>
    <s v="蛙小辣·美蛙火锅杯麻辣烫(宝山店)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d v="2020-07-09T00:00:00"/>
    <n v="4636"/>
    <s v="蛙小辣火锅杯（总账号）"/>
    <x v="5"/>
    <s v="宝山店"/>
    <s v="上海"/>
    <s v="meituan"/>
    <s v="美团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d v="2020-07-10T00:00:00"/>
    <n v="6108"/>
    <s v="拌客（武宁路店）"/>
    <x v="6"/>
    <s v="拌客干拌麻辣烫(武宁路店)"/>
    <s v="上海"/>
    <s v="eleme"/>
    <s v="饿了么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d v="2020-07-10T00:00:00"/>
    <n v="6108"/>
    <s v="拌客（武宁路店）"/>
    <x v="7"/>
    <s v="拌客干拌麻辣烫(武宁路店)"/>
    <s v="上海"/>
    <s v="meituan"/>
    <s v="美团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d v="2020-07-10T00:00:00"/>
    <n v="4636"/>
    <s v="蛙小辣火锅杯（总账号）"/>
    <x v="0"/>
    <s v="宝山店"/>
    <s v="上海"/>
    <s v="eleme"/>
    <s v="饿了么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d v="2020-07-10T00:00:00"/>
    <n v="4636"/>
    <s v="蛙小辣火锅杯（总账号）"/>
    <x v="5"/>
    <s v="宝山店"/>
    <s v="上海"/>
    <s v="meituan"/>
    <s v="美团"/>
    <s v="蛙小辣火锅杯（宝山店）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d v="2020-07-11T00:00:00"/>
    <n v="6108"/>
    <s v="拌客（武宁路店）"/>
    <x v="6"/>
    <s v="拌客干拌麻辣烫(武宁路店)"/>
    <s v="上海"/>
    <s v="eleme"/>
    <s v="饿了么"/>
    <s v="拌客·干拌麻辣烫(武宁路店)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d v="2020-07-11T00:00:00"/>
    <n v="6108"/>
    <s v="拌客（武宁路店）"/>
    <x v="7"/>
    <s v="拌客干拌麻辣烫(武宁路店)"/>
    <s v="上海"/>
    <s v="meituan"/>
    <s v="美团"/>
    <s v="拌客干拌麻辣烫（武宁路店）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d v="2020-07-11T00:00:00"/>
    <n v="4636"/>
    <s v="蛙小辣火锅杯（总账号）"/>
    <x v="0"/>
    <s v="宝山店"/>
    <s v="上海"/>
    <s v="eleme"/>
    <s v="饿了么"/>
    <s v="蛙小辣·美蛙火锅杯麻辣烫(宝山店)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d v="2020-07-11T00:00:00"/>
    <n v="4636"/>
    <s v="蛙小辣火锅杯（总账号）"/>
    <x v="5"/>
    <s v="宝山店"/>
    <s v="上海"/>
    <s v="meituan"/>
    <s v="美团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d v="2020-07-12T00:00:00"/>
    <n v="6108"/>
    <s v="拌客（武宁路店）"/>
    <x v="6"/>
    <s v="拌客干拌麻辣烫(武宁路店)"/>
    <s v="上海"/>
    <s v="eleme"/>
    <s v="饿了么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d v="2020-07-12T00:00:00"/>
    <n v="6108"/>
    <s v="拌客（武宁路店）"/>
    <x v="7"/>
    <s v="拌客干拌麻辣烫(武宁路店)"/>
    <s v="上海"/>
    <s v="meituan"/>
    <s v="美团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d v="2020-07-12T00:00:00"/>
    <n v="4636"/>
    <s v="蛙小辣火锅杯（总账号）"/>
    <x v="0"/>
    <s v="宝山店"/>
    <s v="上海"/>
    <s v="eleme"/>
    <s v="饿了么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d v="2020-07-12T00:00:00"/>
    <n v="4636"/>
    <s v="蛙小辣火锅杯（总账号）"/>
    <x v="5"/>
    <s v="宝山店"/>
    <s v="上海"/>
    <s v="meituan"/>
    <s v="美团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d v="2020-07-13T00:00:00"/>
    <n v="6108"/>
    <s v="拌客（武宁路店）"/>
    <x v="6"/>
    <s v="拌客干拌麻辣烫(武宁路店)"/>
    <s v="上海"/>
    <s v="eleme"/>
    <s v="饿了么"/>
    <s v="拌客·干拌麻辣烫(武宁路店)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d v="2020-07-13T00:00:00"/>
    <n v="6108"/>
    <s v="拌客（武宁路店）"/>
    <x v="7"/>
    <s v="拌客干拌麻辣烫(武宁路店)"/>
    <s v="上海"/>
    <s v="meituan"/>
    <s v="美团"/>
    <s v="拌客干拌麻辣烫（武宁路店）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d v="2020-07-13T00:00:00"/>
    <n v="4636"/>
    <s v="蛙小辣火锅杯（总账号）"/>
    <x v="0"/>
    <s v="宝山店"/>
    <s v="上海"/>
    <s v="eleme"/>
    <s v="饿了么"/>
    <s v="蛙小辣·美蛙火锅杯麻辣烫(宝山店)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d v="2020-07-13T00:00:00"/>
    <n v="4636"/>
    <s v="蛙小辣火锅杯（总账号）"/>
    <x v="5"/>
    <s v="宝山店"/>
    <s v="上海"/>
    <s v="meituan"/>
    <s v="美团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d v="2020-07-14T00:00:00"/>
    <n v="6108"/>
    <s v="拌客（武宁路店）"/>
    <x v="6"/>
    <s v="拌客干拌麻辣烫(武宁路店)"/>
    <s v="上海"/>
    <s v="eleme"/>
    <s v="饿了么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d v="2020-07-14T00:00:00"/>
    <n v="6108"/>
    <s v="拌客（武宁路店）"/>
    <x v="7"/>
    <s v="拌客干拌麻辣烫(武宁路店)"/>
    <s v="上海"/>
    <s v="meituan"/>
    <s v="美团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d v="2020-07-14T00:00:00"/>
    <n v="4636"/>
    <s v="蛙小辣火锅杯（总账号）"/>
    <x v="0"/>
    <s v="宝山店"/>
    <s v="上海"/>
    <s v="eleme"/>
    <s v="饿了么"/>
    <s v="蛙小辣·美蛙火锅杯麻辣烫(宝山店)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d v="2020-07-14T00:00:00"/>
    <n v="4636"/>
    <s v="蛙小辣火锅杯（总账号）"/>
    <x v="5"/>
    <s v="宝山店"/>
    <s v="上海"/>
    <s v="meituan"/>
    <s v="美团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d v="2020-07-15T00:00:00"/>
    <n v="6108"/>
    <s v="拌客（武宁路店）"/>
    <x v="6"/>
    <s v="拌客干拌麻辣烫(武宁路店)"/>
    <s v="上海"/>
    <s v="eleme"/>
    <s v="饿了么"/>
    <s v="拌客·干拌麻辣烫(武宁路店)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d v="2020-07-15T00:00:00"/>
    <n v="6108"/>
    <s v="拌客（武宁路店）"/>
    <x v="7"/>
    <s v="拌客干拌麻辣烫(武宁路店)"/>
    <s v="上海"/>
    <s v="meituan"/>
    <s v="美团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d v="2020-07-15T00:00:00"/>
    <n v="4636"/>
    <s v="蛙小辣火锅杯（总账号）"/>
    <x v="0"/>
    <s v="宝山店"/>
    <s v="上海"/>
    <s v="eleme"/>
    <s v="饿了么"/>
    <s v="蛙小辣·美蛙火锅杯麻辣烫(宝山店)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d v="2020-07-15T00:00:00"/>
    <n v="4636"/>
    <s v="蛙小辣火锅杯（总账号）"/>
    <x v="5"/>
    <s v="宝山店"/>
    <s v="上海"/>
    <s v="meituan"/>
    <s v="美团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d v="2020-07-16T00:00:00"/>
    <n v="6108"/>
    <s v="拌客（武宁路店）"/>
    <x v="6"/>
    <s v="拌客干拌麻辣烫(武宁路店)"/>
    <s v="上海"/>
    <s v="eleme"/>
    <s v="饿了么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d v="2020-07-16T00:00:00"/>
    <n v="6108"/>
    <s v="拌客（武宁路店）"/>
    <x v="7"/>
    <s v="拌客干拌麻辣烫(武宁路店)"/>
    <s v="上海"/>
    <s v="meituan"/>
    <s v="美团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d v="2020-07-16T00:00:00"/>
    <n v="4636"/>
    <s v="蛙小辣火锅杯（总账号）"/>
    <x v="0"/>
    <s v="宝山店"/>
    <s v="上海"/>
    <s v="eleme"/>
    <s v="饿了么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d v="2020-07-17T00:00:00"/>
    <n v="6108"/>
    <s v="拌客（武宁路店）"/>
    <x v="6"/>
    <s v="拌客干拌麻辣烫(武宁路店)"/>
    <s v="上海"/>
    <s v="eleme"/>
    <s v="饿了么"/>
    <s v="拌客·干拌麻辣烫(武宁路店)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d v="2020-07-17T00:00:00"/>
    <n v="6108"/>
    <s v="拌客（武宁路店）"/>
    <x v="7"/>
    <s v="拌客干拌麻辣烫(武宁路店)"/>
    <s v="上海"/>
    <s v="meituan"/>
    <s v="美团"/>
    <s v="拌客干拌麻辣烫（武宁路店）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d v="2020-07-17T00:00:00"/>
    <n v="4636"/>
    <s v="蛙小辣火锅杯（总账号）"/>
    <x v="0"/>
    <s v="宝山店"/>
    <s v="上海"/>
    <s v="eleme"/>
    <s v="饿了么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d v="2020-07-18T00:00:00"/>
    <n v="6108"/>
    <s v="拌客（武宁路店）"/>
    <x v="6"/>
    <s v="拌客干拌麻辣烫(武宁路店)"/>
    <s v="上海"/>
    <s v="eleme"/>
    <s v="饿了么"/>
    <s v="拌客·干拌麻辣烫(武宁路店)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d v="2020-07-18T00:00:00"/>
    <n v="6108"/>
    <s v="拌客（武宁路店）"/>
    <x v="7"/>
    <s v="拌客干拌麻辣烫(武宁路店)"/>
    <s v="上海"/>
    <s v="meituan"/>
    <s v="美团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d v="2020-07-18T00:00:00"/>
    <n v="4636"/>
    <s v="蛙小辣火锅杯（总账号）"/>
    <x v="0"/>
    <s v="宝山店"/>
    <s v="上海"/>
    <s v="eleme"/>
    <s v="饿了么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d v="2020-07-19T00:00:00"/>
    <n v="6108"/>
    <s v="拌客（武宁路店）"/>
    <x v="6"/>
    <s v="拌客干拌麻辣烫(武宁路店)"/>
    <s v="上海"/>
    <s v="eleme"/>
    <s v="饿了么"/>
    <s v="拌客·干拌麻辣烫(武宁路店)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d v="2020-07-19T00:00:00"/>
    <n v="6108"/>
    <s v="拌客（武宁路店）"/>
    <x v="7"/>
    <s v="拌客干拌麻辣烫(武宁路店)"/>
    <s v="上海"/>
    <s v="meituan"/>
    <s v="美团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d v="2020-07-19T00:00:00"/>
    <n v="4636"/>
    <s v="蛙小辣火锅杯（总账号）"/>
    <x v="0"/>
    <s v="宝山店"/>
    <s v="上海"/>
    <s v="eleme"/>
    <s v="饿了么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d v="2020-07-20T00:00:00"/>
    <n v="6108"/>
    <s v="拌客（武宁路店）"/>
    <x v="6"/>
    <s v="拌客干拌麻辣烫(武宁路店)"/>
    <s v="上海"/>
    <s v="eleme"/>
    <s v="饿了么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d v="2020-07-20T00:00:00"/>
    <n v="6108"/>
    <s v="拌客（武宁路店）"/>
    <x v="7"/>
    <s v="拌客干拌麻辣烫(武宁路店)"/>
    <s v="上海"/>
    <s v="meituan"/>
    <s v="美团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d v="2020-07-21T00:00:00"/>
    <n v="6108"/>
    <s v="拌客（武宁路店）"/>
    <x v="6"/>
    <s v="拌客干拌麻辣烫(武宁路店)"/>
    <s v="上海"/>
    <s v="eleme"/>
    <s v="饿了么"/>
    <s v="拌客·干拌麻辣烫(武宁路店)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d v="2020-07-21T00:00:00"/>
    <n v="6108"/>
    <s v="拌客（武宁路店）"/>
    <x v="7"/>
    <s v="拌客干拌麻辣烫(武宁路店)"/>
    <s v="上海"/>
    <s v="meituan"/>
    <s v="美团"/>
    <s v="拌客干拌麻辣烫（武宁路店）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d v="2020-07-21T00:00:00"/>
    <n v="4636"/>
    <s v="蛙小辣火锅杯（总账号）"/>
    <x v="0"/>
    <s v="宝山店"/>
    <s v="上海"/>
    <s v="eleme"/>
    <s v="饿了么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d v="2020-07-22T00:00:00"/>
    <n v="6108"/>
    <s v="拌客（武宁路店）"/>
    <x v="6"/>
    <s v="拌客干拌麻辣烫(武宁路店)"/>
    <s v="上海"/>
    <s v="eleme"/>
    <s v="饿了么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d v="2020-07-22T00:00:00"/>
    <n v="6108"/>
    <s v="拌客（武宁路店）"/>
    <x v="7"/>
    <s v="拌客干拌麻辣烫(武宁路店)"/>
    <s v="上海"/>
    <s v="meituan"/>
    <s v="美团"/>
    <s v="拌客干拌麻辣烫（武宁路店）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d v="2020-07-22T00:00:00"/>
    <n v="4636"/>
    <s v="蛙小辣火锅杯（总账号）"/>
    <x v="0"/>
    <s v="宝山店"/>
    <s v="上海"/>
    <s v="eleme"/>
    <s v="饿了么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d v="2020-07-22T00:00:00"/>
    <n v="4636"/>
    <s v="蛙小辣火锅杯（总账号）"/>
    <x v="5"/>
    <s v="宝山店"/>
    <s v="上海"/>
    <s v="meituan"/>
    <s v="美团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d v="2020-07-23T00:00:00"/>
    <n v="6108"/>
    <s v="拌客（武宁路店）"/>
    <x v="6"/>
    <s v="拌客干拌麻辣烫(武宁路店)"/>
    <s v="上海"/>
    <s v="eleme"/>
    <s v="饿了么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d v="2020-07-23T00:00:00"/>
    <n v="6108"/>
    <s v="拌客（武宁路店）"/>
    <x v="7"/>
    <s v="拌客干拌麻辣烫(武宁路店)"/>
    <s v="上海"/>
    <s v="meituan"/>
    <s v="美团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d v="2020-07-23T00:00:00"/>
    <n v="4636"/>
    <s v="蛙小辣火锅杯（总账号）"/>
    <x v="0"/>
    <s v="宝山店"/>
    <s v="上海"/>
    <s v="eleme"/>
    <s v="饿了么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d v="2020-07-23T00:00:00"/>
    <n v="4636"/>
    <s v="蛙小辣火锅杯（总账号）"/>
    <x v="5"/>
    <s v="宝山店"/>
    <s v="上海"/>
    <s v="meituan"/>
    <s v="美团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d v="2020-07-24T00:00:00"/>
    <n v="6108"/>
    <s v="拌客（武宁路店）"/>
    <x v="6"/>
    <s v="拌客干拌麻辣烫(武宁路店)"/>
    <s v="上海"/>
    <s v="eleme"/>
    <s v="饿了么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d v="2020-07-24T00:00:00"/>
    <n v="6108"/>
    <s v="拌客（武宁路店）"/>
    <x v="7"/>
    <s v="拌客干拌麻辣烫(武宁路店)"/>
    <s v="上海"/>
    <s v="meituan"/>
    <s v="美团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d v="2020-07-24T00:00:00"/>
    <n v="4636"/>
    <s v="蛙小辣火锅杯（总账号）"/>
    <x v="0"/>
    <s v="宝山店"/>
    <s v="上海"/>
    <s v="eleme"/>
    <s v="饿了么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d v="2020-07-24T00:00:00"/>
    <n v="4636"/>
    <s v="蛙小辣火锅杯（总账号）"/>
    <x v="5"/>
    <s v="宝山店"/>
    <s v="上海"/>
    <s v="meituan"/>
    <s v="美团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d v="2020-07-25T00:00:00"/>
    <n v="6108"/>
    <s v="拌客（武宁路店）"/>
    <x v="6"/>
    <s v="拌客干拌麻辣烫(武宁路店)"/>
    <s v="上海"/>
    <s v="eleme"/>
    <s v="饿了么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d v="2020-07-25T00:00:00"/>
    <n v="4636"/>
    <s v="蛙小辣火锅杯（总账号）"/>
    <x v="5"/>
    <s v="宝山店"/>
    <s v="上海"/>
    <s v="meituan"/>
    <s v="美团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d v="2020-07-26T00:00:00"/>
    <n v="6108"/>
    <s v="拌客（武宁路店）"/>
    <x v="6"/>
    <s v="拌客干拌麻辣烫(武宁路店)"/>
    <s v="上海"/>
    <s v="eleme"/>
    <s v="饿了么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d v="2020-07-26T00:00:00"/>
    <n v="6108"/>
    <s v="拌客（武宁路店）"/>
    <x v="7"/>
    <s v="拌客干拌麻辣烫(武宁路店)"/>
    <s v="上海"/>
    <s v="meituan"/>
    <s v="美团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d v="2020-07-26T00:00:00"/>
    <n v="4636"/>
    <s v="蛙小辣火锅杯（总账号）"/>
    <x v="5"/>
    <s v="宝山店"/>
    <s v="上海"/>
    <s v="meituan"/>
    <s v="美团"/>
    <s v="蛙小辣火锅杯（宝山店）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d v="2020-07-27T00:00:00"/>
    <n v="6108"/>
    <s v="拌客（武宁路店）"/>
    <x v="6"/>
    <s v="拌客干拌麻辣烫(武宁路店)"/>
    <s v="上海"/>
    <s v="eleme"/>
    <s v="饿了么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d v="2020-07-27T00:00:00"/>
    <n v="6108"/>
    <s v="拌客（武宁路店）"/>
    <x v="7"/>
    <s v="拌客干拌麻辣烫(武宁路店)"/>
    <s v="上海"/>
    <s v="meituan"/>
    <s v="美团"/>
    <s v="拌客干拌麻辣烫（武宁路店）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d v="2020-07-27T00:00:00"/>
    <n v="4636"/>
    <s v="蛙小辣火锅杯（总账号）"/>
    <x v="5"/>
    <s v="宝山店"/>
    <s v="上海"/>
    <s v="meituan"/>
    <s v="美团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d v="2020-07-28T00:00:00"/>
    <n v="6108"/>
    <s v="拌客（武宁路店）"/>
    <x v="6"/>
    <s v="拌客干拌麻辣烫(武宁路店)"/>
    <s v="上海"/>
    <s v="eleme"/>
    <s v="饿了么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d v="2020-07-28T00:00:00"/>
    <n v="6108"/>
    <s v="拌客（武宁路店）"/>
    <x v="7"/>
    <s v="拌客干拌麻辣烫(武宁路店)"/>
    <s v="上海"/>
    <s v="meituan"/>
    <s v="美团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d v="2020-07-28T00:00:00"/>
    <n v="4636"/>
    <s v="蛙小辣火锅杯（总账号）"/>
    <x v="0"/>
    <s v="宝山店"/>
    <s v="上海"/>
    <s v="eleme"/>
    <s v="饿了么"/>
    <s v="蛙小辣·美蛙火锅杯麻辣烫(宝山店)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d v="2020-07-28T00:00:00"/>
    <n v="4636"/>
    <s v="蛙小辣火锅杯（总账号）"/>
    <x v="5"/>
    <s v="宝山店"/>
    <s v="上海"/>
    <s v="meituan"/>
    <s v="美团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d v="2020-07-29T00:00:00"/>
    <n v="6108"/>
    <s v="拌客（武宁路店）"/>
    <x v="6"/>
    <s v="拌客干拌麻辣烫(武宁路店)"/>
    <s v="上海"/>
    <s v="eleme"/>
    <s v="饿了么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d v="2020-07-29T00:00:00"/>
    <n v="6108"/>
    <s v="拌客（武宁路店）"/>
    <x v="7"/>
    <s v="拌客干拌麻辣烫(武宁路店)"/>
    <s v="上海"/>
    <s v="meituan"/>
    <s v="美团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d v="2020-07-29T00:00:00"/>
    <n v="4636"/>
    <s v="蛙小辣火锅杯（总账号）"/>
    <x v="0"/>
    <s v="宝山店"/>
    <s v="上海"/>
    <s v="eleme"/>
    <s v="饿了么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d v="2020-07-29T00:00:00"/>
    <n v="4636"/>
    <s v="蛙小辣火锅杯（总账号）"/>
    <x v="5"/>
    <s v="宝山店"/>
    <s v="上海"/>
    <s v="meituan"/>
    <s v="美团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d v="2020-07-30T00:00:00"/>
    <n v="6108"/>
    <s v="拌客（武宁路店）"/>
    <x v="6"/>
    <s v="拌客干拌麻辣烫(武宁路店)"/>
    <s v="上海"/>
    <s v="eleme"/>
    <s v="饿了么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d v="2020-07-30T00:00:00"/>
    <n v="6108"/>
    <s v="拌客（武宁路店）"/>
    <x v="7"/>
    <s v="拌客干拌麻辣烫(武宁路店)"/>
    <s v="上海"/>
    <s v="meituan"/>
    <s v="美团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d v="2020-07-30T00:00:00"/>
    <n v="4636"/>
    <s v="蛙小辣火锅杯（总账号）"/>
    <x v="0"/>
    <s v="宝山店"/>
    <s v="上海"/>
    <s v="eleme"/>
    <s v="饿了么"/>
    <s v="蛙小辣·美蛙火锅杯麻辣烫(宝山店)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d v="2020-07-30T00:00:00"/>
    <n v="4636"/>
    <s v="蛙小辣火锅杯（总账号）"/>
    <x v="5"/>
    <s v="宝山店"/>
    <s v="上海"/>
    <s v="meituan"/>
    <s v="美团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d v="2020-07-31T00:00:00"/>
    <n v="6108"/>
    <s v="拌客（武宁路店）"/>
    <x v="6"/>
    <s v="拌客干拌麻辣烫(武宁路店)"/>
    <s v="上海"/>
    <s v="eleme"/>
    <s v="饿了么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d v="2020-07-31T00:00:00"/>
    <n v="6108"/>
    <s v="拌客（武宁路店）"/>
    <x v="7"/>
    <s v="拌客干拌麻辣烫(武宁路店)"/>
    <s v="上海"/>
    <s v="meituan"/>
    <s v="美团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d v="2020-07-31T00:00:00"/>
    <n v="4636"/>
    <s v="蛙小辣火锅杯（总账号）"/>
    <x v="0"/>
    <s v="宝山店"/>
    <s v="上海"/>
    <s v="eleme"/>
    <s v="饿了么"/>
    <s v="蛙小辣·美蛙火锅杯麻辣烫(宝山店)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d v="2020-07-31T00:00:00"/>
    <n v="4636"/>
    <s v="蛙小辣火锅杯（总账号）"/>
    <x v="5"/>
    <s v="宝山店"/>
    <s v="上海"/>
    <s v="meituan"/>
    <s v="美团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d v="2020-08-01T00:00:00"/>
    <n v="6108"/>
    <s v="拌客（武宁路店）"/>
    <x v="6"/>
    <s v="拌客干拌麻辣烫(武宁路店)"/>
    <s v="上海"/>
    <s v="eleme"/>
    <s v="饿了么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d v="2020-08-01T00:00:00"/>
    <n v="6108"/>
    <s v="拌客（武宁路店）"/>
    <x v="7"/>
    <s v="拌客干拌麻辣烫(武宁路店)"/>
    <s v="上海"/>
    <s v="meituan"/>
    <s v="美团"/>
    <s v="拌客干拌麻辣烫（武宁路店）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d v="2020-08-01T00:00:00"/>
    <n v="4636"/>
    <s v="蛙小辣火锅杯（总账号）"/>
    <x v="0"/>
    <s v="宝山店"/>
    <s v="上海"/>
    <s v="eleme"/>
    <s v="饿了么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d v="2020-08-01T00:00:00"/>
    <n v="4636"/>
    <s v="蛙小辣火锅杯（总账号）"/>
    <x v="5"/>
    <s v="宝山店"/>
    <s v="上海"/>
    <s v="meituan"/>
    <s v="美团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d v="2020-08-02T00:00:00"/>
    <n v="6108"/>
    <s v="拌客（武宁路店）"/>
    <x v="6"/>
    <s v="拌客干拌麻辣烫(武宁路店)"/>
    <s v="上海"/>
    <s v="eleme"/>
    <s v="饿了么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d v="2020-08-02T00:00:00"/>
    <n v="6108"/>
    <s v="拌客（武宁路店）"/>
    <x v="7"/>
    <s v="拌客干拌麻辣烫(武宁路店)"/>
    <s v="上海"/>
    <s v="meituan"/>
    <s v="美团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d v="2020-08-02T00:00:00"/>
    <n v="4636"/>
    <s v="蛙小辣火锅杯（总账号）"/>
    <x v="0"/>
    <s v="宝山店"/>
    <s v="上海"/>
    <s v="eleme"/>
    <s v="饿了么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d v="2020-08-02T00:00:00"/>
    <n v="4636"/>
    <s v="蛙小辣火锅杯（总账号）"/>
    <x v="5"/>
    <s v="宝山店"/>
    <s v="上海"/>
    <s v="meituan"/>
    <s v="美团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d v="2020-08-03T00:00:00"/>
    <n v="6108"/>
    <s v="拌客（武宁路店）"/>
    <x v="6"/>
    <s v="拌客干拌麻辣烫(武宁路店)"/>
    <s v="上海"/>
    <s v="eleme"/>
    <s v="饿了么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d v="2020-08-03T00:00:00"/>
    <n v="6108"/>
    <s v="拌客（武宁路店）"/>
    <x v="7"/>
    <s v="拌客干拌麻辣烫(武宁路店)"/>
    <s v="上海"/>
    <s v="meituan"/>
    <s v="美团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d v="2020-08-03T00:00:00"/>
    <n v="4636"/>
    <s v="蛙小辣火锅杯（总账号）"/>
    <x v="0"/>
    <s v="宝山店"/>
    <s v="上海"/>
    <s v="eleme"/>
    <s v="饿了么"/>
    <s v="蛙小辣·美蛙火锅杯麻辣烫(宝山店)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d v="2020-08-03T00:00:00"/>
    <n v="4636"/>
    <s v="蛙小辣火锅杯（总账号）"/>
    <x v="5"/>
    <s v="宝山店"/>
    <s v="上海"/>
    <s v="meituan"/>
    <s v="美团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d v="2020-08-04T00:00:00"/>
    <n v="4636"/>
    <s v="蛙小辣火锅杯（总账号）"/>
    <x v="0"/>
    <s v="宝山店"/>
    <s v="上海"/>
    <s v="eleme"/>
    <s v="饿了么"/>
    <s v="蛙小辣·美蛙火锅杯麻辣烫(宝山店)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d v="2020-08-04T00:00:00"/>
    <n v="4636"/>
    <s v="蛙小辣火锅杯（总账号）"/>
    <x v="5"/>
    <s v="宝山店"/>
    <s v="上海"/>
    <s v="meituan"/>
    <s v="美团"/>
    <s v="蛙小辣火锅杯（宝山店）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d v="2020-08-05T00:00:00"/>
    <n v="4636"/>
    <s v="蛙小辣火锅杯（总账号）"/>
    <x v="0"/>
    <s v="宝山店"/>
    <s v="上海"/>
    <s v="eleme"/>
    <s v="饿了么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d v="2020-08-05T00:00:00"/>
    <n v="4636"/>
    <s v="蛙小辣火锅杯（总账号）"/>
    <x v="5"/>
    <s v="宝山店"/>
    <s v="上海"/>
    <s v="meituan"/>
    <s v="美团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d v="2020-08-06T00:00:00"/>
    <n v="4636"/>
    <s v="蛙小辣火锅杯（总账号）"/>
    <x v="0"/>
    <s v="宝山店"/>
    <s v="上海"/>
    <s v="eleme"/>
    <s v="饿了么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d v="2020-08-06T00:00:00"/>
    <n v="4636"/>
    <s v="蛙小辣火锅杯（总账号）"/>
    <x v="5"/>
    <s v="宝山店"/>
    <s v="上海"/>
    <s v="meituan"/>
    <s v="美团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d v="2020-08-07T00:00:00"/>
    <n v="4636"/>
    <s v="蛙小辣火锅杯（总账号）"/>
    <x v="0"/>
    <s v="宝山店"/>
    <s v="上海"/>
    <s v="eleme"/>
    <s v="饿了么"/>
    <s v="蛙小辣·美蛙火锅杯麻辣烫(宝山店)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d v="2020-08-07T00:00:00"/>
    <n v="4636"/>
    <s v="蛙小辣火锅杯（总账号）"/>
    <x v="5"/>
    <s v="宝山店"/>
    <s v="上海"/>
    <s v="meituan"/>
    <s v="美团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d v="2020-08-08T00:00:00"/>
    <n v="4636"/>
    <s v="蛙小辣火锅杯（总账号）"/>
    <x v="0"/>
    <s v="宝山店"/>
    <s v="上海"/>
    <s v="eleme"/>
    <s v="饿了么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d v="2020-08-08T00:00:00"/>
    <n v="4636"/>
    <s v="蛙小辣火锅杯（总账号）"/>
    <x v="5"/>
    <s v="宝山店"/>
    <s v="上海"/>
    <s v="meituan"/>
    <s v="美团"/>
    <s v="蛙小辣火锅杯（宝山店）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d v="2020-08-09T00:00:00"/>
    <n v="4636"/>
    <s v="蛙小辣火锅杯（总账号）"/>
    <x v="0"/>
    <s v="宝山店"/>
    <s v="上海"/>
    <s v="eleme"/>
    <s v="饿了么"/>
    <s v="蛙小辣·美蛙火锅杯麻辣烫(宝山店)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d v="2020-08-09T00:00:00"/>
    <n v="4636"/>
    <s v="蛙小辣火锅杯（总账号）"/>
    <x v="5"/>
    <s v="宝山店"/>
    <s v="上海"/>
    <s v="meituan"/>
    <s v="美团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d v="2020-08-10T00:00:00"/>
    <n v="4636"/>
    <s v="蛙小辣火锅杯（总账号）"/>
    <x v="0"/>
    <s v="宝山店"/>
    <s v="上海"/>
    <s v="eleme"/>
    <s v="饿了么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d v="2020-08-10T00:00:00"/>
    <n v="4636"/>
    <s v="蛙小辣火锅杯（总账号）"/>
    <x v="5"/>
    <s v="宝山店"/>
    <s v="上海"/>
    <s v="meituan"/>
    <s v="美团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d v="2020-08-11T00:00:00"/>
    <n v="4636"/>
    <s v="蛙小辣火锅杯（总账号）"/>
    <x v="0"/>
    <s v="宝山店"/>
    <s v="上海"/>
    <s v="eleme"/>
    <s v="饿了么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d v="2020-08-11T00:00:00"/>
    <n v="4636"/>
    <s v="蛙小辣火锅杯（总账号）"/>
    <x v="5"/>
    <s v="宝山店"/>
    <s v="上海"/>
    <s v="meituan"/>
    <s v="美团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d v="2020-08-12T00:00:00"/>
    <n v="4636"/>
    <s v="蛙小辣火锅杯（总账号）"/>
    <x v="0"/>
    <s v="宝山店"/>
    <s v="上海"/>
    <s v="eleme"/>
    <s v="饿了么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d v="2020-08-12T00:00:00"/>
    <n v="4636"/>
    <s v="蛙小辣火锅杯（总账号）"/>
    <x v="5"/>
    <s v="宝山店"/>
    <s v="上海"/>
    <s v="meituan"/>
    <s v="美团"/>
    <s v="蛙小辣火锅杯（宝山店）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d v="2020-08-13T00:00:00"/>
    <n v="4636"/>
    <s v="蛙小辣火锅杯（总账号）"/>
    <x v="0"/>
    <s v="宝山店"/>
    <s v="上海"/>
    <s v="eleme"/>
    <s v="饿了么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d v="2020-08-13T00:00:00"/>
    <n v="4636"/>
    <s v="蛙小辣火锅杯（总账号）"/>
    <x v="5"/>
    <s v="宝山店"/>
    <s v="上海"/>
    <s v="meituan"/>
    <s v="美团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d v="2020-08-14T00:00:00"/>
    <n v="4636"/>
    <s v="蛙小辣火锅杯（总账号）"/>
    <x v="0"/>
    <s v="宝山店"/>
    <s v="上海"/>
    <s v="eleme"/>
    <s v="饿了么"/>
    <s v="蛙小辣·美蛙火锅杯麻辣烫(宝山店)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d v="2020-08-14T00:00:00"/>
    <n v="4636"/>
    <s v="蛙小辣火锅杯（总账号）"/>
    <x v="5"/>
    <s v="宝山店"/>
    <s v="上海"/>
    <s v="meituan"/>
    <s v="美团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d v="2020-08-15T00:00:00"/>
    <n v="4636"/>
    <s v="蛙小辣火锅杯（总账号）"/>
    <x v="0"/>
    <s v="宝山店"/>
    <s v="上海"/>
    <s v="eleme"/>
    <s v="饿了么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d v="2020-08-15T00:00:00"/>
    <n v="4636"/>
    <s v="蛙小辣火锅杯（总账号）"/>
    <x v="5"/>
    <s v="宝山店"/>
    <s v="上海"/>
    <s v="meituan"/>
    <s v="美团"/>
    <s v="蛙小辣火锅杯（宝山店）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d v="2020-08-16T00:00:00"/>
    <n v="4636"/>
    <s v="蛙小辣火锅杯（总账号）"/>
    <x v="0"/>
    <s v="宝山店"/>
    <s v="上海"/>
    <s v="eleme"/>
    <s v="饿了么"/>
    <s v="蛙小辣·美蛙火锅杯麻辣烫(宝山店)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d v="2020-08-16T00:00:00"/>
    <n v="4636"/>
    <s v="蛙小辣火锅杯（总账号）"/>
    <x v="5"/>
    <s v="宝山店"/>
    <s v="上海"/>
    <s v="meituan"/>
    <s v="美团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d v="2020-08-17T00:00:00"/>
    <n v="4636"/>
    <s v="蛙小辣火锅杯（总账号）"/>
    <x v="0"/>
    <s v="宝山店"/>
    <s v="上海"/>
    <s v="eleme"/>
    <s v="饿了么"/>
    <s v="蛙小辣·美蛙火锅杯麻辣烫(宝山店)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d v="2020-08-17T00:00:00"/>
    <n v="4636"/>
    <s v="蛙小辣火锅杯（总账号）"/>
    <x v="5"/>
    <s v="宝山店"/>
    <s v="上海"/>
    <s v="meituan"/>
    <s v="美团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d v="2020-08-18T00:00:00"/>
    <n v="4636"/>
    <s v="蛙小辣火锅杯（总账号）"/>
    <x v="0"/>
    <s v="宝山店"/>
    <s v="上海"/>
    <s v="eleme"/>
    <s v="饿了么"/>
    <s v="蛙小辣·美蛙火锅杯麻辣烫(宝山店)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d v="2020-08-18T00:00:00"/>
    <n v="4636"/>
    <s v="蛙小辣火锅杯（总账号）"/>
    <x v="5"/>
    <s v="宝山店"/>
    <s v="上海"/>
    <s v="meituan"/>
    <s v="美团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d v="2020-08-19T00:00:00"/>
    <n v="4636"/>
    <s v="蛙小辣火锅杯（总账号）"/>
    <x v="0"/>
    <s v="宝山店"/>
    <s v="上海"/>
    <s v="eleme"/>
    <s v="饿了么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d v="2020-08-19T00:00:00"/>
    <n v="4636"/>
    <s v="蛙小辣火锅杯（总账号）"/>
    <x v="5"/>
    <s v="宝山店"/>
    <s v="上海"/>
    <s v="meituan"/>
    <s v="美团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d v="2020-08-20T00:00:00"/>
    <n v="4636"/>
    <s v="蛙小辣火锅杯（总账号）"/>
    <x v="0"/>
    <s v="宝山店"/>
    <s v="上海"/>
    <s v="eleme"/>
    <s v="饿了么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d v="2020-08-20T00:00:00"/>
    <n v="4636"/>
    <s v="蛙小辣火锅杯（总账号）"/>
    <x v="5"/>
    <s v="宝山店"/>
    <s v="上海"/>
    <s v="meituan"/>
    <s v="美团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d v="2020-08-21T00:00:00"/>
    <n v="4636"/>
    <s v="蛙小辣火锅杯（总账号）"/>
    <x v="0"/>
    <s v="宝山店"/>
    <s v="上海"/>
    <s v="eleme"/>
    <s v="饿了么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d v="2020-08-21T00:00:00"/>
    <n v="4636"/>
    <s v="蛙小辣火锅杯（总账号）"/>
    <x v="5"/>
    <s v="宝山店"/>
    <s v="上海"/>
    <s v="meituan"/>
    <s v="美团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d v="2020-08-22T00:00:00"/>
    <n v="4636"/>
    <s v="蛙小辣火锅杯（总账号）"/>
    <x v="0"/>
    <s v="宝山店"/>
    <s v="上海"/>
    <s v="eleme"/>
    <s v="饿了么"/>
    <s v="蛙小辣·美蛙火锅杯麻辣烫(宝山店)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d v="2020-08-22T00:00:00"/>
    <n v="4636"/>
    <s v="蛙小辣火锅杯（总账号）"/>
    <x v="5"/>
    <s v="宝山店"/>
    <s v="上海"/>
    <s v="meituan"/>
    <s v="美团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d v="2020-08-23T00:00:00"/>
    <n v="4636"/>
    <s v="蛙小辣火锅杯（总账号）"/>
    <x v="0"/>
    <s v="宝山店"/>
    <s v="上海"/>
    <s v="eleme"/>
    <s v="饿了么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d v="2020-08-23T00:00:00"/>
    <n v="4636"/>
    <s v="蛙小辣火锅杯（总账号）"/>
    <x v="5"/>
    <s v="宝山店"/>
    <s v="上海"/>
    <s v="meituan"/>
    <s v="美团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d v="2020-08-24T00:00:00"/>
    <n v="4636"/>
    <s v="蛙小辣火锅杯（总账号）"/>
    <x v="0"/>
    <s v="宝山店"/>
    <s v="上海"/>
    <s v="eleme"/>
    <s v="饿了么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d v="2020-08-24T00:00:00"/>
    <n v="4636"/>
    <s v="蛙小辣火锅杯（总账号）"/>
    <x v="5"/>
    <s v="宝山店"/>
    <s v="上海"/>
    <s v="meituan"/>
    <s v="美团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d v="2020-08-25T00:00:00"/>
    <n v="4636"/>
    <s v="蛙小辣火锅杯（总账号）"/>
    <x v="0"/>
    <s v="宝山店"/>
    <s v="上海"/>
    <s v="eleme"/>
    <s v="饿了么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d v="2020-08-25T00:00:00"/>
    <n v="4636"/>
    <s v="蛙小辣火锅杯（总账号）"/>
    <x v="5"/>
    <s v="宝山店"/>
    <s v="上海"/>
    <s v="meituan"/>
    <s v="美团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d v="2020-08-26T00:00:00"/>
    <n v="4636"/>
    <s v="蛙小辣火锅杯（总账号）"/>
    <x v="5"/>
    <s v="宝山店"/>
    <s v="上海"/>
    <s v="meituan"/>
    <s v="美团"/>
    <s v="蛙小辣火锅杯（宝山店）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d v="2020-08-27T00:00:00"/>
    <n v="4636"/>
    <s v="蛙小辣火锅杯（总账号）"/>
    <x v="0"/>
    <s v="宝山店"/>
    <s v="上海"/>
    <s v="eleme"/>
    <s v="饿了么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d v="2020-08-27T00:00:00"/>
    <n v="4636"/>
    <s v="蛙小辣火锅杯（总账号）"/>
    <x v="5"/>
    <s v="宝山店"/>
    <s v="上海"/>
    <s v="meituan"/>
    <s v="美团"/>
    <s v="蛙小辣火锅杯（宝山店）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d v="2020-08-28T00:00:00"/>
    <n v="4636"/>
    <s v="蛙小辣火锅杯（总账号）"/>
    <x v="0"/>
    <s v="宝山店"/>
    <s v="上海"/>
    <s v="eleme"/>
    <s v="饿了么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d v="2020-08-28T00:00:00"/>
    <n v="4636"/>
    <s v="蛙小辣火锅杯（总账号）"/>
    <x v="5"/>
    <s v="宝山店"/>
    <s v="上海"/>
    <s v="meituan"/>
    <s v="美团"/>
    <s v="蛙小辣火锅杯（宝山店）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d v="2020-08-29T00:00:00"/>
    <n v="4636"/>
    <s v="蛙小辣火锅杯（总账号）"/>
    <x v="0"/>
    <s v="宝山店"/>
    <s v="上海"/>
    <s v="eleme"/>
    <s v="饿了么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d v="2020-08-29T00:00:00"/>
    <n v="4636"/>
    <s v="蛙小辣火锅杯（总账号）"/>
    <x v="5"/>
    <s v="宝山店"/>
    <s v="上海"/>
    <s v="meituan"/>
    <s v="美团"/>
    <s v="蛙小辣火锅杯（宝山店）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d v="2020-08-30T00:00:00"/>
    <n v="4636"/>
    <s v="蛙小辣火锅杯（总账号）"/>
    <x v="0"/>
    <s v="宝山店"/>
    <s v="上海"/>
    <s v="eleme"/>
    <s v="饿了么"/>
    <s v="蛙小辣·美蛙火锅杯麻辣烫(宝山店)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d v="2020-08-30T00:00:00"/>
    <n v="4636"/>
    <s v="蛙小辣火锅杯（总账号）"/>
    <x v="5"/>
    <s v="宝山店"/>
    <s v="上海"/>
    <s v="meituan"/>
    <s v="美团"/>
    <s v="蛙小辣火锅杯（宝山店）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d v="2020-08-31T00:00:00"/>
    <n v="4636"/>
    <s v="蛙小辣火锅杯（总账号）"/>
    <x v="0"/>
    <s v="宝山店"/>
    <s v="上海"/>
    <s v="eleme"/>
    <s v="饿了么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d v="2020-08-31T00:00:00"/>
    <n v="4636"/>
    <s v="蛙小辣火锅杯（总账号）"/>
    <x v="5"/>
    <s v="宝山店"/>
    <s v="上海"/>
    <s v="meituan"/>
    <s v="美团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DB482-D9BB-4BEE-BD84-EB06BAD503B4}" name="数据透视表4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2">
  <location ref="A3:C8" firstHeaderRow="0" firstDataRow="1" firstDataCol="1" rowPageCount="1" colPageCount="1"/>
  <pivotFields count="30">
    <pivotField numFmtId="14"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求和项:GMV" fld="9" baseField="0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2E8CC-4E00-4C96-80BC-7C1EF50B1679}" name="数据透视表2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W95:X105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1"/>
    <field x="0"/>
  </rowFields>
  <rowItems count="10">
    <i>
      <x/>
    </i>
    <i r="1">
      <x/>
    </i>
    <i r="1">
      <x v="1"/>
    </i>
    <i r="1">
      <x v="2"/>
    </i>
    <i>
      <x v="1"/>
    </i>
    <i r="1">
      <x/>
    </i>
    <i r="1">
      <x v="3"/>
    </i>
    <i>
      <x v="2"/>
    </i>
    <i r="1">
      <x v="1"/>
    </i>
    <i t="grand">
      <x/>
    </i>
  </rowItems>
  <colItems count="1">
    <i/>
  </colItems>
  <dataFields count="1">
    <dataField name="求和项:值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722BD-6E1B-4400-ADF8-D6CE78BAF546}" name="数据透视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O109:P118" firstHeaderRow="1" firstDataRow="1" firstDataCol="1"/>
  <pivotFields count="30">
    <pivotField numFmtId="14" showAll="0"/>
    <pivotField showAll="0"/>
    <pivotField showAll="0"/>
    <pivotField axis="axisRow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GMV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74FF6-7D74-4363-8CEE-BF28205110E6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106:O115" firstHeaderRow="1" firstDataRow="1" firstDataCol="1"/>
  <pivotFields count="24">
    <pivotField numFmtId="14" showAll="0"/>
    <pivotField showAll="0"/>
    <pivotField showAll="0"/>
    <pivotField axis="axisRow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GMV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F9F5F-8714-4CA1-A1BE-67027B632857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S105:T116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1"/>
  </rowFields>
  <rowItems count="11">
    <i>
      <x/>
    </i>
    <i r="1">
      <x/>
    </i>
    <i r="1">
      <x v="1"/>
    </i>
    <i>
      <x v="1"/>
    </i>
    <i r="1">
      <x/>
    </i>
    <i r="1">
      <x v="2"/>
    </i>
    <i>
      <x v="2"/>
    </i>
    <i r="1">
      <x/>
    </i>
    <i>
      <x v="3"/>
    </i>
    <i r="1">
      <x v="1"/>
    </i>
    <i t="grand">
      <x/>
    </i>
  </rowItems>
  <colItems count="1">
    <i/>
  </colItems>
  <dataFields count="1">
    <dataField name="Average of 值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1" xr10:uid="{8AE37B48-7984-4349-A40C-762316465CEF}" sourceName="平台i">
  <pivotTables>
    <pivotTable tabId="28" name="数据透视表4"/>
  </pivotTables>
  <data>
    <tabular pivotCacheId="1807577818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 1" xr10:uid="{A1B746F4-38E7-4AA1-9212-AC550AB1AE79}" cache="切片器_平台i1" caption="平台i" rowHeight="2095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2033-AF8A-492B-A35C-ABA2A3AA8982}">
  <sheetPr>
    <tabColor theme="9" tint="0.39997558519241921"/>
  </sheetPr>
  <dimension ref="A1:X562"/>
  <sheetViews>
    <sheetView workbookViewId="0"/>
  </sheetViews>
  <sheetFormatPr defaultRowHeight="14.4"/>
  <cols>
    <col min="1" max="1" width="10.47265625" style="1" bestFit="1" customWidth="1"/>
    <col min="3" max="3" width="23.47265625" bestFit="1" customWidth="1"/>
    <col min="4" max="4" width="11.62890625" bestFit="1" customWidth="1"/>
    <col min="5" max="5" width="24.47265625" bestFit="1" customWidth="1"/>
    <col min="9" max="9" width="30.1015625" customWidth="1"/>
    <col min="10" max="10" width="8.89453125" customWidth="1"/>
    <col min="11" max="11" width="10.26171875" customWidth="1"/>
    <col min="12" max="14" width="12.1015625" customWidth="1"/>
    <col min="15" max="16" width="11" bestFit="1" customWidth="1"/>
    <col min="17" max="19" width="10.26171875" customWidth="1"/>
    <col min="20" max="22" width="11.26171875" customWidth="1"/>
    <col min="23" max="24" width="10.26171875" customWidth="1"/>
  </cols>
  <sheetData>
    <row r="1" spans="1:24">
      <c r="A1" s="1" t="s">
        <v>3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60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60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60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60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60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60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60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1">
        <v>43832</v>
      </c>
      <c r="B9">
        <v>4636</v>
      </c>
      <c r="C9" t="s">
        <v>161</v>
      </c>
      <c r="D9" t="s">
        <v>45</v>
      </c>
      <c r="E9" t="s">
        <v>21</v>
      </c>
      <c r="F9" s="60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C739-38EB-43B6-B2E7-958193B1F73D}">
  <sheetPr>
    <tabColor rgb="FFFFC000"/>
  </sheetPr>
  <dimension ref="A1:C8"/>
  <sheetViews>
    <sheetView workbookViewId="0"/>
  </sheetViews>
  <sheetFormatPr defaultRowHeight="14.4"/>
  <cols>
    <col min="1" max="1" width="24.47265625" bestFit="1" customWidth="1"/>
    <col min="2" max="2" width="12.1015625" bestFit="1" customWidth="1"/>
    <col min="3" max="3" width="15.62890625" bestFit="1" customWidth="1"/>
    <col min="4" max="4" width="23" bestFit="1" customWidth="1"/>
  </cols>
  <sheetData>
    <row r="1" spans="1:3">
      <c r="A1" s="59" t="s">
        <v>10</v>
      </c>
      <c r="B1" t="s">
        <v>22</v>
      </c>
    </row>
    <row r="3" spans="1:3">
      <c r="A3" s="59" t="s">
        <v>135</v>
      </c>
      <c r="B3" t="s">
        <v>137</v>
      </c>
      <c r="C3" t="s">
        <v>148</v>
      </c>
    </row>
    <row r="4" spans="1:3">
      <c r="A4" s="60" t="s">
        <v>41</v>
      </c>
      <c r="B4" s="61">
        <v>114007.74</v>
      </c>
      <c r="C4" s="61">
        <v>36582.480000000003</v>
      </c>
    </row>
    <row r="5" spans="1:3">
      <c r="A5" s="60" t="s">
        <v>28</v>
      </c>
      <c r="B5" s="61">
        <v>169975.03999999992</v>
      </c>
      <c r="C5" s="61">
        <v>63680.929999999986</v>
      </c>
    </row>
    <row r="6" spans="1:3">
      <c r="A6" s="60" t="s">
        <v>24</v>
      </c>
      <c r="B6" s="61">
        <v>4313.57</v>
      </c>
      <c r="C6" s="61">
        <v>1897.6299999999999</v>
      </c>
    </row>
    <row r="7" spans="1:3">
      <c r="A7" s="60" t="s">
        <v>21</v>
      </c>
      <c r="B7" s="61">
        <v>16838.82</v>
      </c>
      <c r="C7" s="61">
        <v>5992.61</v>
      </c>
    </row>
    <row r="8" spans="1:3">
      <c r="A8" s="60" t="s">
        <v>136</v>
      </c>
      <c r="B8" s="61">
        <v>305135.16999999993</v>
      </c>
      <c r="C8" s="61">
        <v>108153.65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E52F-C4E7-43C6-91AE-DAA0575C4C20}">
  <sheetPr>
    <tabColor theme="7"/>
  </sheetPr>
  <dimension ref="B1:Y145"/>
  <sheetViews>
    <sheetView workbookViewId="0"/>
  </sheetViews>
  <sheetFormatPr defaultColWidth="9" defaultRowHeight="14.4"/>
  <cols>
    <col min="1" max="1" width="9" style="37"/>
    <col min="2" max="2" width="13.3671875" style="37" customWidth="1"/>
    <col min="3" max="3" width="45.26171875" style="37" customWidth="1"/>
    <col min="4" max="4" width="31.3671875" style="37" customWidth="1"/>
    <col min="5" max="5" width="34.26171875" style="37" customWidth="1"/>
    <col min="6" max="6" width="21.3671875" style="37" bestFit="1" customWidth="1"/>
    <col min="7" max="7" width="24.47265625" style="37" bestFit="1" customWidth="1"/>
    <col min="8" max="8" width="14.26171875" style="37" customWidth="1"/>
    <col min="9" max="9" width="12.1015625" style="37" customWidth="1"/>
    <col min="10" max="10" width="19.47265625" style="37" bestFit="1" customWidth="1"/>
    <col min="11" max="11" width="28.1015625" style="37" customWidth="1"/>
    <col min="12" max="12" width="21.734375" style="37" customWidth="1"/>
    <col min="13" max="13" width="11.62890625" style="37" bestFit="1" customWidth="1"/>
    <col min="14" max="14" width="9" style="37"/>
    <col min="15" max="15" width="11.62890625" style="37" bestFit="1" customWidth="1"/>
    <col min="16" max="16" width="12.1015625" style="37" bestFit="1" customWidth="1"/>
    <col min="17" max="18" width="9" style="37"/>
    <col min="19" max="19" width="9.1015625" style="37" bestFit="1" customWidth="1"/>
    <col min="20" max="20" width="10.47265625" style="37" bestFit="1" customWidth="1"/>
    <col min="21" max="22" width="9" style="37"/>
    <col min="23" max="23" width="9.1015625" style="37" bestFit="1" customWidth="1"/>
    <col min="24" max="24" width="10.47265625" style="37" bestFit="1" customWidth="1"/>
    <col min="25" max="16384" width="9" style="37"/>
  </cols>
  <sheetData>
    <row r="1" spans="2:13">
      <c r="M1" s="38"/>
    </row>
    <row r="2" spans="2:13">
      <c r="B2" s="37" t="s">
        <v>78</v>
      </c>
      <c r="M2" s="38"/>
    </row>
    <row r="3" spans="2:13">
      <c r="M3" s="38"/>
    </row>
    <row r="4" spans="2:13">
      <c r="B4" s="39"/>
      <c r="C4" s="40" t="s">
        <v>83</v>
      </c>
      <c r="D4" s="40" t="s">
        <v>84</v>
      </c>
      <c r="E4" s="67"/>
      <c r="M4" s="38"/>
    </row>
    <row r="5" spans="2:13">
      <c r="B5" s="40" t="s">
        <v>72</v>
      </c>
      <c r="C5" s="40">
        <f>SUM('拌客源数据1-8月'!J:J)</f>
        <v>1071473.2499999998</v>
      </c>
      <c r="D5" s="40">
        <f>SUM('拌客源数据1-8月'!J2:J25,'拌客源数据1-8月'!J496:J562)</f>
        <v>145618.28999999995</v>
      </c>
      <c r="M5" s="38"/>
    </row>
    <row r="6" spans="2:13">
      <c r="B6" s="41"/>
      <c r="C6" s="41"/>
      <c r="D6" s="42"/>
      <c r="M6" s="38"/>
    </row>
    <row r="7" spans="2:13">
      <c r="B7" s="41"/>
      <c r="C7" s="41"/>
      <c r="D7" s="42"/>
      <c r="M7" s="38"/>
    </row>
    <row r="8" spans="2:13">
      <c r="B8" s="41"/>
      <c r="C8" s="41"/>
      <c r="D8" s="42"/>
      <c r="M8" s="38"/>
    </row>
    <row r="9" spans="2:13">
      <c r="B9" s="41"/>
      <c r="C9" s="41"/>
      <c r="D9" s="42"/>
      <c r="M9" s="38"/>
    </row>
    <row r="10" spans="2:13">
      <c r="C10" s="43"/>
      <c r="M10" s="38"/>
    </row>
    <row r="11" spans="2:13">
      <c r="M11" s="38"/>
    </row>
    <row r="12" spans="2:13">
      <c r="B12" s="37" t="s">
        <v>79</v>
      </c>
      <c r="D12" s="53">
        <f>B16</f>
        <v>44019</v>
      </c>
      <c r="M12" s="38"/>
    </row>
    <row r="13" spans="2:13">
      <c r="M13" s="38"/>
    </row>
    <row r="14" spans="2:13">
      <c r="B14" s="39"/>
      <c r="C14" s="40" t="s">
        <v>55</v>
      </c>
      <c r="F14" s="53"/>
      <c r="G14" s="53"/>
    </row>
    <row r="15" spans="2:13">
      <c r="B15" s="44">
        <v>44013</v>
      </c>
      <c r="C15" s="40">
        <f>SUMIF('拌客源数据1-8月'!A:A,'常用函数-完成版'!B15,'拌客源数据1-8月'!J:J)</f>
        <v>6001.38</v>
      </c>
      <c r="D15" s="45" t="s">
        <v>149</v>
      </c>
      <c r="E15" s="37">
        <v>1</v>
      </c>
      <c r="F15" s="53"/>
      <c r="G15" s="53"/>
    </row>
    <row r="16" spans="2:13">
      <c r="B16" s="44">
        <v>44019</v>
      </c>
      <c r="C16" s="40">
        <f>SUMIF('拌客源数据1-8月'!A:A,'常用函数-完成版'!B16,'拌客源数据1-8月'!J:J)</f>
        <v>4764.71</v>
      </c>
      <c r="D16" s="45" t="s">
        <v>149</v>
      </c>
      <c r="E16" s="37">
        <v>2</v>
      </c>
      <c r="F16" s="53"/>
      <c r="G16" s="53"/>
    </row>
    <row r="17" spans="2:12">
      <c r="B17" s="44">
        <v>44028</v>
      </c>
      <c r="C17" s="40">
        <f>SUMIF('拌客源数据1-8月'!A:A,'常用函数-完成版'!B17,'拌客源数据1-8月'!J:J)</f>
        <v>11158.91</v>
      </c>
      <c r="D17" s="45" t="s">
        <v>149</v>
      </c>
      <c r="E17" s="37">
        <v>1</v>
      </c>
      <c r="F17" s="53"/>
      <c r="G17" s="53"/>
    </row>
    <row r="18" spans="2:12">
      <c r="B18" s="44">
        <v>44029</v>
      </c>
      <c r="C18" s="40">
        <f>SUMIF('拌客源数据1-8月'!A:A,'常用函数-完成版'!B18,'拌客源数据1-8月'!J:J)</f>
        <v>10788.41</v>
      </c>
      <c r="D18" s="45" t="s">
        <v>149</v>
      </c>
      <c r="E18" s="37">
        <v>2</v>
      </c>
      <c r="F18" s="53"/>
    </row>
    <row r="19" spans="2:12">
      <c r="B19" s="44">
        <v>44051</v>
      </c>
      <c r="C19" s="40">
        <f>SUMIF('拌客源数据1-8月'!A:A,'常用函数-完成版'!B19,'拌客源数据1-8月'!J:J)</f>
        <v>1374.4099999999999</v>
      </c>
      <c r="D19" s="45" t="s">
        <v>149</v>
      </c>
      <c r="E19" s="37">
        <v>1</v>
      </c>
      <c r="F19" s="53"/>
    </row>
    <row r="20" spans="2:12">
      <c r="B20" s="44">
        <v>44062</v>
      </c>
      <c r="C20" s="40">
        <f>SUMIF('拌客源数据1-8月'!A:A,'常用函数-完成版'!B20,'拌客源数据1-8月'!J:J)</f>
        <v>2588.69</v>
      </c>
      <c r="D20" s="45" t="s">
        <v>149</v>
      </c>
      <c r="E20" s="37">
        <v>2</v>
      </c>
      <c r="F20" s="53"/>
    </row>
    <row r="21" spans="2:12">
      <c r="B21" s="44">
        <v>44064</v>
      </c>
      <c r="C21" s="40">
        <f>SUMIF('拌客源数据1-8月'!A:A,'常用函数-完成版'!B21,'拌客源数据1-8月'!J:J)</f>
        <v>2118.79</v>
      </c>
      <c r="D21" s="45" t="s">
        <v>149</v>
      </c>
      <c r="E21" s="37">
        <v>1</v>
      </c>
      <c r="F21" s="53"/>
    </row>
    <row r="22" spans="2:12">
      <c r="B22" s="46"/>
      <c r="C22" s="41"/>
    </row>
    <row r="23" spans="2:12">
      <c r="B23" s="46"/>
      <c r="C23" s="41"/>
    </row>
    <row r="24" spans="2:12">
      <c r="B24" s="46"/>
      <c r="C24" s="41"/>
    </row>
    <row r="27" spans="2:12">
      <c r="B27" s="37" t="s">
        <v>80</v>
      </c>
    </row>
    <row r="29" spans="2:12">
      <c r="B29" s="39"/>
      <c r="C29" s="40" t="s">
        <v>134</v>
      </c>
      <c r="D29" s="40" t="s">
        <v>86</v>
      </c>
      <c r="E29" s="40" t="s">
        <v>85</v>
      </c>
      <c r="F29" s="41" t="s">
        <v>151</v>
      </c>
      <c r="G29" s="41" t="s">
        <v>152</v>
      </c>
      <c r="H29" s="41" t="s">
        <v>153</v>
      </c>
      <c r="I29" s="41" t="s">
        <v>154</v>
      </c>
      <c r="J29" s="41" t="s">
        <v>155</v>
      </c>
    </row>
    <row r="30" spans="2:12">
      <c r="B30" s="44">
        <v>44013</v>
      </c>
      <c r="C30" s="40">
        <f>SUMIFS('拌客源数据1-8月'!J:J,'拌客源数据1-8月'!A:A,'常用函数-完成版'!B30,'拌客源数据1-8月'!H:H,"美团")</f>
        <v>1008.28</v>
      </c>
      <c r="D30" s="54">
        <f>SUMIFS('拌客源数据1-8月'!J:J,'拌客源数据1-8月'!A:A,'常用函数-完成版'!B30,'拌客源数据1-8月'!H:H,"美团")/SUMIFS('拌客源数据1-8月'!J:J,'拌客源数据1-8月'!A:A,'常用函数-完成版'!B30-1,'拌客源数据1-8月'!H:H,"美团")-1</f>
        <v>8.2182224082600674E-2</v>
      </c>
      <c r="E30" s="54">
        <f>SUMIFS('拌客源数据1-8月'!J:J,'拌客源数据1-8月'!A:A,'常用函数-完成版'!B30,'拌客源数据1-8月'!H:H,"美团")/SUMIFS('拌客源数据1-8月'!J:J,'拌客源数据1-8月'!A:A,DATE(YEAR(B30),MONTH(B30)-1,DAY(B30)),'拌客源数据1-8月'!H:H,"美团")-1</f>
        <v>-0.10886031198904067</v>
      </c>
      <c r="F30" s="45">
        <f>YEAR(B30)</f>
        <v>2020</v>
      </c>
      <c r="G30" s="45">
        <f>MONTH(B30)</f>
        <v>7</v>
      </c>
      <c r="H30" s="45">
        <f>DAY(B30)</f>
        <v>1</v>
      </c>
      <c r="I30" s="55">
        <f>DATE(YEAR(B30),MONTH(B30)-1,DAY(B30))</f>
        <v>43983</v>
      </c>
      <c r="J30" s="37">
        <f>SUMIFS('拌客源数据1-8月'!J:J,'拌客源数据1-8月'!A:A,DATE(YEAR(B30),MONTH(B30)-1,DAY(B30)),'拌客源数据1-8月'!H:H,"美团")</f>
        <v>1131.45</v>
      </c>
      <c r="K30" s="55"/>
      <c r="L30" s="53"/>
    </row>
    <row r="31" spans="2:12">
      <c r="B31" s="44">
        <v>44014</v>
      </c>
      <c r="C31" s="40">
        <f>SUMIFS('拌客源数据1-8月'!J:J,'拌客源数据1-8月'!A:A,'常用函数-完成版'!B31,'拌客源数据1-8月'!H:H,"美团")</f>
        <v>1023.39</v>
      </c>
      <c r="D31" s="54">
        <f>SUMIFS('拌客源数据1-8月'!J:J,'拌客源数据1-8月'!A:A,'常用函数-完成版'!B31,'拌客源数据1-8月'!H:H,"美团")/SUMIFS('拌客源数据1-8月'!J:J,'拌客源数据1-8月'!A:A,'常用函数-完成版'!B31-1,'拌客源数据1-8月'!H:H,"美团")-1</f>
        <v>1.4985916610465333E-2</v>
      </c>
      <c r="E31" s="54">
        <f>SUMIFS('拌客源数据1-8月'!J:J,'拌客源数据1-8月'!A:A,'常用函数-完成版'!B31,'拌客源数据1-8月'!H:H,"美团")/SUMIFS('拌客源数据1-8月'!J:J,'拌客源数据1-8月'!A:A,DATE(YEAR(B31),MONTH(B31)-1,DAY(B31)),'拌客源数据1-8月'!H:H,"美团")-1</f>
        <v>0.21923585546302582</v>
      </c>
      <c r="F31" s="45">
        <f t="shared" ref="F31:F36" si="0">YEAR(B31)</f>
        <v>2020</v>
      </c>
      <c r="G31" s="45">
        <f t="shared" ref="G31:G36" si="1">MONTH(B31)</f>
        <v>7</v>
      </c>
      <c r="H31" s="45">
        <f t="shared" ref="H31:H36" si="2">DAY(B31)</f>
        <v>2</v>
      </c>
      <c r="I31" s="55">
        <f t="shared" ref="I31:I36" si="3">DATE(YEAR(B31),MONTH(B31)-1,DAY(B31))</f>
        <v>43984</v>
      </c>
      <c r="J31" s="37">
        <f>SUMIFS('拌客源数据1-8月'!J:J,'拌客源数据1-8月'!A:A,DATE(YEAR(B31),MONTH(B31)-1,DAY(B31)),'拌客源数据1-8月'!H:H,"美团")</f>
        <v>839.37</v>
      </c>
    </row>
    <row r="32" spans="2:12">
      <c r="B32" s="44">
        <v>44015</v>
      </c>
      <c r="C32" s="40">
        <f>SUMIFS('拌客源数据1-8月'!J:J,'拌客源数据1-8月'!A:A,'常用函数-完成版'!B32,'拌客源数据1-8月'!H:H,"美团")</f>
        <v>999.86</v>
      </c>
      <c r="D32" s="54">
        <f>SUMIFS('拌客源数据1-8月'!J:J,'拌客源数据1-8月'!A:A,'常用函数-完成版'!B32,'拌客源数据1-8月'!H:H,"美团")/SUMIFS('拌客源数据1-8月'!J:J,'拌客源数据1-8月'!A:A,'常用函数-完成版'!B32-1,'拌客源数据1-8月'!H:H,"美团")-1</f>
        <v>-2.2992212157632919E-2</v>
      </c>
      <c r="E32" s="54">
        <f>SUMIFS('拌客源数据1-8月'!J:J,'拌客源数据1-8月'!A:A,'常用函数-完成版'!B32,'拌客源数据1-8月'!H:H,"美团")/SUMIFS('拌客源数据1-8月'!J:J,'拌客源数据1-8月'!A:A,DATE(YEAR(B32),MONTH(B32)-1,DAY(B32)),'拌客源数据1-8月'!H:H,"美团")-1</f>
        <v>-0.18069110187893822</v>
      </c>
      <c r="F32" s="45">
        <f t="shared" si="0"/>
        <v>2020</v>
      </c>
      <c r="G32" s="45">
        <f t="shared" si="1"/>
        <v>7</v>
      </c>
      <c r="H32" s="45">
        <f t="shared" si="2"/>
        <v>3</v>
      </c>
      <c r="I32" s="55">
        <f t="shared" si="3"/>
        <v>43985</v>
      </c>
      <c r="J32" s="37">
        <f>SUMIFS('拌客源数据1-8月'!J:J,'拌客源数据1-8月'!A:A,DATE(YEAR(B32),MONTH(B32)-1,DAY(B32)),'拌客源数据1-8月'!H:H,"美团")</f>
        <v>1220.3699999999999</v>
      </c>
    </row>
    <row r="33" spans="2:10">
      <c r="B33" s="44">
        <v>44016</v>
      </c>
      <c r="C33" s="40">
        <f>SUMIFS('拌客源数据1-8月'!J:J,'拌客源数据1-8月'!A:A,'常用函数-完成版'!B33,'拌客源数据1-8月'!H:H,"美团")</f>
        <v>1144.82</v>
      </c>
      <c r="D33" s="54">
        <f>SUMIFS('拌客源数据1-8月'!J:J,'拌客源数据1-8月'!A:A,'常用函数-完成版'!B33,'拌客源数据1-8月'!H:H,"美团")/SUMIFS('拌客源数据1-8月'!J:J,'拌客源数据1-8月'!A:A,'常用函数-完成版'!B33-1,'拌客源数据1-8月'!H:H,"美团")-1</f>
        <v>0.14498029724161365</v>
      </c>
      <c r="E33" s="54">
        <f>SUMIFS('拌客源数据1-8月'!J:J,'拌客源数据1-8月'!A:A,'常用函数-完成版'!B33,'拌客源数据1-8月'!H:H,"美团")/SUMIFS('拌客源数据1-8月'!J:J,'拌客源数据1-8月'!A:A,DATE(YEAR(B33),MONTH(B33)-1,DAY(B33)),'拌客源数据1-8月'!H:H,"美团")-1</f>
        <v>-0.22352973093957507</v>
      </c>
      <c r="F33" s="45">
        <f t="shared" si="0"/>
        <v>2020</v>
      </c>
      <c r="G33" s="45">
        <f t="shared" si="1"/>
        <v>7</v>
      </c>
      <c r="H33" s="45">
        <f t="shared" si="2"/>
        <v>4</v>
      </c>
      <c r="I33" s="55">
        <f t="shared" si="3"/>
        <v>43986</v>
      </c>
      <c r="J33" s="37">
        <f>SUMIFS('拌客源数据1-8月'!J:J,'拌客源数据1-8月'!A:A,DATE(YEAR(B33),MONTH(B33)-1,DAY(B33)),'拌客源数据1-8月'!H:H,"美团")</f>
        <v>1474.39</v>
      </c>
    </row>
    <row r="34" spans="2:10">
      <c r="B34" s="44">
        <v>44017</v>
      </c>
      <c r="C34" s="40">
        <f>SUMIFS('拌客源数据1-8月'!J:J,'拌客源数据1-8月'!A:A,'常用函数-完成版'!B34,'拌客源数据1-8月'!H:H,"美团")</f>
        <v>755.47</v>
      </c>
      <c r="D34" s="54">
        <f>SUMIFS('拌客源数据1-8月'!J:J,'拌客源数据1-8月'!A:A,'常用函数-完成版'!B34,'拌客源数据1-8月'!H:H,"美团")/SUMIFS('拌客源数据1-8月'!J:J,'拌客源数据1-8月'!A:A,'常用函数-完成版'!B34-1,'拌客源数据1-8月'!H:H,"美团")-1</f>
        <v>-0.34009713317377399</v>
      </c>
      <c r="E34" s="54">
        <f>SUMIFS('拌客源数据1-8月'!J:J,'拌客源数据1-8月'!A:A,'常用函数-完成版'!B34,'拌客源数据1-8月'!H:H,"美团")/SUMIFS('拌客源数据1-8月'!J:J,'拌客源数据1-8月'!A:A,DATE(YEAR(B34),MONTH(B34)-1,DAY(B34)),'拌客源数据1-8月'!H:H,"美团")-1</f>
        <v>-0.33924291986635635</v>
      </c>
      <c r="F34" s="45">
        <f t="shared" si="0"/>
        <v>2020</v>
      </c>
      <c r="G34" s="45">
        <f t="shared" si="1"/>
        <v>7</v>
      </c>
      <c r="H34" s="45">
        <f t="shared" si="2"/>
        <v>5</v>
      </c>
      <c r="I34" s="55">
        <f t="shared" si="3"/>
        <v>43987</v>
      </c>
      <c r="J34" s="37">
        <f>SUMIFS('拌客源数据1-8月'!J:J,'拌客源数据1-8月'!A:A,DATE(YEAR(B34),MONTH(B34)-1,DAY(B34)),'拌客源数据1-8月'!H:H,"美团")</f>
        <v>1143.3399999999999</v>
      </c>
    </row>
    <row r="35" spans="2:10">
      <c r="B35" s="44">
        <v>44044</v>
      </c>
      <c r="C35" s="40">
        <f>SUMIFS('拌客源数据1-8月'!J:J,'拌客源数据1-8月'!A:A,'常用函数-完成版'!B35,'拌客源数据1-8月'!H:H,"美团")</f>
        <v>3387.1000000000004</v>
      </c>
      <c r="D35" s="54">
        <f>SUMIFS('拌客源数据1-8月'!J:J,'拌客源数据1-8月'!A:A,'常用函数-完成版'!B35,'拌客源数据1-8月'!H:H,"美团")/SUMIFS('拌客源数据1-8月'!J:J,'拌客源数据1-8月'!A:A,'常用函数-完成版'!B35-1,'拌客源数据1-8月'!H:H,"美团")-1</f>
        <v>-0.41335610328923089</v>
      </c>
      <c r="E35" s="54">
        <f>SUMIFS('拌客源数据1-8月'!J:J,'拌客源数据1-8月'!A:A,'常用函数-完成版'!B35,'拌客源数据1-8月'!H:H,"美团")/SUMIFS('拌客源数据1-8月'!J:J,'拌客源数据1-8月'!A:A,DATE(YEAR(B35),MONTH(B35)-1,DAY(B35)),'拌客源数据1-8月'!H:H,"美团")-1</f>
        <v>2.3592851192129176</v>
      </c>
      <c r="F35" s="45">
        <f t="shared" si="0"/>
        <v>2020</v>
      </c>
      <c r="G35" s="45">
        <f t="shared" si="1"/>
        <v>8</v>
      </c>
      <c r="H35" s="45">
        <f t="shared" si="2"/>
        <v>1</v>
      </c>
      <c r="I35" s="55">
        <f t="shared" si="3"/>
        <v>44013</v>
      </c>
      <c r="J35" s="37">
        <f>SUMIFS('拌客源数据1-8月'!J:J,'拌客源数据1-8月'!A:A,DATE(YEAR(B35),MONTH(B35)-1,DAY(B35)),'拌客源数据1-8月'!H:H,"美团")</f>
        <v>1008.28</v>
      </c>
    </row>
    <row r="36" spans="2:10">
      <c r="B36" s="44">
        <v>44048</v>
      </c>
      <c r="C36" s="40">
        <f>SUMIFS('拌客源数据1-8月'!J:J,'拌客源数据1-8月'!A:A,'常用函数-完成版'!B36,'拌客源数据1-8月'!H:H,"美团")</f>
        <v>1817.37</v>
      </c>
      <c r="D36" s="54">
        <f>SUMIFS('拌客源数据1-8月'!J:J,'拌客源数据1-8月'!A:A,'常用函数-完成版'!B36,'拌客源数据1-8月'!H:H,"美团")/SUMIFS('拌客源数据1-8月'!J:J,'拌客源数据1-8月'!A:A,'常用函数-完成版'!B36-1,'拌客源数据1-8月'!H:H,"美团")-1</f>
        <v>0.12391465677179947</v>
      </c>
      <c r="E36" s="54">
        <f>SUMIFS('拌客源数据1-8月'!J:J,'拌客源数据1-8月'!A:A,'常用函数-完成版'!B36,'拌客源数据1-8月'!H:H,"美团")/SUMIFS('拌客源数据1-8月'!J:J,'拌客源数据1-8月'!A:A,DATE(YEAR(B36),MONTH(B36)-1,DAY(B36)),'拌客源数据1-8月'!H:H,"美团")-1</f>
        <v>1.4056150475862705</v>
      </c>
      <c r="F36" s="45">
        <f t="shared" si="0"/>
        <v>2020</v>
      </c>
      <c r="G36" s="45">
        <f t="shared" si="1"/>
        <v>8</v>
      </c>
      <c r="H36" s="45">
        <f t="shared" si="2"/>
        <v>5</v>
      </c>
      <c r="I36" s="55">
        <f t="shared" si="3"/>
        <v>44017</v>
      </c>
      <c r="J36" s="37">
        <f>SUMIFS('拌客源数据1-8月'!J:J,'拌客源数据1-8月'!A:A,DATE(YEAR(B36),MONTH(B36)-1,DAY(B36)),'拌客源数据1-8月'!H:H,"美团")</f>
        <v>755.47</v>
      </c>
    </row>
    <row r="37" spans="2:10">
      <c r="F37" s="56"/>
    </row>
    <row r="38" spans="2:10">
      <c r="B38" s="39"/>
      <c r="C38" s="40" t="s">
        <v>134</v>
      </c>
      <c r="D38" s="40" t="s">
        <v>87</v>
      </c>
      <c r="E38" s="41" t="s">
        <v>156</v>
      </c>
      <c r="F38" s="41" t="s">
        <v>157</v>
      </c>
      <c r="G38" s="41" t="s">
        <v>158</v>
      </c>
    </row>
    <row r="39" spans="2:10">
      <c r="B39" s="47">
        <v>43831</v>
      </c>
      <c r="C39" s="40">
        <f>SUMIFS('拌客源数据1-8月'!J:J,'拌客源数据1-8月'!H:H,"美团",'拌客源数据1-8月'!A:A,"&gt;="&amp;DATE(YEAR(B39),MONTH(B39),1),'拌客源数据1-8月'!A:A,"&lt;="&amp;(DATE(YEAR(B39),MONTH(B39)+1,1)-1))</f>
        <v>6787.9800000000005</v>
      </c>
      <c r="D39" s="57" t="e">
        <f>SUMIFS('拌客源数据1-8月'!J:J,'拌客源数据1-8月'!H:H,"美团",'拌客源数据1-8月'!A:A,"&gt;="&amp;DATE(YEAR(B39),MONTH(B39),1),'拌客源数据1-8月'!A:A,"&lt;="&amp;(DATE(YEAR(B39),MONTH(B39)+1,1)-1))/SUMIFS('拌客源数据1-8月'!J:J,'拌客源数据1-8月'!H:H,"美团",'拌客源数据1-8月'!A:A,"&gt;="&amp;DATE(YEAR(B39),MONTH(B39)-1,1),'拌客源数据1-8月'!A:A,"&lt;="&amp;(DATE(YEAR(B39),MONTH(B39),1)-1))-1</f>
        <v>#DIV/0!</v>
      </c>
      <c r="E39" s="58">
        <f>DATE(YEAR(B39),MONTH(B39),1)</f>
        <v>43831</v>
      </c>
      <c r="F39" s="55">
        <f>DATE(YEAR(B39),MONTH(B39),31)</f>
        <v>43861</v>
      </c>
      <c r="G39" s="55">
        <f>DATE(YEAR(B39),MONTH(B39)+1,1)-1</f>
        <v>43861</v>
      </c>
    </row>
    <row r="40" spans="2:10">
      <c r="B40" s="47">
        <v>43862</v>
      </c>
      <c r="C40" s="40">
        <f>SUMIFS('拌客源数据1-8月'!J:J,'拌客源数据1-8月'!H:H,"美团",'拌客源数据1-8月'!A:A,"&gt;="&amp;DATE(YEAR(B40),MONTH(B40),1),'拌客源数据1-8月'!A:A,"&lt;="&amp;(DATE(YEAR(B40),MONTH(B40)+1,1)-1))</f>
        <v>2678.62</v>
      </c>
      <c r="D40" s="57">
        <f>SUMIFS('拌客源数据1-8月'!J:J,'拌客源数据1-8月'!H:H,"美团",'拌客源数据1-8月'!A:A,"&gt;="&amp;DATE(YEAR(B40),MONTH(B40),1),'拌客源数据1-8月'!A:A,"&lt;="&amp;(DATE(YEAR(B40),MONTH(B40)+1,1)-1))/SUMIFS('拌客源数据1-8月'!J:J,'拌客源数据1-8月'!H:H,"美团",'拌客源数据1-8月'!A:A,"&gt;="&amp;DATE(YEAR(B40),MONTH(B40)-1,1),'拌客源数据1-8月'!A:A,"&lt;="&amp;(DATE(YEAR(B40),MONTH(B40),1)-1))-1</f>
        <v>-0.60538775895037999</v>
      </c>
      <c r="E40" s="58">
        <f t="shared" ref="E40:E46" si="4">DATE(YEAR(B40),MONTH(B40),1)</f>
        <v>43862</v>
      </c>
      <c r="F40" s="55">
        <f>DATE(YEAR(B40),MONTH(B40),31)</f>
        <v>43892</v>
      </c>
      <c r="G40" s="55">
        <f t="shared" ref="G40:G46" si="5">DATE(YEAR(B40),MONTH(B40)+1,1)-1</f>
        <v>43890</v>
      </c>
    </row>
    <row r="41" spans="2:10">
      <c r="B41" s="47">
        <v>43891</v>
      </c>
      <c r="C41" s="40">
        <f>SUMIFS('拌客源数据1-8月'!J:J,'拌客源数据1-8月'!H:H,"美团",'拌客源数据1-8月'!A:A,"&gt;="&amp;DATE(YEAR(B41),MONTH(B41),1),'拌客源数据1-8月'!A:A,"&lt;="&amp;(DATE(YEAR(B41),MONTH(B41)+1,1)-1))</f>
        <v>24829.310000000009</v>
      </c>
      <c r="D41" s="57">
        <f>SUMIFS('拌客源数据1-8月'!J:J,'拌客源数据1-8月'!H:H,"美团",'拌客源数据1-8月'!A:A,"&gt;="&amp;DATE(YEAR(B41),MONTH(B41),1),'拌客源数据1-8月'!A:A,"&lt;="&amp;(DATE(YEAR(B41),MONTH(B41)+1,1)-1))/SUMIFS('拌客源数据1-8月'!J:J,'拌客源数据1-8月'!H:H,"美团",'拌客源数据1-8月'!A:A,"&gt;="&amp;DATE(YEAR(B41),MONTH(B41)-1,1),'拌客源数据1-8月'!A:A,"&lt;="&amp;(DATE(YEAR(B41),MONTH(B41),1)-1))-1</f>
        <v>8.2694409808035516</v>
      </c>
      <c r="E41" s="58">
        <f t="shared" si="4"/>
        <v>43891</v>
      </c>
      <c r="F41" s="55">
        <f t="shared" ref="F41:F46" si="6">DATE(YEAR(B41),MONTH(B41),31)</f>
        <v>43921</v>
      </c>
      <c r="G41" s="55">
        <f t="shared" si="5"/>
        <v>43921</v>
      </c>
    </row>
    <row r="42" spans="2:10">
      <c r="B42" s="47">
        <v>43922</v>
      </c>
      <c r="C42" s="40">
        <f>SUMIFS('拌客源数据1-8月'!J:J,'拌客源数据1-8月'!H:H,"美团",'拌客源数据1-8月'!A:A,"&gt;="&amp;DATE(YEAR(B42),MONTH(B42),1),'拌客源数据1-8月'!A:A,"&lt;="&amp;(DATE(YEAR(B42),MONTH(B42)+1,1)-1))</f>
        <v>38698.99</v>
      </c>
      <c r="D42" s="57">
        <f>SUMIFS('拌客源数据1-8月'!J:J,'拌客源数据1-8月'!H:H,"美团",'拌客源数据1-8月'!A:A,"&gt;="&amp;DATE(YEAR(B42),MONTH(B42),1),'拌客源数据1-8月'!A:A,"&lt;="&amp;(DATE(YEAR(B42),MONTH(B42)+1,1)-1))/SUMIFS('拌客源数据1-8月'!J:J,'拌客源数据1-8月'!H:H,"美团",'拌客源数据1-8月'!A:A,"&gt;="&amp;DATE(YEAR(B42),MONTH(B42)-1,1),'拌客源数据1-8月'!A:A,"&lt;="&amp;(DATE(YEAR(B42),MONTH(B42),1)-1))-1</f>
        <v>0.55860110490384085</v>
      </c>
      <c r="E42" s="58">
        <f t="shared" si="4"/>
        <v>43922</v>
      </c>
      <c r="F42" s="55">
        <f t="shared" si="6"/>
        <v>43952</v>
      </c>
      <c r="G42" s="55">
        <f t="shared" si="5"/>
        <v>43951</v>
      </c>
    </row>
    <row r="43" spans="2:10">
      <c r="B43" s="47">
        <v>43952</v>
      </c>
      <c r="C43" s="40">
        <f>SUMIFS('拌客源数据1-8月'!J:J,'拌客源数据1-8月'!H:H,"美团",'拌客源数据1-8月'!A:A,"&gt;="&amp;DATE(YEAR(B43),MONTH(B43),1),'拌客源数据1-8月'!A:A,"&lt;="&amp;(DATE(YEAR(B43),MONTH(B43)+1,1)-1))</f>
        <v>30397.779999999995</v>
      </c>
      <c r="D43" s="57">
        <f>SUMIFS('拌客源数据1-8月'!J:J,'拌客源数据1-8月'!H:H,"美团",'拌客源数据1-8月'!A:A,"&gt;="&amp;DATE(YEAR(B43),MONTH(B43),1),'拌客源数据1-8月'!A:A,"&lt;="&amp;(DATE(YEAR(B43),MONTH(B43)+1,1)-1))/SUMIFS('拌客源数据1-8月'!J:J,'拌客源数据1-8月'!H:H,"美团",'拌客源数据1-8月'!A:A,"&gt;="&amp;DATE(YEAR(B43),MONTH(B43)-1,1),'拌客源数据1-8月'!A:A,"&lt;="&amp;(DATE(YEAR(B43),MONTH(B43),1)-1))-1</f>
        <v>-0.21450714863617892</v>
      </c>
      <c r="E43" s="58">
        <f t="shared" si="4"/>
        <v>43952</v>
      </c>
      <c r="F43" s="55">
        <f t="shared" si="6"/>
        <v>43982</v>
      </c>
      <c r="G43" s="55">
        <f t="shared" si="5"/>
        <v>43982</v>
      </c>
    </row>
    <row r="44" spans="2:10">
      <c r="B44" s="47">
        <v>43983</v>
      </c>
      <c r="C44" s="40">
        <f>SUMIFS('拌客源数据1-8月'!J:J,'拌客源数据1-8月'!H:H,"美团",'拌客源数据1-8月'!A:A,"&gt;="&amp;DATE(YEAR(B44),MONTH(B44),1),'拌客源数据1-8月'!A:A,"&lt;="&amp;(DATE(YEAR(B44),MONTH(B44)+1,1)-1))</f>
        <v>26037.540000000005</v>
      </c>
      <c r="D44" s="57">
        <f>SUMIFS('拌客源数据1-8月'!J:J,'拌客源数据1-8月'!H:H,"美团",'拌客源数据1-8月'!A:A,"&gt;="&amp;DATE(YEAR(B44),MONTH(B44),1),'拌客源数据1-8月'!A:A,"&lt;="&amp;(DATE(YEAR(B44),MONTH(B44)+1,1)-1))/SUMIFS('拌客源数据1-8月'!J:J,'拌客源数据1-8月'!H:H,"美团",'拌客源数据1-8月'!A:A,"&gt;="&amp;DATE(YEAR(B44),MONTH(B44)-1,1),'拌客源数据1-8月'!A:A,"&lt;="&amp;(DATE(YEAR(B44),MONTH(B44),1)-1))-1</f>
        <v>-0.14343942222096451</v>
      </c>
      <c r="E44" s="58">
        <f t="shared" si="4"/>
        <v>43983</v>
      </c>
      <c r="F44" s="55">
        <f t="shared" si="6"/>
        <v>44013</v>
      </c>
      <c r="G44" s="55">
        <f t="shared" si="5"/>
        <v>44012</v>
      </c>
    </row>
    <row r="45" spans="2:10">
      <c r="B45" s="47">
        <v>44013</v>
      </c>
      <c r="C45" s="40">
        <f>SUMIFS('拌客源数据1-8月'!J:J,'拌客源数据1-8月'!H:H,"美团",'拌客源数据1-8月'!A:A,"&gt;="&amp;DATE(YEAR(B45),MONTH(B45),1),'拌客源数据1-8月'!A:A,"&lt;="&amp;(DATE(YEAR(B45),MONTH(B45)+1,1)-1))</f>
        <v>133045.43</v>
      </c>
      <c r="D45" s="57">
        <f>SUMIFS('拌客源数据1-8月'!J:J,'拌客源数据1-8月'!H:H,"美团",'拌客源数据1-8月'!A:A,"&gt;="&amp;DATE(YEAR(B45),MONTH(B45),1),'拌客源数据1-8月'!A:A,"&lt;="&amp;(DATE(YEAR(B45),MONTH(B45)+1,1)-1))/SUMIFS('拌客源数据1-8月'!J:J,'拌客源数据1-8月'!H:H,"美团",'拌客源数据1-8月'!A:A,"&gt;="&amp;DATE(YEAR(B45),MONTH(B45)-1,1),'拌客源数据1-8月'!A:A,"&lt;="&amp;(DATE(YEAR(B45),MONTH(B45),1)-1))-1</f>
        <v>4.1097542240933658</v>
      </c>
      <c r="E45" s="58">
        <f t="shared" si="4"/>
        <v>44013</v>
      </c>
      <c r="F45" s="55">
        <f t="shared" si="6"/>
        <v>44043</v>
      </c>
      <c r="G45" s="55">
        <f t="shared" si="5"/>
        <v>44043</v>
      </c>
    </row>
    <row r="46" spans="2:10">
      <c r="B46" s="47">
        <v>44044</v>
      </c>
      <c r="C46" s="40">
        <f>SUMIFS('拌客源数据1-8月'!J:J,'拌客源数据1-8月'!H:H,"美团",'拌客源数据1-8月'!A:A,"&gt;="&amp;DATE(YEAR(B46),MONTH(B46),1),'拌客源数据1-8月'!A:A,"&lt;="&amp;(DATE(YEAR(B46),MONTH(B46)+1,1)-1))</f>
        <v>42659.520000000004</v>
      </c>
      <c r="D46" s="57">
        <f>SUMIFS('拌客源数据1-8月'!J:J,'拌客源数据1-8月'!H:H,"美团",'拌客源数据1-8月'!A:A,"&gt;="&amp;DATE(YEAR(B46),MONTH(B46),1),'拌客源数据1-8月'!A:A,"&lt;="&amp;(DATE(YEAR(B46),MONTH(B46)+1,1)-1))/SUMIFS('拌客源数据1-8月'!J:J,'拌客源数据1-8月'!H:H,"美团",'拌客源数据1-8月'!A:A,"&gt;="&amp;DATE(YEAR(B46),MONTH(B46)-1,1),'拌客源数据1-8月'!A:A,"&lt;="&amp;(DATE(YEAR(B46),MONTH(B46),1)-1))-1</f>
        <v>-0.67936125276907289</v>
      </c>
      <c r="E46" s="58">
        <f t="shared" si="4"/>
        <v>44044</v>
      </c>
      <c r="F46" s="55">
        <f t="shared" si="6"/>
        <v>44074</v>
      </c>
      <c r="G46" s="55">
        <f t="shared" si="5"/>
        <v>44074</v>
      </c>
    </row>
    <row r="47" spans="2:10">
      <c r="B47" s="48"/>
      <c r="C47" s="42"/>
      <c r="D47" s="42"/>
      <c r="E47" s="42"/>
    </row>
    <row r="48" spans="2:10">
      <c r="B48" s="48"/>
      <c r="C48" s="42"/>
      <c r="D48" s="42"/>
      <c r="E48" s="42"/>
    </row>
    <row r="49" spans="2:5">
      <c r="B49" s="48"/>
      <c r="C49" s="42"/>
      <c r="D49" s="42"/>
      <c r="E49" s="42"/>
    </row>
    <row r="52" spans="2:5">
      <c r="B52" s="37" t="s">
        <v>81</v>
      </c>
    </row>
    <row r="54" spans="2:5">
      <c r="B54" s="39"/>
      <c r="C54" s="40" t="s">
        <v>88</v>
      </c>
      <c r="D54" s="40" t="s">
        <v>89</v>
      </c>
    </row>
    <row r="55" spans="2:5">
      <c r="B55" s="40" t="s">
        <v>55</v>
      </c>
      <c r="C55" s="39">
        <f>SUM('拌客源数据1-8月'!J:J)</f>
        <v>1071473.2499999998</v>
      </c>
      <c r="D55" s="39">
        <f>SUBTOTAL(9,'拌客源数据1-8月'!J:J)</f>
        <v>1071473.2499999998</v>
      </c>
    </row>
    <row r="56" spans="2:5">
      <c r="B56" s="41"/>
      <c r="C56" s="42"/>
      <c r="D56" s="42"/>
    </row>
    <row r="57" spans="2:5">
      <c r="B57" s="41"/>
      <c r="C57" s="42"/>
      <c r="D57" s="42"/>
    </row>
    <row r="58" spans="2:5">
      <c r="B58" s="41"/>
      <c r="C58" s="42"/>
      <c r="D58" s="42"/>
    </row>
    <row r="61" spans="2:5">
      <c r="B61" s="37" t="s">
        <v>82</v>
      </c>
    </row>
    <row r="63" spans="2:5">
      <c r="B63" s="40" t="s">
        <v>98</v>
      </c>
      <c r="C63" s="40" t="s">
        <v>55</v>
      </c>
      <c r="D63" s="40" t="s">
        <v>100</v>
      </c>
      <c r="E63" s="49"/>
    </row>
    <row r="64" spans="2:5">
      <c r="B64" s="40" t="s">
        <v>90</v>
      </c>
      <c r="C64" s="40">
        <v>64233.369999999995</v>
      </c>
      <c r="D64" s="40" t="str">
        <f>IF(C64&gt;100000,"达标","不达标")</f>
        <v>不达标</v>
      </c>
      <c r="E64" s="49"/>
    </row>
    <row r="65" spans="2:11">
      <c r="B65" s="40" t="s">
        <v>91</v>
      </c>
      <c r="C65" s="40">
        <v>32755.710000000006</v>
      </c>
      <c r="D65" s="40" t="str">
        <f t="shared" ref="D65:D71" si="7">IF(C65&gt;100000,"达标","不达标")</f>
        <v>不达标</v>
      </c>
      <c r="E65" s="49"/>
    </row>
    <row r="66" spans="2:11">
      <c r="B66" s="40" t="s">
        <v>92</v>
      </c>
      <c r="C66" s="40">
        <v>78895.689999999988</v>
      </c>
      <c r="D66" s="40" t="str">
        <f t="shared" si="7"/>
        <v>不达标</v>
      </c>
      <c r="E66" s="49"/>
    </row>
    <row r="67" spans="2:11">
      <c r="B67" s="40" t="s">
        <v>93</v>
      </c>
      <c r="C67" s="40">
        <v>108307.06999999999</v>
      </c>
      <c r="D67" s="40" t="str">
        <f t="shared" si="7"/>
        <v>达标</v>
      </c>
      <c r="E67" s="49"/>
    </row>
    <row r="68" spans="2:11">
      <c r="B68" s="40" t="s">
        <v>94</v>
      </c>
      <c r="C68" s="40">
        <v>194276.97</v>
      </c>
      <c r="D68" s="40" t="str">
        <f t="shared" si="7"/>
        <v>达标</v>
      </c>
      <c r="E68" s="49"/>
    </row>
    <row r="69" spans="2:11">
      <c r="B69" s="40" t="s">
        <v>95</v>
      </c>
      <c r="C69" s="40">
        <v>255727.79000000007</v>
      </c>
      <c r="D69" s="40" t="str">
        <f t="shared" si="7"/>
        <v>达标</v>
      </c>
      <c r="E69" s="49"/>
    </row>
    <row r="70" spans="2:11">
      <c r="B70" s="40" t="s">
        <v>96</v>
      </c>
      <c r="C70" s="40">
        <v>255891.73</v>
      </c>
      <c r="D70" s="40" t="str">
        <f t="shared" si="7"/>
        <v>达标</v>
      </c>
      <c r="E70" s="49"/>
    </row>
    <row r="71" spans="2:11">
      <c r="B71" s="40" t="s">
        <v>97</v>
      </c>
      <c r="C71" s="40">
        <v>81384.920000000013</v>
      </c>
      <c r="D71" s="40" t="str">
        <f t="shared" si="7"/>
        <v>不达标</v>
      </c>
      <c r="E71" s="49"/>
    </row>
    <row r="72" spans="2:11">
      <c r="B72" s="41"/>
      <c r="C72" s="41"/>
      <c r="D72" s="41"/>
      <c r="E72" s="49"/>
    </row>
    <row r="73" spans="2:11">
      <c r="B73" s="41"/>
      <c r="C73" s="41"/>
      <c r="D73" s="41"/>
      <c r="E73" s="49"/>
    </row>
    <row r="74" spans="2:11">
      <c r="B74" s="41"/>
      <c r="C74" s="41"/>
      <c r="D74" s="41"/>
      <c r="E74" s="49"/>
    </row>
    <row r="77" spans="2:11">
      <c r="B77" s="37" t="s">
        <v>101</v>
      </c>
    </row>
    <row r="78" spans="2:11">
      <c r="I78" s="37" t="s">
        <v>109</v>
      </c>
    </row>
    <row r="79" spans="2:11">
      <c r="B79" s="40" t="s">
        <v>98</v>
      </c>
      <c r="C79" s="40" t="s">
        <v>55</v>
      </c>
      <c r="D79" s="40" t="s">
        <v>99</v>
      </c>
      <c r="E79" s="39" t="s">
        <v>102</v>
      </c>
      <c r="I79" s="40" t="s">
        <v>106</v>
      </c>
      <c r="J79" s="40" t="s">
        <v>107</v>
      </c>
      <c r="K79" s="40" t="s">
        <v>108</v>
      </c>
    </row>
    <row r="80" spans="2:11">
      <c r="B80" s="40" t="s">
        <v>90</v>
      </c>
      <c r="C80" s="40">
        <v>64233.369999999995</v>
      </c>
      <c r="D80" s="40">
        <v>3344.24</v>
      </c>
      <c r="E80" s="40" t="str">
        <f>IF(C80&gt;100000,IF(D80&lt;5000,"达标","不达标"),"不达标")</f>
        <v>不达标</v>
      </c>
      <c r="I80" s="40">
        <v>0</v>
      </c>
      <c r="J80" s="40">
        <v>0</v>
      </c>
      <c r="K80" s="40" t="str">
        <f>IF(I80=0,IF(J80=0,"AB都等于","A等于B不等于"),IF(J80=0,"A不等于B等于","AB都不等于"))</f>
        <v>AB都等于</v>
      </c>
    </row>
    <row r="81" spans="2:25">
      <c r="B81" s="40" t="s">
        <v>91</v>
      </c>
      <c r="C81" s="40">
        <v>32755.710000000006</v>
      </c>
      <c r="D81" s="40">
        <v>902.87</v>
      </c>
      <c r="E81" s="40" t="str">
        <f t="shared" ref="E81:E87" si="8">IF(C81&gt;100000,IF(D81&lt;5000,"达标","不达标"),"不达标")</f>
        <v>不达标</v>
      </c>
      <c r="I81" s="40">
        <v>1</v>
      </c>
      <c r="J81" s="40">
        <v>0</v>
      </c>
      <c r="K81" s="40" t="str">
        <f>IF(I81=0,IF(J81=0,"AB都等于","A等于B不等于"),IF(J81=0,"A不等于B等于","AB都不等于"))</f>
        <v>A不等于B等于</v>
      </c>
    </row>
    <row r="82" spans="2:25">
      <c r="B82" s="40" t="s">
        <v>92</v>
      </c>
      <c r="C82" s="40">
        <v>78895.689999999988</v>
      </c>
      <c r="D82" s="40">
        <v>2645.3200000000006</v>
      </c>
      <c r="E82" s="40" t="str">
        <f t="shared" si="8"/>
        <v>不达标</v>
      </c>
      <c r="I82" s="40">
        <v>1</v>
      </c>
      <c r="J82" s="40">
        <v>1</v>
      </c>
      <c r="K82" s="40" t="str">
        <f>IF(I82=0,IF(J82=0,"AB都等于","A等于B不等于"),IF(J82=0,"A不等于B等于","AB都不等于"))</f>
        <v>AB都不等于</v>
      </c>
    </row>
    <row r="83" spans="2:25">
      <c r="B83" s="40" t="s">
        <v>93</v>
      </c>
      <c r="C83" s="40">
        <v>108307.06999999999</v>
      </c>
      <c r="D83" s="40">
        <v>4513.12</v>
      </c>
      <c r="E83" s="40" t="str">
        <f t="shared" si="8"/>
        <v>达标</v>
      </c>
      <c r="I83" s="40">
        <v>0</v>
      </c>
      <c r="J83" s="40">
        <v>1</v>
      </c>
      <c r="K83" s="40" t="str">
        <f>IF(I83=0,IF(J83=0,"AB都等于","A等于B不等于"),IF(J83=0,"A不等于B等于","AB都不等于"))</f>
        <v>A等于B不等于</v>
      </c>
    </row>
    <row r="84" spans="2:25">
      <c r="B84" s="40" t="s">
        <v>94</v>
      </c>
      <c r="C84" s="40">
        <v>194276.97</v>
      </c>
      <c r="D84" s="40">
        <v>11804.4</v>
      </c>
      <c r="E84" s="40" t="str">
        <f t="shared" si="8"/>
        <v>不达标</v>
      </c>
    </row>
    <row r="85" spans="2:25">
      <c r="B85" s="40" t="s">
        <v>95</v>
      </c>
      <c r="C85" s="40">
        <v>255727.79000000007</v>
      </c>
      <c r="D85" s="40">
        <v>8302.5300000000007</v>
      </c>
      <c r="E85" s="40" t="str">
        <f t="shared" si="8"/>
        <v>不达标</v>
      </c>
    </row>
    <row r="86" spans="2:25">
      <c r="B86" s="40" t="s">
        <v>96</v>
      </c>
      <c r="C86" s="40">
        <v>255891.73</v>
      </c>
      <c r="D86" s="40">
        <v>13616.330000000004</v>
      </c>
      <c r="E86" s="40" t="str">
        <f t="shared" si="8"/>
        <v>不达标</v>
      </c>
    </row>
    <row r="87" spans="2:25">
      <c r="B87" s="40" t="s">
        <v>97</v>
      </c>
      <c r="C87" s="40">
        <v>81384.920000000013</v>
      </c>
      <c r="D87" s="40">
        <v>3680.309999999999</v>
      </c>
      <c r="E87" s="40" t="str">
        <f t="shared" si="8"/>
        <v>不达标</v>
      </c>
    </row>
    <row r="88" spans="2:25">
      <c r="B88" s="41"/>
      <c r="C88" s="41"/>
      <c r="D88" s="41"/>
      <c r="E88" s="42"/>
    </row>
    <row r="89" spans="2:25">
      <c r="B89" s="41"/>
      <c r="C89" s="41"/>
      <c r="D89" s="41"/>
      <c r="E89" s="42"/>
    </row>
    <row r="90" spans="2:25">
      <c r="B90" s="41"/>
      <c r="C90" s="41"/>
      <c r="D90" s="41"/>
      <c r="E90" s="42"/>
    </row>
    <row r="93" spans="2:25">
      <c r="B93" s="37" t="s">
        <v>105</v>
      </c>
      <c r="P93" s="37">
        <f>VLOOKUP(O96,O110:P117,2,FALSE)</f>
        <v>273854.58</v>
      </c>
    </row>
    <row r="94" spans="2:25">
      <c r="F94" s="37" t="s">
        <v>121</v>
      </c>
      <c r="I94" s="37" t="s">
        <v>130</v>
      </c>
      <c r="S94" s="37" t="s">
        <v>118</v>
      </c>
    </row>
    <row r="95" spans="2:25">
      <c r="B95" s="40" t="s">
        <v>103</v>
      </c>
      <c r="C95" s="40" t="s">
        <v>104</v>
      </c>
      <c r="D95" s="41"/>
      <c r="E95" s="41"/>
      <c r="F95" s="40" t="s">
        <v>122</v>
      </c>
      <c r="G95" s="40" t="s">
        <v>117</v>
      </c>
      <c r="I95" s="40" t="s">
        <v>124</v>
      </c>
      <c r="J95" s="40" t="s">
        <v>125</v>
      </c>
      <c r="L95"/>
      <c r="M95"/>
      <c r="N95"/>
      <c r="O95" s="40" t="s">
        <v>103</v>
      </c>
      <c r="P95" s="40" t="s">
        <v>55</v>
      </c>
      <c r="Q95" s="41"/>
      <c r="R95" s="41"/>
      <c r="S95" s="40" t="s">
        <v>110</v>
      </c>
      <c r="T95" s="40" t="s">
        <v>113</v>
      </c>
      <c r="U95" s="40" t="s">
        <v>117</v>
      </c>
      <c r="W95" s="59" t="s">
        <v>135</v>
      </c>
      <c r="X95" t="s">
        <v>144</v>
      </c>
      <c r="Y95"/>
    </row>
    <row r="96" spans="2:25">
      <c r="B96" s="50" t="s">
        <v>46</v>
      </c>
      <c r="C96" s="40" t="str">
        <f>VLOOKUP(B96,'拌客源数据1-8月'!D:E,2,FALSE)</f>
        <v>宝山店</v>
      </c>
      <c r="D96" s="41"/>
      <c r="E96" s="41"/>
      <c r="F96" s="40" t="s">
        <v>129</v>
      </c>
      <c r="G96" s="40">
        <v>1</v>
      </c>
      <c r="I96" s="40" t="s">
        <v>114</v>
      </c>
      <c r="J96" s="40">
        <f>VLOOKUP(I96&amp;"*",F96:G103,2,TRUE)</f>
        <v>1</v>
      </c>
      <c r="L96"/>
      <c r="M96"/>
      <c r="N96"/>
      <c r="O96" s="50" t="s">
        <v>46</v>
      </c>
      <c r="P96" s="39">
        <f>VLOOKUP(O96,$O$109:$P$118,2,FALSE)</f>
        <v>273854.58</v>
      </c>
      <c r="Q96" s="42"/>
      <c r="R96" s="42"/>
      <c r="S96" s="40" t="s">
        <v>106</v>
      </c>
      <c r="T96" s="40" t="s">
        <v>114</v>
      </c>
      <c r="U96" s="40">
        <v>1</v>
      </c>
      <c r="W96" s="60" t="s">
        <v>145</v>
      </c>
      <c r="X96" s="61">
        <v>19</v>
      </c>
      <c r="Y96"/>
    </row>
    <row r="97" spans="2:25">
      <c r="B97" s="50" t="s">
        <v>47</v>
      </c>
      <c r="C97" s="40" t="str">
        <f>VLOOKUP(B97,'拌客源数据1-8月'!D:E,2,FALSE)</f>
        <v>五角场店</v>
      </c>
      <c r="D97" s="41"/>
      <c r="E97" s="41"/>
      <c r="F97" s="40" t="s">
        <v>127</v>
      </c>
      <c r="G97" s="40">
        <v>2</v>
      </c>
      <c r="L97"/>
      <c r="M97"/>
      <c r="N97"/>
      <c r="O97" s="50" t="s">
        <v>47</v>
      </c>
      <c r="P97" s="39">
        <f t="shared" ref="P97:P103" si="9">VLOOKUP(O97,$O$109:$P$118,2,FALSE)</f>
        <v>16838.82</v>
      </c>
      <c r="Q97" s="42"/>
      <c r="R97" s="42"/>
      <c r="S97" s="40" t="s">
        <v>106</v>
      </c>
      <c r="T97" s="40" t="s">
        <v>115</v>
      </c>
      <c r="U97" s="40">
        <v>2</v>
      </c>
      <c r="W97" s="62" t="s">
        <v>140</v>
      </c>
      <c r="X97" s="61">
        <v>1</v>
      </c>
      <c r="Y97"/>
    </row>
    <row r="98" spans="2:25">
      <c r="B98" s="50" t="s">
        <v>44</v>
      </c>
      <c r="C98" s="40" t="str">
        <f>VLOOKUP(B98,'拌客源数据1-8月'!D:E,2,FALSE)</f>
        <v>龙阳广场店</v>
      </c>
      <c r="D98" s="41"/>
      <c r="E98" s="41"/>
      <c r="F98" s="40" t="s">
        <v>126</v>
      </c>
      <c r="G98" s="40">
        <v>3</v>
      </c>
      <c r="I98" s="37" t="s">
        <v>128</v>
      </c>
      <c r="L98"/>
      <c r="M98"/>
      <c r="N98"/>
      <c r="O98" s="50" t="s">
        <v>44</v>
      </c>
      <c r="P98" s="39">
        <f t="shared" si="9"/>
        <v>6452.04</v>
      </c>
      <c r="Q98" s="42"/>
      <c r="R98" s="42"/>
      <c r="S98" s="40" t="s">
        <v>107</v>
      </c>
      <c r="T98" s="40" t="s">
        <v>116</v>
      </c>
      <c r="U98" s="40">
        <v>3</v>
      </c>
      <c r="W98" s="62" t="s">
        <v>141</v>
      </c>
      <c r="X98" s="61">
        <v>5</v>
      </c>
      <c r="Y98"/>
    </row>
    <row r="99" spans="2:25">
      <c r="B99" s="50" t="s">
        <v>45</v>
      </c>
      <c r="C99" s="40" t="str">
        <f>VLOOKUP(B99,'拌客源数据1-8月'!D:E,2,FALSE)</f>
        <v>五角场店</v>
      </c>
      <c r="D99" s="41"/>
      <c r="E99" s="41"/>
      <c r="F99" s="40" t="s">
        <v>138</v>
      </c>
      <c r="G99" s="40">
        <v>4</v>
      </c>
      <c r="I99" s="40" t="s">
        <v>115</v>
      </c>
      <c r="J99" s="40">
        <f>VLOOKUP(I99&amp;"??",F95:G103,2,FALSE)</f>
        <v>7</v>
      </c>
      <c r="L99"/>
      <c r="M99"/>
      <c r="N99"/>
      <c r="O99" s="50" t="s">
        <v>45</v>
      </c>
      <c r="P99" s="39">
        <f t="shared" si="9"/>
        <v>60286.000000000022</v>
      </c>
      <c r="Q99" s="42"/>
      <c r="R99" s="42"/>
      <c r="S99" s="40" t="s">
        <v>107</v>
      </c>
      <c r="T99" s="40" t="s">
        <v>116</v>
      </c>
      <c r="U99" s="40">
        <v>4</v>
      </c>
      <c r="W99" s="62" t="s">
        <v>142</v>
      </c>
      <c r="X99" s="61">
        <v>13</v>
      </c>
      <c r="Y99"/>
    </row>
    <row r="100" spans="2:25">
      <c r="B100" s="50" t="s">
        <v>48</v>
      </c>
      <c r="C100" s="40" t="str">
        <f>VLOOKUP(B100,'拌客源数据1-8月'!D:E,2,FALSE)</f>
        <v>怒江路店</v>
      </c>
      <c r="D100" s="41"/>
      <c r="E100" s="41"/>
      <c r="F100" s="40" t="s">
        <v>139</v>
      </c>
      <c r="G100" s="40">
        <v>5</v>
      </c>
      <c r="L100"/>
      <c r="M100"/>
      <c r="N100"/>
      <c r="O100" s="50" t="s">
        <v>48</v>
      </c>
      <c r="P100" s="39">
        <f t="shared" si="9"/>
        <v>4313.57</v>
      </c>
      <c r="Q100" s="42"/>
      <c r="R100" s="42"/>
      <c r="S100" s="40" t="s">
        <v>107</v>
      </c>
      <c r="T100" s="40" t="s">
        <v>114</v>
      </c>
      <c r="U100" s="40">
        <v>5</v>
      </c>
      <c r="W100" s="60" t="s">
        <v>146</v>
      </c>
      <c r="X100" s="61">
        <v>10</v>
      </c>
      <c r="Y100"/>
    </row>
    <row r="101" spans="2:25">
      <c r="B101" s="50" t="s">
        <v>49</v>
      </c>
      <c r="C101" s="40" t="str">
        <f>VLOOKUP(B101,'拌客源数据1-8月'!D:E,2,FALSE)</f>
        <v>宝山店</v>
      </c>
      <c r="D101" s="41"/>
      <c r="E101" s="41"/>
      <c r="F101" s="40" t="s">
        <v>119</v>
      </c>
      <c r="G101" s="40">
        <v>6</v>
      </c>
      <c r="L101"/>
      <c r="M101"/>
      <c r="N101"/>
      <c r="O101" s="50" t="s">
        <v>49</v>
      </c>
      <c r="P101" s="39">
        <f t="shared" si="9"/>
        <v>169975.03999999998</v>
      </c>
      <c r="Q101" s="42"/>
      <c r="R101" s="42"/>
      <c r="S101" s="40" t="s">
        <v>111</v>
      </c>
      <c r="T101" s="40" t="s">
        <v>114</v>
      </c>
      <c r="U101" s="40">
        <v>6</v>
      </c>
      <c r="W101" s="62" t="s">
        <v>140</v>
      </c>
      <c r="X101" s="61">
        <v>2</v>
      </c>
      <c r="Y101"/>
    </row>
    <row r="102" spans="2:25">
      <c r="B102" s="50" t="s">
        <v>50</v>
      </c>
      <c r="C102" s="40" t="str">
        <f>VLOOKUP(B102,'拌客源数据1-8月'!D:E,2,FALSE)</f>
        <v>拌客干拌麻辣烫(武宁路店)</v>
      </c>
      <c r="D102" s="41"/>
      <c r="E102" s="41"/>
      <c r="F102" s="40" t="s">
        <v>120</v>
      </c>
      <c r="G102" s="40">
        <v>7</v>
      </c>
      <c r="L102"/>
      <c r="M102"/>
      <c r="N102"/>
      <c r="O102" s="50" t="s">
        <v>50</v>
      </c>
      <c r="P102" s="39">
        <f t="shared" si="9"/>
        <v>425745.45999999996</v>
      </c>
      <c r="Q102" s="42"/>
      <c r="R102" s="42"/>
      <c r="S102" s="40" t="s">
        <v>111</v>
      </c>
      <c r="T102" s="40" t="s">
        <v>114</v>
      </c>
      <c r="U102" s="40">
        <v>7</v>
      </c>
      <c r="W102" s="62" t="s">
        <v>143</v>
      </c>
      <c r="X102" s="61">
        <v>8</v>
      </c>
      <c r="Y102"/>
    </row>
    <row r="103" spans="2:25">
      <c r="B103" s="50" t="s">
        <v>51</v>
      </c>
      <c r="C103" s="40" t="str">
        <f>VLOOKUP(B103,'拌客源数据1-8月'!D:E,2,FALSE)</f>
        <v>拌客干拌麻辣烫(武宁路店)</v>
      </c>
      <c r="D103" s="41"/>
      <c r="E103" s="41"/>
      <c r="F103" s="40" t="s">
        <v>123</v>
      </c>
      <c r="G103" s="40">
        <v>8</v>
      </c>
      <c r="L103"/>
      <c r="M103"/>
      <c r="N103"/>
      <c r="O103" s="50" t="s">
        <v>51</v>
      </c>
      <c r="P103" s="39">
        <f t="shared" si="9"/>
        <v>114007.74</v>
      </c>
      <c r="Q103" s="42"/>
      <c r="R103" s="42"/>
      <c r="S103" s="40" t="s">
        <v>112</v>
      </c>
      <c r="T103" s="40" t="s">
        <v>115</v>
      </c>
      <c r="U103" s="40">
        <v>8</v>
      </c>
      <c r="W103" s="60" t="s">
        <v>147</v>
      </c>
      <c r="X103" s="61">
        <v>7</v>
      </c>
      <c r="Y103"/>
    </row>
    <row r="104" spans="2:25">
      <c r="B104" s="51"/>
      <c r="C104" s="41"/>
      <c r="D104" s="41"/>
      <c r="E104" s="41"/>
      <c r="F104" s="41"/>
      <c r="G104" s="41"/>
      <c r="L104"/>
      <c r="M104"/>
      <c r="N104"/>
      <c r="O104" s="51"/>
      <c r="P104" s="42"/>
      <c r="Q104" s="42"/>
      <c r="R104" s="42"/>
      <c r="S104" s="41"/>
      <c r="T104" s="41"/>
      <c r="U104" s="41"/>
      <c r="W104" s="62" t="s">
        <v>141</v>
      </c>
      <c r="X104" s="61">
        <v>7</v>
      </c>
      <c r="Y104"/>
    </row>
    <row r="105" spans="2:25">
      <c r="B105" s="51"/>
      <c r="C105" s="41"/>
      <c r="D105" s="41"/>
      <c r="E105" s="41"/>
      <c r="F105" s="41"/>
      <c r="G105" s="41"/>
      <c r="L105"/>
      <c r="M105"/>
      <c r="N105"/>
      <c r="O105" s="51"/>
      <c r="P105" s="42"/>
      <c r="Q105" s="42"/>
      <c r="R105" s="42"/>
      <c r="S105" s="41"/>
      <c r="T105" s="41"/>
      <c r="U105" s="41"/>
      <c r="W105" s="60" t="s">
        <v>136</v>
      </c>
      <c r="X105" s="61">
        <v>36</v>
      </c>
      <c r="Y105"/>
    </row>
    <row r="106" spans="2:25">
      <c r="B106" s="51"/>
      <c r="C106" s="41"/>
      <c r="D106" s="41"/>
      <c r="E106" s="41"/>
      <c r="F106" s="41"/>
      <c r="G106" s="41"/>
      <c r="L106"/>
      <c r="M106"/>
      <c r="N106"/>
      <c r="O106" s="51"/>
      <c r="P106" s="42"/>
      <c r="Q106" s="42"/>
      <c r="R106" s="42"/>
      <c r="S106"/>
      <c r="T106"/>
      <c r="U106"/>
      <c r="W106"/>
      <c r="X106"/>
      <c r="Y106"/>
    </row>
    <row r="107" spans="2:25">
      <c r="L107"/>
      <c r="M107"/>
      <c r="N107"/>
      <c r="S107"/>
      <c r="T107"/>
      <c r="U107"/>
      <c r="W107"/>
      <c r="X107"/>
      <c r="Y107"/>
    </row>
    <row r="108" spans="2:25">
      <c r="L108"/>
      <c r="M108"/>
      <c r="N108"/>
      <c r="S108"/>
      <c r="T108"/>
      <c r="U108"/>
      <c r="W108"/>
      <c r="X108"/>
      <c r="Y108"/>
    </row>
    <row r="109" spans="2:25">
      <c r="B109" s="37" t="s">
        <v>133</v>
      </c>
      <c r="L109"/>
      <c r="M109"/>
      <c r="N109"/>
      <c r="O109" s="59" t="s">
        <v>135</v>
      </c>
      <c r="P109" t="s">
        <v>137</v>
      </c>
      <c r="Q109"/>
      <c r="S109"/>
      <c r="T109"/>
      <c r="U109"/>
      <c r="W109"/>
      <c r="X109"/>
      <c r="Y109"/>
    </row>
    <row r="110" spans="2:25">
      <c r="L110"/>
      <c r="M110"/>
      <c r="N110"/>
      <c r="O110" s="60" t="s">
        <v>45</v>
      </c>
      <c r="P110" s="61">
        <v>60286.000000000022</v>
      </c>
      <c r="Q110"/>
      <c r="S110"/>
      <c r="T110"/>
      <c r="U110"/>
      <c r="W110"/>
      <c r="X110"/>
      <c r="Y110"/>
    </row>
    <row r="111" spans="2:25">
      <c r="B111" s="79" t="s">
        <v>11</v>
      </c>
      <c r="C111" s="80"/>
      <c r="D111" s="40" t="s">
        <v>103</v>
      </c>
      <c r="E111" s="40" t="s">
        <v>131</v>
      </c>
      <c r="F111" s="40" t="s">
        <v>132</v>
      </c>
      <c r="G111" s="40" t="s">
        <v>104</v>
      </c>
      <c r="H111" s="40" t="s">
        <v>55</v>
      </c>
      <c r="I111" s="40" t="s">
        <v>74</v>
      </c>
      <c r="J111" s="40" t="s">
        <v>75</v>
      </c>
      <c r="K111" s="41"/>
      <c r="L111"/>
      <c r="M111"/>
      <c r="N111"/>
      <c r="O111" s="60" t="s">
        <v>46</v>
      </c>
      <c r="P111" s="61">
        <v>273854.58</v>
      </c>
      <c r="Q111"/>
      <c r="S111"/>
      <c r="T111"/>
      <c r="U111"/>
      <c r="W111"/>
      <c r="X111"/>
      <c r="Y111"/>
    </row>
    <row r="112" spans="2:25">
      <c r="B112" s="68" t="s">
        <v>159</v>
      </c>
      <c r="C112" s="69"/>
      <c r="D112" s="40" t="str">
        <f>INDEX('拌客源数据1-8月'!$A:$I,MATCH($B112,'拌客源数据1-8月'!$I:$I,0),MATCH(D$111,'拌客源数据1-8月'!$A$1:$I$1,0))</f>
        <v>2001104355</v>
      </c>
      <c r="E112" s="40" t="str">
        <f>INDEX('拌客源数据1-8月'!$A:$I,MATCH('常用函数-完成版'!$B112,'拌客源数据1-8月'!$I:$I,0),MATCH('常用函数-完成版'!E$111,'拌客源数据1-8月'!$A$1:$I$1,0))</f>
        <v>蛙小辣火锅杯（总账号）</v>
      </c>
      <c r="F112" s="40">
        <f>INDEX('拌客源数据1-8月'!$A:$I,MATCH('常用函数-完成版'!$B112,'拌客源数据1-8月'!$I:$I,0),MATCH('常用函数-完成版'!F$111,'拌客源数据1-8月'!$A$1:$I$1,0))</f>
        <v>4636</v>
      </c>
      <c r="G112" s="40" t="str">
        <f>INDEX('拌客源数据1-8月'!$A:$I,MATCH('常用函数-完成版'!$B112,'拌客源数据1-8月'!$I:$I,0),MATCH('常用函数-完成版'!G$111,'拌客源数据1-8月'!$A$1:$I$1,0))</f>
        <v>宝山店</v>
      </c>
      <c r="H112" s="40">
        <f>SUMIFS(INDEX('拌客源数据1-8月'!$A:$X,0,MATCH('常用函数-完成版'!H$111,'拌客源数据1-8月'!$A$1:$X$1,0)),'拌客源数据1-8月'!$I:$I,'常用函数-完成版'!$B112)</f>
        <v>116343.26000000004</v>
      </c>
      <c r="I112" s="40">
        <f>SUMIFS(INDEX('拌客源数据1-8月'!$A:$X,0,MATCH('常用函数-完成版'!I$111,'拌客源数据1-8月'!$A$1:$X$1,0)),'拌客源数据1-8月'!$I:$I,'常用函数-完成版'!$B112)</f>
        <v>11204</v>
      </c>
      <c r="J112" s="40">
        <f>SUMIFS(INDEX('拌客源数据1-8月'!$A:$X,0,MATCH('常用函数-完成版'!J$111,'拌客源数据1-8月'!$A$1:$X$1,0)),'拌客源数据1-8月'!$I:$I,'常用函数-完成版'!$B112)</f>
        <v>1646</v>
      </c>
      <c r="L112"/>
      <c r="M112"/>
      <c r="N112"/>
      <c r="O112" s="60" t="s">
        <v>44</v>
      </c>
      <c r="P112" s="61">
        <v>6452.04</v>
      </c>
      <c r="Q112"/>
      <c r="S112"/>
      <c r="T112"/>
      <c r="U112"/>
      <c r="W112"/>
      <c r="X112"/>
      <c r="Y112"/>
    </row>
    <row r="113" spans="2:21">
      <c r="B113" s="68" t="s">
        <v>23</v>
      </c>
      <c r="C113" s="69"/>
      <c r="D113" s="40" t="str">
        <f>INDEX('拌客源数据1-8月'!$A:$I,MATCH($B113,'拌客源数据1-8月'!$I:$I,0),MATCH(D$111,'拌客源数据1-8月'!$A$1:$I$1,0))</f>
        <v>8184590</v>
      </c>
      <c r="E113" s="40" t="str">
        <f>INDEX('拌客源数据1-8月'!$A:$I,MATCH('常用函数-完成版'!$B113,'拌客源数据1-8月'!$I:$I,0),MATCH('常用函数-完成版'!E$111,'拌客源数据1-8月'!$A$1:$I$1,0))</f>
        <v>蛙小辣火锅杯（总账号）</v>
      </c>
      <c r="F113" s="40">
        <f>INDEX('拌客源数据1-8月'!$A:$I,MATCH('常用函数-完成版'!$B113,'拌客源数据1-8月'!$I:$I,0),MATCH('常用函数-完成版'!F$111,'拌客源数据1-8月'!$A$1:$I$1,0))</f>
        <v>4636</v>
      </c>
      <c r="G113" s="40" t="str">
        <f>INDEX('拌客源数据1-8月'!$A:$I,MATCH('常用函数-完成版'!$B113,'拌客源数据1-8月'!$I:$I,0),MATCH('常用函数-完成版'!G$111,'拌客源数据1-8月'!$A$1:$I$1,0))</f>
        <v>五角场店</v>
      </c>
      <c r="H113" s="40">
        <f>SUMIFS(INDEX('拌客源数据1-8月'!$A:$X,0,MATCH('常用函数-完成版'!H$111,'拌客源数据1-8月'!$A$1:$X$1,0)),'拌客源数据1-8月'!$I:$I,'常用函数-完成版'!$B113)</f>
        <v>6787.9800000000005</v>
      </c>
      <c r="I113" s="40">
        <f>SUMIFS(INDEX('拌客源数据1-8月'!$A:$X,0,MATCH('常用函数-完成版'!I$111,'拌客源数据1-8月'!$A$1:$X$1,0)),'拌客源数据1-8月'!$I:$I,'常用函数-完成版'!$B113)</f>
        <v>775</v>
      </c>
      <c r="J113" s="40">
        <f>SUMIFS(INDEX('拌客源数据1-8月'!$A:$X,0,MATCH('常用函数-完成版'!J$111,'拌客源数据1-8月'!$A$1:$X$1,0)),'拌客源数据1-8月'!$I:$I,'常用函数-完成版'!$B113)</f>
        <v>113</v>
      </c>
      <c r="O113" s="60" t="s">
        <v>50</v>
      </c>
      <c r="P113" s="61">
        <v>425745.45999999996</v>
      </c>
      <c r="Q113"/>
      <c r="S113"/>
      <c r="T113"/>
      <c r="U113"/>
    </row>
    <row r="114" spans="2:21">
      <c r="B114" s="68" t="s">
        <v>32</v>
      </c>
      <c r="C114" s="69"/>
      <c r="D114" s="40" t="str">
        <f>INDEX('拌客源数据1-8月'!$A:$I,MATCH($B114,'拌客源数据1-8月'!$I:$I,0),MATCH(D$111,'拌客源数据1-8月'!$A$1:$I$1,0))</f>
        <v>305225345</v>
      </c>
      <c r="E114" s="40" t="str">
        <f>INDEX('拌客源数据1-8月'!$A:$I,MATCH('常用函数-完成版'!$B114,'拌客源数据1-8月'!$I:$I,0),MATCH('常用函数-完成版'!E$111,'拌客源数据1-8月'!$A$1:$I$1,0))</f>
        <v>蛙小辣火锅杯（总账号）</v>
      </c>
      <c r="F114" s="40">
        <f>INDEX('拌客源数据1-8月'!$A:$I,MATCH('常用函数-完成版'!$B114,'拌客源数据1-8月'!$I:$I,0),MATCH('常用函数-完成版'!F$111,'拌客源数据1-8月'!$A$1:$I$1,0))</f>
        <v>4636</v>
      </c>
      <c r="G114" s="40" t="str">
        <f>INDEX('拌客源数据1-8月'!$A:$I,MATCH('常用函数-完成版'!$B114,'拌客源数据1-8月'!$I:$I,0),MATCH('常用函数-完成版'!G$111,'拌客源数据1-8月'!$A$1:$I$1,0))</f>
        <v>龙阳广场店</v>
      </c>
      <c r="H114" s="40">
        <f>SUMIFS(INDEX('拌客源数据1-8月'!$A:$X,0,MATCH('常用函数-完成版'!H$111,'拌客源数据1-8月'!$A$1:$X$1,0)),'拌客源数据1-8月'!$I:$I,'常用函数-完成版'!$B114)</f>
        <v>6452.04</v>
      </c>
      <c r="I114" s="40">
        <f>SUMIFS(INDEX('拌客源数据1-8月'!$A:$X,0,MATCH('常用函数-完成版'!I$111,'拌客源数据1-8月'!$A$1:$X$1,0)),'拌客源数据1-8月'!$I:$I,'常用函数-完成版'!$B114)</f>
        <v>590</v>
      </c>
      <c r="J114" s="40">
        <f>SUMIFS(INDEX('拌客源数据1-8月'!$A:$X,0,MATCH('常用函数-完成版'!J$111,'拌客源数据1-8月'!$A$1:$X$1,0)),'拌客源数据1-8月'!$I:$I,'常用函数-完成版'!$B114)</f>
        <v>108</v>
      </c>
      <c r="O114" s="60" t="s">
        <v>48</v>
      </c>
      <c r="P114" s="61">
        <v>4313.57</v>
      </c>
      <c r="Q114"/>
      <c r="S114"/>
      <c r="T114"/>
      <c r="U114"/>
    </row>
    <row r="115" spans="2:21">
      <c r="B115" s="68" t="s">
        <v>30</v>
      </c>
      <c r="C115" s="69"/>
      <c r="D115" s="40" t="str">
        <f>INDEX('拌客源数据1-8月'!$A:$I,MATCH($B115,'拌客源数据1-8月'!$I:$I,0),MATCH(D$111,'拌客源数据1-8月'!$A$1:$I$1,0))</f>
        <v>2000507076</v>
      </c>
      <c r="E115" s="40" t="str">
        <f>INDEX('拌客源数据1-8月'!$A:$I,MATCH('常用函数-完成版'!$B115,'拌客源数据1-8月'!$I:$I,0),MATCH('常用函数-完成版'!E$111,'拌客源数据1-8月'!$A$1:$I$1,0))</f>
        <v>蛙小辣火锅杯（总账号）</v>
      </c>
      <c r="F115" s="40">
        <f>INDEX('拌客源数据1-8月'!$A:$I,MATCH('常用函数-完成版'!$B115,'拌客源数据1-8月'!$I:$I,0),MATCH('常用函数-完成版'!F$111,'拌客源数据1-8月'!$A$1:$I$1,0))</f>
        <v>4636</v>
      </c>
      <c r="G115" s="40" t="str">
        <f>INDEX('拌客源数据1-8月'!$A:$I,MATCH('常用函数-完成版'!$B115,'拌客源数据1-8月'!$I:$I,0),MATCH('常用函数-完成版'!G$111,'拌客源数据1-8月'!$A$1:$I$1,0))</f>
        <v>五角场店</v>
      </c>
      <c r="H115" s="40">
        <f>SUMIFS(INDEX('拌客源数据1-8月'!$A:$X,0,MATCH('常用函数-完成版'!H$111,'拌客源数据1-8月'!$A$1:$X$1,0)),'拌客源数据1-8月'!$I:$I,'常用函数-完成版'!$B115)</f>
        <v>33744.82</v>
      </c>
      <c r="I115" s="40">
        <f>SUMIFS(INDEX('拌客源数据1-8月'!$A:$X,0,MATCH('常用函数-完成版'!I$111,'拌客源数据1-8月'!$A$1:$X$1,0)),'拌客源数据1-8月'!$I:$I,'常用函数-完成版'!$B115)</f>
        <v>2490</v>
      </c>
      <c r="J115" s="40">
        <f>SUMIFS(INDEX('拌客源数据1-8月'!$A:$X,0,MATCH('常用函数-完成版'!J$111,'拌客源数据1-8月'!$A$1:$X$1,0)),'拌客源数据1-8月'!$I:$I,'常用函数-完成版'!$B115)</f>
        <v>512</v>
      </c>
      <c r="O115" s="60" t="s">
        <v>47</v>
      </c>
      <c r="P115" s="61">
        <v>16838.82</v>
      </c>
      <c r="Q115"/>
      <c r="S115"/>
      <c r="T115"/>
      <c r="U115"/>
    </row>
    <row r="116" spans="2:21">
      <c r="B116" s="68" t="s">
        <v>25</v>
      </c>
      <c r="C116" s="69"/>
      <c r="D116" s="40" t="str">
        <f>INDEX('拌客源数据1-8月'!$A:$I,MATCH($B116,'拌客源数据1-8月'!$I:$I,0),MATCH(D$111,'拌客源数据1-8月'!$A$1:$I$1,0))</f>
        <v>8106681</v>
      </c>
      <c r="E116" s="40" t="str">
        <f>INDEX('拌客源数据1-8月'!$A:$I,MATCH('常用函数-完成版'!$B116,'拌客源数据1-8月'!$I:$I,0),MATCH('常用函数-完成版'!E$111,'拌客源数据1-8月'!$A$1:$I$1,0))</f>
        <v>蛙小辣火锅杯（总账号）</v>
      </c>
      <c r="F116" s="40">
        <f>INDEX('拌客源数据1-8月'!$A:$I,MATCH('常用函数-完成版'!$B116,'拌客源数据1-8月'!$I:$I,0),MATCH('常用函数-完成版'!F$111,'拌客源数据1-8月'!$A$1:$I$1,0))</f>
        <v>4636</v>
      </c>
      <c r="G116" s="40" t="str">
        <f>INDEX('拌客源数据1-8月'!$A:$I,MATCH('常用函数-完成版'!$B116,'拌客源数据1-8月'!$I:$I,0),MATCH('常用函数-完成版'!G$111,'拌客源数据1-8月'!$A$1:$I$1,0))</f>
        <v>怒江路店</v>
      </c>
      <c r="H116" s="40">
        <f>SUMIFS(INDEX('拌客源数据1-8月'!$A:$X,0,MATCH('常用函数-完成版'!H$111,'拌客源数据1-8月'!$A$1:$X$1,0)),'拌客源数据1-8月'!$I:$I,'常用函数-完成版'!$B116)</f>
        <v>4313.57</v>
      </c>
      <c r="I116" s="40">
        <f>SUMIFS(INDEX('拌客源数据1-8月'!$A:$X,0,MATCH('常用函数-完成版'!I$111,'拌客源数据1-8月'!$A$1:$X$1,0)),'拌客源数据1-8月'!$I:$I,'常用函数-完成版'!$B116)</f>
        <v>367</v>
      </c>
      <c r="J116" s="40">
        <f>SUMIFS(INDEX('拌客源数据1-8月'!$A:$X,0,MATCH('常用函数-完成版'!J$111,'拌客源数据1-8月'!$A$1:$X$1,0)),'拌客源数据1-8月'!$I:$I,'常用函数-完成版'!$B116)</f>
        <v>66</v>
      </c>
      <c r="O116" s="60" t="s">
        <v>49</v>
      </c>
      <c r="P116" s="61">
        <v>169975.03999999998</v>
      </c>
      <c r="Q116"/>
      <c r="S116"/>
      <c r="T116"/>
      <c r="U116"/>
    </row>
    <row r="117" spans="2:21">
      <c r="B117" s="68" t="s">
        <v>34</v>
      </c>
      <c r="C117" s="69"/>
      <c r="D117" s="40" t="str">
        <f>INDEX('拌客源数据1-8月'!$A:$I,MATCH($B117,'拌客源数据1-8月'!$I:$I,0),MATCH(D$111,'拌客源数据1-8月'!$A$1:$I$1,0))</f>
        <v>8491999</v>
      </c>
      <c r="E117" s="40" t="str">
        <f>INDEX('拌客源数据1-8月'!$A:$I,MATCH('常用函数-完成版'!$B117,'拌客源数据1-8月'!$I:$I,0),MATCH('常用函数-完成版'!E$111,'拌客源数据1-8月'!$A$1:$I$1,0))</f>
        <v>蛙小辣火锅杯（总账号）</v>
      </c>
      <c r="F117" s="40">
        <f>INDEX('拌客源数据1-8月'!$A:$I,MATCH('常用函数-完成版'!$B117,'拌客源数据1-8月'!$I:$I,0),MATCH('常用函数-完成版'!F$111,'拌客源数据1-8月'!$A$1:$I$1,0))</f>
        <v>4636</v>
      </c>
      <c r="G117" s="40" t="str">
        <f>INDEX('拌客源数据1-8月'!$A:$I,MATCH('常用函数-完成版'!$B117,'拌客源数据1-8月'!$I:$I,0),MATCH('常用函数-完成版'!G$111,'拌客源数据1-8月'!$A$1:$I$1,0))</f>
        <v>宝山店</v>
      </c>
      <c r="H117" s="40">
        <f>SUMIFS(INDEX('拌客源数据1-8月'!$A:$X,0,MATCH('常用函数-完成版'!H$111,'拌客源数据1-8月'!$A$1:$X$1,0)),'拌客源数据1-8月'!$I:$I,'常用函数-完成版'!$B117)</f>
        <v>169975.03999999998</v>
      </c>
      <c r="I117" s="40">
        <f>SUMIFS(INDEX('拌客源数据1-8月'!$A:$X,0,MATCH('常用函数-完成版'!I$111,'拌客源数据1-8月'!$A$1:$X$1,0)),'拌客源数据1-8月'!$I:$I,'常用函数-完成版'!$B117)</f>
        <v>15813</v>
      </c>
      <c r="J117" s="40">
        <f>SUMIFS(INDEX('拌客源数据1-8月'!$A:$X,0,MATCH('常用函数-完成版'!J$111,'拌客源数据1-8月'!$A$1:$X$1,0)),'拌客源数据1-8月'!$I:$I,'常用函数-完成版'!$B117)</f>
        <v>2969</v>
      </c>
      <c r="O117" s="60" t="s">
        <v>51</v>
      </c>
      <c r="P117" s="61">
        <v>114007.74</v>
      </c>
      <c r="Q117"/>
      <c r="S117"/>
      <c r="T117"/>
      <c r="U117"/>
    </row>
    <row r="118" spans="2:21">
      <c r="B118" s="68" t="s">
        <v>33</v>
      </c>
      <c r="C118" s="69"/>
      <c r="D118" s="40" t="str">
        <f>INDEX('拌客源数据1-8月'!$A:$I,MATCH($B118,'拌客源数据1-8月'!$I:$I,0),MATCH(D$111,'拌客源数据1-8月'!$A$1:$I$1,0))</f>
        <v>8184590</v>
      </c>
      <c r="E118" s="40" t="str">
        <f>INDEX('拌客源数据1-8月'!$A:$I,MATCH('常用函数-完成版'!$B118,'拌客源数据1-8月'!$I:$I,0),MATCH('常用函数-完成版'!E$111,'拌客源数据1-8月'!$A$1:$I$1,0))</f>
        <v>蛙小辣火锅杯（总账号）</v>
      </c>
      <c r="F118" s="40">
        <f>INDEX('拌客源数据1-8月'!$A:$I,MATCH('常用函数-完成版'!$B118,'拌客源数据1-8月'!$I:$I,0),MATCH('常用函数-完成版'!F$111,'拌客源数据1-8月'!$A$1:$I$1,0))</f>
        <v>4636</v>
      </c>
      <c r="G118" s="40" t="str">
        <f>INDEX('拌客源数据1-8月'!$A:$I,MATCH('常用函数-完成版'!$B118,'拌客源数据1-8月'!$I:$I,0),MATCH('常用函数-完成版'!G$111,'拌客源数据1-8月'!$A$1:$I$1,0))</f>
        <v>五角场店</v>
      </c>
      <c r="H118" s="40">
        <f>SUMIFS(INDEX('拌客源数据1-8月'!$A:$X,0,MATCH('常用函数-完成版'!H$111,'拌客源数据1-8月'!$A$1:$X$1,0)),'拌客源数据1-8月'!$I:$I,'常用函数-完成版'!$B118)</f>
        <v>9368.7099999999973</v>
      </c>
      <c r="I118" s="40">
        <f>SUMIFS(INDEX('拌客源数据1-8月'!$A:$X,0,MATCH('常用函数-完成版'!I$111,'拌客源数据1-8月'!$A$1:$X$1,0)),'拌客源数据1-8月'!$I:$I,'常用函数-完成版'!$B118)</f>
        <v>791</v>
      </c>
      <c r="J118" s="40">
        <f>SUMIFS(INDEX('拌客源数据1-8月'!$A:$X,0,MATCH('常用函数-完成版'!J$111,'拌客源数据1-8月'!$A$1:$X$1,0)),'拌客源数据1-8月'!$I:$I,'常用函数-完成版'!$B118)</f>
        <v>154</v>
      </c>
      <c r="O118" s="60" t="s">
        <v>136</v>
      </c>
      <c r="P118" s="61">
        <v>1071473.2499999998</v>
      </c>
      <c r="Q118"/>
      <c r="S118"/>
      <c r="T118"/>
      <c r="U118"/>
    </row>
    <row r="119" spans="2:21">
      <c r="B119" s="68" t="s">
        <v>35</v>
      </c>
      <c r="C119" s="69"/>
      <c r="D119" s="40" t="str">
        <f>INDEX('拌客源数据1-8月'!$A:$I,MATCH($B119,'拌客源数据1-8月'!$I:$I,0),MATCH(D$111,'拌客源数据1-8月'!$A$1:$I$1,0))</f>
        <v>2000507076</v>
      </c>
      <c r="E119" s="40" t="str">
        <f>INDEX('拌客源数据1-8月'!$A:$I,MATCH('常用函数-完成版'!$B119,'拌客源数据1-8月'!$I:$I,0),MATCH('常用函数-完成版'!E$111,'拌客源数据1-8月'!$A$1:$I$1,0))</f>
        <v>蛙小辣火锅杯（总账号）</v>
      </c>
      <c r="F119" s="40">
        <f>INDEX('拌客源数据1-8月'!$A:$I,MATCH('常用函数-完成版'!$B119,'拌客源数据1-8月'!$I:$I,0),MATCH('常用函数-完成版'!F$111,'拌客源数据1-8月'!$A$1:$I$1,0))</f>
        <v>4636</v>
      </c>
      <c r="G119" s="40" t="str">
        <f>INDEX('拌客源数据1-8月'!$A:$I,MATCH('常用函数-完成版'!$B119,'拌客源数据1-8月'!$I:$I,0),MATCH('常用函数-完成版'!G$111,'拌客源数据1-8月'!$A$1:$I$1,0))</f>
        <v>五角场店</v>
      </c>
      <c r="H119" s="40">
        <f>SUMIFS(INDEX('拌客源数据1-8月'!$A:$X,0,MATCH('常用函数-完成版'!H$111,'拌客源数据1-8月'!$A$1:$X$1,0)),'拌客源数据1-8月'!$I:$I,'常用函数-完成版'!$B119)</f>
        <v>784.71</v>
      </c>
      <c r="I119" s="40">
        <f>SUMIFS(INDEX('拌客源数据1-8月'!$A:$X,0,MATCH('常用函数-完成版'!I$111,'拌客源数据1-8月'!$A$1:$X$1,0)),'拌客源数据1-8月'!$I:$I,'常用函数-完成版'!$B119)</f>
        <v>48</v>
      </c>
      <c r="J119" s="40">
        <f>SUMIFS(INDEX('拌客源数据1-8月'!$A:$X,0,MATCH('常用函数-完成版'!J$111,'拌客源数据1-8月'!$A$1:$X$1,0)),'拌客源数据1-8月'!$I:$I,'常用函数-完成版'!$B119)</f>
        <v>11</v>
      </c>
      <c r="O119"/>
      <c r="P119"/>
      <c r="Q119"/>
      <c r="S119"/>
      <c r="T119"/>
      <c r="U119"/>
    </row>
    <row r="120" spans="2:21">
      <c r="B120" s="68" t="s">
        <v>36</v>
      </c>
      <c r="C120" s="69"/>
      <c r="D120" s="40" t="str">
        <f>INDEX('拌客源数据1-8月'!$A:$I,MATCH($B120,'拌客源数据1-8月'!$I:$I,0),MATCH(D$111,'拌客源数据1-8月'!$A$1:$I$1,0))</f>
        <v>2000507076</v>
      </c>
      <c r="E120" s="40" t="str">
        <f>INDEX('拌客源数据1-8月'!$A:$I,MATCH('常用函数-完成版'!$B120,'拌客源数据1-8月'!$I:$I,0),MATCH('常用函数-完成版'!E$111,'拌客源数据1-8月'!$A$1:$I$1,0))</f>
        <v>蛙小辣火锅杯（总账号）</v>
      </c>
      <c r="F120" s="40">
        <f>INDEX('拌客源数据1-8月'!$A:$I,MATCH('常用函数-完成版'!$B120,'拌客源数据1-8月'!$I:$I,0),MATCH('常用函数-完成版'!F$111,'拌客源数据1-8月'!$A$1:$I$1,0))</f>
        <v>4636</v>
      </c>
      <c r="G120" s="40" t="str">
        <f>INDEX('拌客源数据1-8月'!$A:$I,MATCH('常用函数-完成版'!$B120,'拌客源数据1-8月'!$I:$I,0),MATCH('常用函数-完成版'!G$111,'拌客源数据1-8月'!$A$1:$I$1,0))</f>
        <v>五角场店</v>
      </c>
      <c r="H120" s="40">
        <f>SUMIFS(INDEX('拌客源数据1-8月'!$A:$X,0,MATCH('常用函数-完成版'!H$111,'拌客源数据1-8月'!$A$1:$X$1,0)),'拌客源数据1-8月'!$I:$I,'常用函数-完成版'!$B120)</f>
        <v>11932.99</v>
      </c>
      <c r="I120" s="40">
        <f>SUMIFS(INDEX('拌客源数据1-8月'!$A:$X,0,MATCH('常用函数-完成版'!I$111,'拌客源数据1-8月'!$A$1:$X$1,0)),'拌客源数据1-8月'!$I:$I,'常用函数-完成版'!$B120)</f>
        <v>699</v>
      </c>
      <c r="J120" s="40">
        <f>SUMIFS(INDEX('拌客源数据1-8月'!$A:$X,0,MATCH('常用函数-完成版'!J$111,'拌客源数据1-8月'!$A$1:$X$1,0)),'拌客源数据1-8月'!$I:$I,'常用函数-完成版'!$B120)</f>
        <v>167</v>
      </c>
      <c r="O120"/>
      <c r="P120"/>
      <c r="Q120"/>
      <c r="S120"/>
      <c r="T120"/>
      <c r="U120"/>
    </row>
    <row r="121" spans="2:21">
      <c r="B121" s="68" t="s">
        <v>37</v>
      </c>
      <c r="C121" s="69"/>
      <c r="D121" s="40" t="str">
        <f>INDEX('拌客源数据1-8月'!$A:$I,MATCH($B121,'拌客源数据1-8月'!$I:$I,0),MATCH(D$111,'拌客源数据1-8月'!$A$1:$I$1,0))</f>
        <v>2001104355</v>
      </c>
      <c r="E121" s="40" t="str">
        <f>INDEX('拌客源数据1-8月'!$A:$I,MATCH('常用函数-完成版'!$B121,'拌客源数据1-8月'!$I:$I,0),MATCH('常用函数-完成版'!E$111,'拌客源数据1-8月'!$A$1:$I$1,0))</f>
        <v>蛙小辣火锅杯（总账号）</v>
      </c>
      <c r="F121" s="40">
        <f>INDEX('拌客源数据1-8月'!$A:$I,MATCH('常用函数-完成版'!$B121,'拌客源数据1-8月'!$I:$I,0),MATCH('常用函数-完成版'!F$111,'拌客源数据1-8月'!$A$1:$I$1,0))</f>
        <v>4636</v>
      </c>
      <c r="G121" s="40" t="str">
        <f>INDEX('拌客源数据1-8月'!$A:$I,MATCH('常用函数-完成版'!$B121,'拌客源数据1-8月'!$I:$I,0),MATCH('常用函数-完成版'!G$111,'拌客源数据1-8月'!$A$1:$I$1,0))</f>
        <v>宝山店</v>
      </c>
      <c r="H121" s="40">
        <f>SUMIFS(INDEX('拌客源数据1-8月'!$A:$X,0,MATCH('常用函数-完成版'!H$111,'拌客源数据1-8月'!$A$1:$X$1,0)),'拌客源数据1-8月'!$I:$I,'常用函数-完成版'!$B121)</f>
        <v>157511.31999999995</v>
      </c>
      <c r="I121" s="40">
        <f>SUMIFS(INDEX('拌客源数据1-8月'!$A:$X,0,MATCH('常用函数-完成版'!I$111,'拌客源数据1-8月'!$A$1:$X$1,0)),'拌客源数据1-8月'!$I:$I,'常用函数-完成版'!$B121)</f>
        <v>10924</v>
      </c>
      <c r="J121" s="40">
        <f>SUMIFS(INDEX('拌客源数据1-8月'!$A:$X,0,MATCH('常用函数-完成版'!J$111,'拌客源数据1-8月'!$A$1:$X$1,0)),'拌客源数据1-8月'!$I:$I,'常用函数-完成版'!$B121)</f>
        <v>2362</v>
      </c>
      <c r="O121"/>
      <c r="P121"/>
      <c r="Q121"/>
      <c r="S121"/>
      <c r="T121"/>
      <c r="U121"/>
    </row>
    <row r="122" spans="2:21">
      <c r="B122" s="68" t="s">
        <v>38</v>
      </c>
      <c r="C122" s="69"/>
      <c r="D122" s="40" t="str">
        <f>INDEX('拌客源数据1-8月'!$A:$I,MATCH($B122,'拌客源数据1-8月'!$I:$I,0),MATCH(D$111,'拌客源数据1-8月'!$A$1:$I$1,0))</f>
        <v>2000507076</v>
      </c>
      <c r="E122" s="40" t="str">
        <f>INDEX('拌客源数据1-8月'!$A:$I,MATCH('常用函数-完成版'!$B122,'拌客源数据1-8月'!$I:$I,0),MATCH('常用函数-完成版'!E$111,'拌客源数据1-8月'!$A$1:$I$1,0))</f>
        <v>蛙小辣火锅杯（总账号）</v>
      </c>
      <c r="F122" s="40">
        <f>INDEX('拌客源数据1-8月'!$A:$I,MATCH('常用函数-完成版'!$B122,'拌客源数据1-8月'!$I:$I,0),MATCH('常用函数-完成版'!F$111,'拌客源数据1-8月'!$A$1:$I$1,0))</f>
        <v>4636</v>
      </c>
      <c r="G122" s="40" t="str">
        <f>INDEX('拌客源数据1-8月'!$A:$I,MATCH('常用函数-完成版'!$B122,'拌客源数据1-8月'!$I:$I,0),MATCH('常用函数-完成版'!G$111,'拌客源数据1-8月'!$A$1:$I$1,0))</f>
        <v>五角场店</v>
      </c>
      <c r="H122" s="40">
        <f>SUMIFS(INDEX('拌客源数据1-8月'!$A:$X,0,MATCH('常用函数-完成版'!H$111,'拌客源数据1-8月'!$A$1:$X$1,0)),'拌客源数据1-8月'!$I:$I,'常用函数-完成版'!$B122)</f>
        <v>13823.480000000001</v>
      </c>
      <c r="I122" s="40">
        <f>SUMIFS(INDEX('拌客源数据1-8月'!$A:$X,0,MATCH('常用函数-完成版'!I$111,'拌客源数据1-8月'!$A$1:$X$1,0)),'拌客源数据1-8月'!$I:$I,'常用函数-完成版'!$B122)</f>
        <v>849</v>
      </c>
      <c r="J122" s="40">
        <f>SUMIFS(INDEX('拌客源数据1-8月'!$A:$X,0,MATCH('常用函数-完成版'!J$111,'拌客源数据1-8月'!$A$1:$X$1,0)),'拌客源数据1-8月'!$I:$I,'常用函数-完成版'!$B122)</f>
        <v>205</v>
      </c>
      <c r="O122"/>
      <c r="P122"/>
      <c r="Q122"/>
      <c r="S122"/>
      <c r="T122"/>
      <c r="U122"/>
    </row>
    <row r="123" spans="2:21">
      <c r="B123" s="68" t="s">
        <v>39</v>
      </c>
      <c r="C123" s="69"/>
      <c r="D123" s="40" t="str">
        <f>INDEX('拌客源数据1-8月'!$A:$I,MATCH($B123,'拌客源数据1-8月'!$I:$I,0),MATCH(D$111,'拌客源数据1-8月'!$A$1:$I$1,0))</f>
        <v>8184590</v>
      </c>
      <c r="E123" s="40" t="str">
        <f>INDEX('拌客源数据1-8月'!$A:$I,MATCH('常用函数-完成版'!$B123,'拌客源数据1-8月'!$I:$I,0),MATCH('常用函数-完成版'!E$111,'拌客源数据1-8月'!$A$1:$I$1,0))</f>
        <v>蛙小辣火锅杯（总账号）</v>
      </c>
      <c r="F123" s="40">
        <f>INDEX('拌客源数据1-8月'!$A:$I,MATCH('常用函数-完成版'!$B123,'拌客源数据1-8月'!$I:$I,0),MATCH('常用函数-完成版'!F$111,'拌客源数据1-8月'!$A$1:$I$1,0))</f>
        <v>4636</v>
      </c>
      <c r="G123" s="40" t="str">
        <f>INDEX('拌客源数据1-8月'!$A:$I,MATCH('常用函数-完成版'!$B123,'拌客源数据1-8月'!$I:$I,0),MATCH('常用函数-完成版'!G$111,'拌客源数据1-8月'!$A$1:$I$1,0))</f>
        <v>五角场店</v>
      </c>
      <c r="H123" s="40">
        <f>SUMIFS(INDEX('拌客源数据1-8月'!$A:$X,0,MATCH('常用函数-完成版'!H$111,'拌客源数据1-8月'!$A$1:$X$1,0)),'拌客源数据1-8月'!$I:$I,'常用函数-完成版'!$B123)</f>
        <v>682.13</v>
      </c>
      <c r="I123" s="40">
        <f>SUMIFS(INDEX('拌客源数据1-8月'!$A:$X,0,MATCH('常用函数-完成版'!I$111,'拌客源数据1-8月'!$A$1:$X$1,0)),'拌客源数据1-8月'!$I:$I,'常用函数-完成版'!$B123)</f>
        <v>45</v>
      </c>
      <c r="J123" s="40">
        <f>SUMIFS(INDEX('拌客源数据1-8月'!$A:$X,0,MATCH('常用函数-完成版'!J$111,'拌客源数据1-8月'!$A$1:$X$1,0)),'拌客源数据1-8月'!$I:$I,'常用函数-完成版'!$B123)</f>
        <v>8</v>
      </c>
      <c r="O123"/>
      <c r="P123"/>
      <c r="Q123"/>
      <c r="S123"/>
      <c r="T123"/>
      <c r="U123"/>
    </row>
    <row r="124" spans="2:21">
      <c r="B124" s="68" t="s">
        <v>41</v>
      </c>
      <c r="C124" s="69"/>
      <c r="D124" s="40" t="str">
        <f>INDEX('拌客源数据1-8月'!$A:$I,MATCH($B124,'拌客源数据1-8月'!$I:$I,0),MATCH(D$111,'拌客源数据1-8月'!$A$1:$I$1,0))</f>
        <v>337460136</v>
      </c>
      <c r="E124" s="40" t="str">
        <f>INDEX('拌客源数据1-8月'!$A:$I,MATCH('常用函数-完成版'!$B124,'拌客源数据1-8月'!$I:$I,0),MATCH('常用函数-完成版'!E$111,'拌客源数据1-8月'!$A$1:$I$1,0))</f>
        <v>拌客（武宁路店）</v>
      </c>
      <c r="F124" s="40">
        <f>INDEX('拌客源数据1-8月'!$A:$I,MATCH('常用函数-完成版'!$B124,'拌客源数据1-8月'!$I:$I,0),MATCH('常用函数-完成版'!F$111,'拌客源数据1-8月'!$A$1:$I$1,0))</f>
        <v>6108</v>
      </c>
      <c r="G124" s="40" t="str">
        <f>INDEX('拌客源数据1-8月'!$A:$I,MATCH('常用函数-完成版'!$B124,'拌客源数据1-8月'!$I:$I,0),MATCH('常用函数-完成版'!G$111,'拌客源数据1-8月'!$A$1:$I$1,0))</f>
        <v>拌客干拌麻辣烫(武宁路店)</v>
      </c>
      <c r="H124" s="40">
        <f>SUMIFS(INDEX('拌客源数据1-8月'!$A:$X,0,MATCH('常用函数-完成版'!H$111,'拌客源数据1-8月'!$A$1:$X$1,0)),'拌客源数据1-8月'!$I:$I,'常用函数-完成版'!$B124)</f>
        <v>3913.76</v>
      </c>
      <c r="I124" s="40">
        <f>SUMIFS(INDEX('拌客源数据1-8月'!$A:$X,0,MATCH('常用函数-完成版'!I$111,'拌客源数据1-8月'!$A$1:$X$1,0)),'拌客源数据1-8月'!$I:$I,'常用函数-完成版'!$B124)</f>
        <v>441</v>
      </c>
      <c r="J124" s="40">
        <f>SUMIFS(INDEX('拌客源数据1-8月'!$A:$X,0,MATCH('常用函数-完成版'!J$111,'拌客源数据1-8月'!$A$1:$X$1,0)),'拌客源数据1-8月'!$I:$I,'常用函数-完成版'!$B124)</f>
        <v>72</v>
      </c>
      <c r="O124"/>
      <c r="P124"/>
      <c r="Q124"/>
    </row>
    <row r="125" spans="2:21">
      <c r="B125" s="68" t="s">
        <v>42</v>
      </c>
      <c r="C125" s="69"/>
      <c r="D125" s="40" t="str">
        <f>INDEX('拌客源数据1-8月'!$A:$I,MATCH($B125,'拌客源数据1-8月'!$I:$I,0),MATCH(D$111,'拌客源数据1-8月'!$A$1:$I$1,0))</f>
        <v>337460136</v>
      </c>
      <c r="E125" s="40" t="str">
        <f>INDEX('拌客源数据1-8月'!$A:$I,MATCH('常用函数-完成版'!$B125,'拌客源数据1-8月'!$I:$I,0),MATCH('常用函数-完成版'!E$111,'拌客源数据1-8月'!$A$1:$I$1,0))</f>
        <v>拌客（武宁路店）</v>
      </c>
      <c r="F125" s="40">
        <f>INDEX('拌客源数据1-8月'!$A:$I,MATCH('常用函数-完成版'!$B125,'拌客源数据1-8月'!$I:$I,0),MATCH('常用函数-完成版'!F$111,'拌客源数据1-8月'!$A$1:$I$1,0))</f>
        <v>6108</v>
      </c>
      <c r="G125" s="40" t="str">
        <f>INDEX('拌客源数据1-8月'!$A:$I,MATCH('常用函数-完成版'!$B125,'拌客源数据1-8月'!$I:$I,0),MATCH('常用函数-完成版'!G$111,'拌客源数据1-8月'!$A$1:$I$1,0))</f>
        <v>拌客干拌麻辣烫(武宁路店)</v>
      </c>
      <c r="H125" s="40">
        <f>SUMIFS(INDEX('拌客源数据1-8月'!$A:$X,0,MATCH('常用函数-完成版'!H$111,'拌客源数据1-8月'!$A$1:$X$1,0)),'拌客源数据1-8月'!$I:$I,'常用函数-完成版'!$B125)</f>
        <v>421831.69999999995</v>
      </c>
      <c r="I125" s="40">
        <f>SUMIFS(INDEX('拌客源数据1-8月'!$A:$X,0,MATCH('常用函数-完成版'!I$111,'拌客源数据1-8月'!$A$1:$X$1,0)),'拌客源数据1-8月'!$I:$I,'常用函数-完成版'!$B125)</f>
        <v>31427</v>
      </c>
      <c r="J125" s="40">
        <f>SUMIFS(INDEX('拌客源数据1-8月'!$A:$X,0,MATCH('常用函数-完成版'!J$111,'拌客源数据1-8月'!$A$1:$X$1,0)),'拌客源数据1-8月'!$I:$I,'常用函数-完成版'!$B125)</f>
        <v>8314</v>
      </c>
      <c r="O125"/>
      <c r="P125"/>
      <c r="Q125"/>
    </row>
    <row r="126" spans="2:21">
      <c r="B126" s="68" t="s">
        <v>43</v>
      </c>
      <c r="C126" s="69"/>
      <c r="D126" s="40" t="str">
        <f>INDEX('拌客源数据1-8月'!$A:$I,MATCH($B126,'拌客源数据1-8月'!$I:$I,0),MATCH(D$111,'拌客源数据1-8月'!$A$1:$I$1,0))</f>
        <v>9428110</v>
      </c>
      <c r="E126" s="40" t="str">
        <f>INDEX('拌客源数据1-8月'!$A:$I,MATCH('常用函数-完成版'!$B126,'拌客源数据1-8月'!$I:$I,0),MATCH('常用函数-完成版'!E$111,'拌客源数据1-8月'!$A$1:$I$1,0))</f>
        <v>拌客（武宁路店）</v>
      </c>
      <c r="F126" s="40">
        <f>INDEX('拌客源数据1-8月'!$A:$I,MATCH('常用函数-完成版'!$B126,'拌客源数据1-8月'!$I:$I,0),MATCH('常用函数-完成版'!F$111,'拌客源数据1-8月'!$A$1:$I$1,0))</f>
        <v>6108</v>
      </c>
      <c r="G126" s="40" t="str">
        <f>INDEX('拌客源数据1-8月'!$A:$I,MATCH('常用函数-完成版'!$B126,'拌客源数据1-8月'!$I:$I,0),MATCH('常用函数-完成版'!G$111,'拌客源数据1-8月'!$A$1:$I$1,0))</f>
        <v>拌客干拌麻辣烫(武宁路店)</v>
      </c>
      <c r="H126" s="40">
        <f>SUMIFS(INDEX('拌客源数据1-8月'!$A:$X,0,MATCH('常用函数-完成版'!H$111,'拌客源数据1-8月'!$A$1:$X$1,0)),'拌客源数据1-8月'!$I:$I,'常用函数-完成版'!$B126)</f>
        <v>114007.74</v>
      </c>
      <c r="I126" s="40">
        <f>SUMIFS(INDEX('拌客源数据1-8月'!$A:$X,0,MATCH('常用函数-完成版'!I$111,'拌客源数据1-8月'!$A$1:$X$1,0)),'拌客源数据1-8月'!$I:$I,'常用函数-完成版'!$B126)</f>
        <v>7867</v>
      </c>
      <c r="J126" s="40">
        <f>SUMIFS(INDEX('拌客源数据1-8月'!$A:$X,0,MATCH('常用函数-完成版'!J$111,'拌客源数据1-8月'!$A$1:$X$1,0)),'拌客源数据1-8月'!$I:$I,'常用函数-完成版'!$B126)</f>
        <v>2329</v>
      </c>
      <c r="O126"/>
      <c r="P126"/>
      <c r="Q126"/>
    </row>
    <row r="127" spans="2:21">
      <c r="B127" s="52"/>
      <c r="C127" s="52"/>
      <c r="D127" s="41"/>
      <c r="E127" s="41"/>
      <c r="F127" s="41"/>
      <c r="G127" s="41"/>
    </row>
    <row r="128" spans="2:21">
      <c r="B128" s="52"/>
      <c r="C128" s="52"/>
      <c r="D128" s="41"/>
      <c r="E128" s="41"/>
      <c r="F128" s="41"/>
      <c r="G128" s="41"/>
      <c r="H128" s="41"/>
    </row>
    <row r="129" spans="2:10">
      <c r="B129" s="52"/>
      <c r="C129" s="52"/>
      <c r="D129" s="52"/>
      <c r="E129" s="41"/>
      <c r="F129" s="41"/>
      <c r="G129" s="41"/>
      <c r="H129" s="41"/>
      <c r="I129" s="41"/>
      <c r="J129" s="41"/>
    </row>
    <row r="130" spans="2:10">
      <c r="B130" s="52"/>
      <c r="C130" s="52"/>
      <c r="D130" s="41"/>
      <c r="E130" s="41"/>
      <c r="F130" s="41"/>
      <c r="G130" s="41"/>
      <c r="H130" s="41"/>
      <c r="I130" s="41"/>
      <c r="J130" s="41"/>
    </row>
    <row r="131" spans="2:10">
      <c r="B131" s="52"/>
      <c r="C131" s="52"/>
      <c r="D131" s="41"/>
      <c r="E131" s="41"/>
      <c r="F131" s="41"/>
      <c r="G131" s="41"/>
      <c r="H131" s="41"/>
      <c r="I131" s="41"/>
      <c r="J131" s="41"/>
    </row>
    <row r="132" spans="2:10">
      <c r="D132" s="41"/>
      <c r="E132" s="41"/>
      <c r="F132" s="41"/>
      <c r="G132" s="41"/>
      <c r="H132" s="41"/>
      <c r="I132" s="41"/>
      <c r="J132" s="41"/>
    </row>
    <row r="133" spans="2:10">
      <c r="D133" s="41"/>
      <c r="E133" s="41"/>
      <c r="F133" s="41"/>
      <c r="G133" s="41"/>
      <c r="H133" s="41"/>
      <c r="I133" s="41"/>
      <c r="J133" s="41"/>
    </row>
    <row r="134" spans="2:10">
      <c r="D134" s="41"/>
      <c r="E134" s="41"/>
      <c r="F134" s="41"/>
      <c r="G134" s="41"/>
      <c r="H134" s="41"/>
      <c r="I134" s="41"/>
      <c r="J134" s="41"/>
    </row>
    <row r="135" spans="2:10">
      <c r="D135" s="41"/>
      <c r="E135" s="41"/>
      <c r="F135" s="41"/>
      <c r="G135" s="41"/>
      <c r="H135" s="41"/>
      <c r="I135" s="41"/>
      <c r="J135" s="41"/>
    </row>
    <row r="136" spans="2:10">
      <c r="D136" s="41"/>
      <c r="E136" s="41"/>
      <c r="F136" s="41"/>
      <c r="G136" s="41"/>
      <c r="H136" s="41"/>
      <c r="I136" s="41"/>
      <c r="J136" s="41"/>
    </row>
    <row r="137" spans="2:10">
      <c r="D137" s="41"/>
      <c r="E137" s="41"/>
      <c r="F137" s="41"/>
      <c r="G137" s="41"/>
      <c r="H137" s="41"/>
      <c r="I137" s="41"/>
      <c r="J137" s="41"/>
    </row>
    <row r="138" spans="2:10">
      <c r="D138" s="41"/>
      <c r="E138" s="41"/>
      <c r="F138" s="41"/>
      <c r="G138" s="41"/>
      <c r="H138" s="41"/>
      <c r="I138" s="41"/>
      <c r="J138" s="41"/>
    </row>
    <row r="139" spans="2:10">
      <c r="D139" s="41"/>
      <c r="E139" s="41"/>
      <c r="F139" s="41"/>
      <c r="G139" s="41"/>
      <c r="H139" s="41"/>
      <c r="I139" s="41"/>
      <c r="J139" s="41"/>
    </row>
    <row r="140" spans="2:10">
      <c r="D140" s="41"/>
      <c r="E140" s="41"/>
      <c r="F140" s="41"/>
      <c r="G140" s="41"/>
      <c r="H140" s="41"/>
      <c r="I140" s="41"/>
      <c r="J140" s="41"/>
    </row>
    <row r="141" spans="2:10">
      <c r="D141" s="41"/>
      <c r="E141" s="41"/>
      <c r="F141" s="41"/>
      <c r="G141" s="41"/>
      <c r="H141" s="41"/>
      <c r="I141" s="41"/>
      <c r="J141" s="41"/>
    </row>
    <row r="142" spans="2:10">
      <c r="D142" s="41"/>
      <c r="E142" s="41"/>
      <c r="F142" s="41"/>
      <c r="G142" s="41"/>
      <c r="H142" s="41"/>
      <c r="I142" s="41"/>
      <c r="J142" s="41"/>
    </row>
    <row r="143" spans="2:10">
      <c r="D143" s="41"/>
      <c r="E143" s="41"/>
      <c r="F143" s="41"/>
      <c r="G143" s="41"/>
      <c r="H143" s="41"/>
      <c r="I143" s="41"/>
      <c r="J143" s="41"/>
    </row>
    <row r="144" spans="2:10">
      <c r="E144" s="41"/>
      <c r="F144" s="41"/>
      <c r="G144" s="41"/>
      <c r="H144" s="41"/>
      <c r="I144" s="41"/>
      <c r="J144" s="41"/>
    </row>
    <row r="145" spans="5:10">
      <c r="E145" s="41"/>
      <c r="F145" s="41"/>
      <c r="G145" s="41"/>
      <c r="H145" s="41"/>
      <c r="I145" s="41"/>
      <c r="J145" s="41"/>
    </row>
  </sheetData>
  <mergeCells count="1">
    <mergeCell ref="B111:C111"/>
  </mergeCells>
  <phoneticPr fontId="18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D98B-4F93-4580-87FD-028177DA27B4}">
  <sheetPr>
    <tabColor theme="9" tint="0.39997558519241921"/>
  </sheetPr>
  <dimension ref="B1:V131"/>
  <sheetViews>
    <sheetView topLeftCell="A105" workbookViewId="0">
      <selection activeCell="C119" sqref="C119"/>
    </sheetView>
  </sheetViews>
  <sheetFormatPr defaultColWidth="9" defaultRowHeight="14.4"/>
  <cols>
    <col min="1" max="1" width="9" style="37"/>
    <col min="2" max="2" width="34.89453125" style="37" bestFit="1" customWidth="1"/>
    <col min="3" max="3" width="43.47265625" style="37" customWidth="1"/>
    <col min="4" max="4" width="22.7890625" style="37" bestFit="1" customWidth="1"/>
    <col min="5" max="5" width="35.62890625" style="37" bestFit="1" customWidth="1"/>
    <col min="6" max="7" width="21.3671875" style="37" bestFit="1" customWidth="1"/>
    <col min="8" max="8" width="14.26171875" style="37" customWidth="1"/>
    <col min="9" max="9" width="35.15625" style="37" bestFit="1" customWidth="1"/>
    <col min="10" max="10" width="19.47265625" style="37" bestFit="1" customWidth="1"/>
    <col min="11" max="11" width="26.83984375" style="37" bestFit="1" customWidth="1"/>
    <col min="12" max="13" width="11.62890625" style="37" bestFit="1" customWidth="1"/>
    <col min="14" max="14" width="12.05078125" style="37" bestFit="1" customWidth="1"/>
    <col min="15" max="15" width="10.83984375" style="37" bestFit="1" customWidth="1"/>
    <col min="16" max="16" width="9.68359375" style="37" bestFit="1" customWidth="1"/>
    <col min="17" max="18" width="9" style="37"/>
    <col min="19" max="19" width="12.26171875" style="37" bestFit="1" customWidth="1"/>
    <col min="20" max="20" width="11.83984375" style="37" bestFit="1" customWidth="1"/>
    <col min="21" max="22" width="9" style="37"/>
    <col min="23" max="23" width="9.1015625" style="37" bestFit="1" customWidth="1"/>
    <col min="24" max="24" width="10.47265625" style="37" bestFit="1" customWidth="1"/>
    <col min="25" max="16384" width="9" style="37"/>
  </cols>
  <sheetData>
    <row r="1" spans="2:13">
      <c r="M1" s="38"/>
    </row>
    <row r="2" spans="2:13">
      <c r="B2" s="37" t="s">
        <v>78</v>
      </c>
      <c r="M2" s="38"/>
    </row>
    <row r="3" spans="2:13">
      <c r="M3" s="38"/>
    </row>
    <row r="4" spans="2:13">
      <c r="B4" s="39"/>
      <c r="C4" s="40" t="s">
        <v>83</v>
      </c>
      <c r="D4" s="40" t="s">
        <v>84</v>
      </c>
      <c r="M4" s="38"/>
    </row>
    <row r="5" spans="2:13">
      <c r="B5" s="40" t="s">
        <v>72</v>
      </c>
      <c r="C5" s="40">
        <f>SUM(拌客源数据备份!J:J)</f>
        <v>1071473.2499999998</v>
      </c>
      <c r="D5" s="40">
        <f>SUM(拌客源数据备份!J2:J25, 拌客源数据备份!J496:J562)</f>
        <v>145618.28999999995</v>
      </c>
      <c r="M5" s="38"/>
    </row>
    <row r="6" spans="2:13">
      <c r="B6" s="41"/>
      <c r="C6" s="41"/>
      <c r="D6" s="42"/>
      <c r="M6" s="38"/>
    </row>
    <row r="7" spans="2:13">
      <c r="B7" s="41"/>
      <c r="C7" s="41"/>
      <c r="D7" s="42"/>
      <c r="M7" s="38"/>
    </row>
    <row r="8" spans="2:13">
      <c r="B8" s="41"/>
      <c r="C8" s="41"/>
      <c r="D8" s="42"/>
      <c r="M8" s="38"/>
    </row>
    <row r="9" spans="2:13">
      <c r="B9" s="41"/>
      <c r="C9" s="41"/>
      <c r="D9" s="42"/>
      <c r="M9" s="38"/>
    </row>
    <row r="10" spans="2:13">
      <c r="C10" s="43"/>
      <c r="M10" s="38"/>
    </row>
    <row r="11" spans="2:13">
      <c r="C11" s="55" t="s">
        <v>162</v>
      </c>
      <c r="D11" s="55"/>
      <c r="M11" s="38"/>
    </row>
    <row r="12" spans="2:13">
      <c r="B12" s="37" t="s">
        <v>79</v>
      </c>
      <c r="C12" s="37" t="s">
        <v>164</v>
      </c>
      <c r="D12" s="53"/>
      <c r="M12" s="38"/>
    </row>
    <row r="13" spans="2:13">
      <c r="C13" s="37" t="s">
        <v>163</v>
      </c>
      <c r="M13" s="38"/>
    </row>
    <row r="14" spans="2:13">
      <c r="B14" s="39"/>
      <c r="C14" s="40" t="s">
        <v>55</v>
      </c>
      <c r="D14" s="37" t="s">
        <v>150</v>
      </c>
      <c r="E14" s="72">
        <v>1</v>
      </c>
      <c r="F14" s="53"/>
      <c r="G14" s="53"/>
    </row>
    <row r="15" spans="2:13">
      <c r="B15" s="44">
        <v>44013</v>
      </c>
      <c r="C15" s="70">
        <f>SUMIF(拌客源数据备份!A:A, B15, 拌客源数据备份!J:J)</f>
        <v>6001.38</v>
      </c>
      <c r="D15" s="37" t="s">
        <v>149</v>
      </c>
      <c r="E15" s="73">
        <v>2</v>
      </c>
      <c r="F15" s="53"/>
      <c r="G15" s="53"/>
    </row>
    <row r="16" spans="2:13">
      <c r="B16" s="44">
        <v>44019</v>
      </c>
      <c r="C16" s="70">
        <f>SUMIF(拌客源数据备份!$A:$A, B16, 拌客源数据备份!J:J)</f>
        <v>4764.71</v>
      </c>
      <c r="D16" s="37" t="s">
        <v>149</v>
      </c>
      <c r="E16" s="72">
        <v>3</v>
      </c>
      <c r="F16" s="53"/>
      <c r="G16" s="53"/>
    </row>
    <row r="17" spans="2:12">
      <c r="B17" s="44">
        <v>44028</v>
      </c>
      <c r="C17" s="70">
        <f>SUMIF(拌客源数据备份!$A:$A, B17, 拌客源数据备份!J:J)</f>
        <v>11158.91</v>
      </c>
      <c r="D17" s="37" t="s">
        <v>149</v>
      </c>
      <c r="E17" s="73">
        <v>4</v>
      </c>
      <c r="F17" s="53"/>
      <c r="G17" s="53"/>
    </row>
    <row r="18" spans="2:12">
      <c r="B18" s="44">
        <v>44029</v>
      </c>
      <c r="C18" s="70">
        <f>SUMIF(拌客源数据备份!A:A, B18, 拌客源数据备份!J:J)</f>
        <v>10788.41</v>
      </c>
      <c r="D18" s="37" t="s">
        <v>149</v>
      </c>
      <c r="E18" s="72">
        <v>5</v>
      </c>
      <c r="F18" s="53"/>
    </row>
    <row r="19" spans="2:12">
      <c r="B19" s="44">
        <v>44051</v>
      </c>
      <c r="C19" s="70">
        <f>SUMIF(拌客源数据备份!A:A, B19, 拌客源数据备份!J:J)</f>
        <v>1374.4099999999999</v>
      </c>
      <c r="D19" s="41"/>
      <c r="E19" s="42"/>
      <c r="F19" s="53"/>
    </row>
    <row r="20" spans="2:12">
      <c r="B20" s="44">
        <v>44062</v>
      </c>
      <c r="C20" s="70">
        <f>SUMIF(拌客源数据备份!A:A, B20, 拌客源数据备份!J:J)</f>
        <v>2588.69</v>
      </c>
      <c r="D20" s="41"/>
      <c r="E20" s="42"/>
      <c r="F20" s="53"/>
    </row>
    <row r="21" spans="2:12">
      <c r="B21" s="44">
        <v>44064</v>
      </c>
      <c r="C21" s="70">
        <f>SUMIF(拌客源数据备份!A:A, B21, 拌客源数据备份!J:J)</f>
        <v>2118.79</v>
      </c>
      <c r="D21" s="41"/>
      <c r="E21" s="42"/>
      <c r="F21" s="53"/>
    </row>
    <row r="22" spans="2:12">
      <c r="B22" s="44">
        <v>44013</v>
      </c>
      <c r="C22" s="55">
        <f>B22</f>
        <v>44013</v>
      </c>
      <c r="D22" s="37">
        <f>C22</f>
        <v>44013</v>
      </c>
      <c r="E22" s="37">
        <f>D22</f>
        <v>44013</v>
      </c>
    </row>
    <row r="23" spans="2:12">
      <c r="B23" s="46"/>
      <c r="C23" s="41"/>
    </row>
    <row r="24" spans="2:12">
      <c r="B24" s="46"/>
      <c r="C24" s="41" t="s">
        <v>165</v>
      </c>
    </row>
    <row r="25" spans="2:12">
      <c r="C25" s="37" t="s">
        <v>166</v>
      </c>
    </row>
    <row r="26" spans="2:12">
      <c r="C26" s="37" t="s">
        <v>167</v>
      </c>
      <c r="D26" s="37" t="s">
        <v>168</v>
      </c>
    </row>
    <row r="27" spans="2:12">
      <c r="B27" s="37" t="s">
        <v>169</v>
      </c>
    </row>
    <row r="29" spans="2:12">
      <c r="B29" s="39"/>
      <c r="C29" s="40" t="s">
        <v>134</v>
      </c>
      <c r="D29" s="40" t="s">
        <v>170</v>
      </c>
      <c r="E29" s="40" t="s">
        <v>171</v>
      </c>
      <c r="F29" s="41" t="s">
        <v>151</v>
      </c>
      <c r="G29" s="41" t="s">
        <v>152</v>
      </c>
      <c r="H29" s="41" t="s">
        <v>153</v>
      </c>
      <c r="I29" s="41" t="s">
        <v>154</v>
      </c>
      <c r="J29" s="41" t="s">
        <v>172</v>
      </c>
      <c r="K29" s="37" t="s">
        <v>173</v>
      </c>
    </row>
    <row r="30" spans="2:12">
      <c r="B30" s="44">
        <v>44013</v>
      </c>
      <c r="C30" s="40">
        <f>SUMIFS(拌客源数据备份!J:J,拌客源数据备份!A:A,B30,拌客源数据备份!H:H,"美团" )</f>
        <v>1008.28</v>
      </c>
      <c r="D30" s="54">
        <f>C30/SUMIFS(拌客源数据备份!J:J,拌客源数据备份!A:A,B30-1,拌客源数据备份!H:H,"美团" )-1</f>
        <v>8.2182224082600674E-2</v>
      </c>
      <c r="E30" s="54">
        <f>C30/SUMIFS(拌客源数据备份!J:J,拌客源数据备份!A:A,DATE(YEAR(B30),MONTH(B30)-1,DAY(B30)),拌客源数据备份!H:H,"美团")-1</f>
        <v>-0.10886031198904067</v>
      </c>
      <c r="F30" s="74">
        <f>YEAR(B30)</f>
        <v>2020</v>
      </c>
      <c r="G30" s="74">
        <f>MONTH(B30)</f>
        <v>7</v>
      </c>
      <c r="H30" s="74">
        <f>DAY(B30)</f>
        <v>1</v>
      </c>
      <c r="I30" s="55">
        <f>DATE(YEAR(B30),MONTH(B30),DAY(B30))</f>
        <v>44013</v>
      </c>
      <c r="J30" s="55">
        <f>DATE(YEAR(B30),MONTH(B30)-1,DAY(B30))</f>
        <v>43983</v>
      </c>
      <c r="K30" s="75">
        <f>SUMIFS(拌客源数据备份!J:J,拌客源数据备份!A:A,J30,拌客源数据备份!H:H,"美团" )</f>
        <v>1131.45</v>
      </c>
      <c r="L30" s="53"/>
    </row>
    <row r="31" spans="2:12">
      <c r="B31" s="44">
        <v>44014</v>
      </c>
      <c r="C31" s="40">
        <f>SUMIFS(拌客源数据备份!J:J,拌客源数据备份!A:A,B31,拌客源数据备份!H:H,"美团" )</f>
        <v>1023.39</v>
      </c>
      <c r="D31" s="54">
        <f>C31/SUMIFS(拌客源数据备份!J:J,拌客源数据备份!A:A,B31-1,拌客源数据备份!H:H,"美团" )-1</f>
        <v>1.4985916610465333E-2</v>
      </c>
      <c r="E31" s="54">
        <f>C31/SUMIFS(拌客源数据备份!J:J,拌客源数据备份!A:A,DATE(YEAR(B31),MONTH(B31)-1,DAY(B31)),拌客源数据备份!H:H,"美团")-1</f>
        <v>0.21923585546302582</v>
      </c>
      <c r="F31" s="74">
        <f t="shared" ref="F31:F36" si="0">YEAR(B31)</f>
        <v>2020</v>
      </c>
      <c r="G31" s="74">
        <f t="shared" ref="G31:G36" si="1">MONTH(B31)</f>
        <v>7</v>
      </c>
      <c r="H31" s="74">
        <f t="shared" ref="H31:H36" si="2">DAY(B31)</f>
        <v>2</v>
      </c>
      <c r="I31" s="55">
        <f t="shared" ref="I31:I35" si="3">DATE(YEAR(B31),MONTH(B31),DAY(B31))</f>
        <v>44014</v>
      </c>
      <c r="J31" s="55">
        <f t="shared" ref="J31:J36" si="4">DATE(YEAR(B31),MONTH(B31)-1,DAY(B31))</f>
        <v>43984</v>
      </c>
      <c r="K31" s="75">
        <f>SUMIFS(拌客源数据备份!J:J,拌客源数据备份!A:A,J31,拌客源数据备份!H:H,"美团" )</f>
        <v>839.37</v>
      </c>
    </row>
    <row r="32" spans="2:12">
      <c r="B32" s="44">
        <v>44015</v>
      </c>
      <c r="C32" s="40">
        <f>SUMIFS(拌客源数据备份!J:J,拌客源数据备份!A:A,B32,拌客源数据备份!H:H,"美团" )</f>
        <v>999.86</v>
      </c>
      <c r="D32" s="54">
        <f>C32/SUMIFS(拌客源数据备份!J:J,拌客源数据备份!A:A,B32-1,拌客源数据备份!H:H,"美团" )-1</f>
        <v>-2.2992212157632919E-2</v>
      </c>
      <c r="E32" s="54">
        <f>C32/SUMIFS(拌客源数据备份!J:J,拌客源数据备份!A:A,DATE(YEAR(B32),MONTH(B32)-1,DAY(B32)),拌客源数据备份!H:H,"美团")-1</f>
        <v>-0.18069110187893822</v>
      </c>
      <c r="F32" s="74">
        <f t="shared" si="0"/>
        <v>2020</v>
      </c>
      <c r="G32" s="74">
        <f t="shared" si="1"/>
        <v>7</v>
      </c>
      <c r="H32" s="74">
        <f t="shared" si="2"/>
        <v>3</v>
      </c>
      <c r="I32" s="55">
        <f t="shared" si="3"/>
        <v>44015</v>
      </c>
      <c r="J32" s="55">
        <f t="shared" si="4"/>
        <v>43985</v>
      </c>
      <c r="K32" s="75">
        <f>SUMIFS(拌客源数据备份!J:J,拌客源数据备份!A:A,J32,拌客源数据备份!H:H,"美团" )</f>
        <v>1220.3699999999999</v>
      </c>
    </row>
    <row r="33" spans="2:11">
      <c r="B33" s="44">
        <v>44016</v>
      </c>
      <c r="C33" s="40">
        <f>SUMIFS(拌客源数据备份!J:J,拌客源数据备份!A:A,B33,拌客源数据备份!H:H,"美团" )</f>
        <v>1144.82</v>
      </c>
      <c r="D33" s="54">
        <f>C33/SUMIFS(拌客源数据备份!J:J,拌客源数据备份!A:A,B33-1,拌客源数据备份!H:H,"美团" )-1</f>
        <v>0.14498029724161365</v>
      </c>
      <c r="E33" s="54">
        <f>C33/SUMIFS(拌客源数据备份!J:J,拌客源数据备份!A:A,DATE(YEAR(B33),MONTH(B33)-1,DAY(B33)),拌客源数据备份!H:H,"美团")-1</f>
        <v>-0.22352973093957507</v>
      </c>
      <c r="F33" s="74">
        <f t="shared" si="0"/>
        <v>2020</v>
      </c>
      <c r="G33" s="74">
        <f t="shared" si="1"/>
        <v>7</v>
      </c>
      <c r="H33" s="74">
        <f t="shared" si="2"/>
        <v>4</v>
      </c>
      <c r="I33" s="55">
        <f t="shared" si="3"/>
        <v>44016</v>
      </c>
      <c r="J33" s="55">
        <f t="shared" si="4"/>
        <v>43986</v>
      </c>
      <c r="K33" s="75">
        <f>SUMIFS(拌客源数据备份!J:J,拌客源数据备份!A:A,J33,拌客源数据备份!H:H,"美团" )</f>
        <v>1474.39</v>
      </c>
    </row>
    <row r="34" spans="2:11">
      <c r="B34" s="44">
        <v>44017</v>
      </c>
      <c r="C34" s="40">
        <f>SUMIFS(拌客源数据备份!J:J,拌客源数据备份!A:A,B34,拌客源数据备份!H:H,"美团" )</f>
        <v>755.47</v>
      </c>
      <c r="D34" s="54">
        <f>C34/SUMIFS(拌客源数据备份!J:J,拌客源数据备份!A:A,B34-1,拌客源数据备份!H:H,"美团" )-1</f>
        <v>-0.34009713317377399</v>
      </c>
      <c r="E34" s="54">
        <f>C34/SUMIFS(拌客源数据备份!J:J,拌客源数据备份!A:A,DATE(YEAR(B34),MONTH(B34)-1,DAY(B34)),拌客源数据备份!H:H,"美团")-1</f>
        <v>-0.33924291986635635</v>
      </c>
      <c r="F34" s="74">
        <f t="shared" si="0"/>
        <v>2020</v>
      </c>
      <c r="G34" s="74">
        <f t="shared" si="1"/>
        <v>7</v>
      </c>
      <c r="H34" s="74">
        <f t="shared" si="2"/>
        <v>5</v>
      </c>
      <c r="I34" s="55">
        <f t="shared" si="3"/>
        <v>44017</v>
      </c>
      <c r="J34" s="55">
        <f t="shared" si="4"/>
        <v>43987</v>
      </c>
      <c r="K34" s="75">
        <f>SUMIFS(拌客源数据备份!J:J,拌客源数据备份!A:A,J34,拌客源数据备份!H:H,"美团" )</f>
        <v>1143.3399999999999</v>
      </c>
    </row>
    <row r="35" spans="2:11">
      <c r="B35" s="44">
        <v>44044</v>
      </c>
      <c r="C35" s="40">
        <f>SUMIFS(拌客源数据备份!J:J,拌客源数据备份!A:A,B35,拌客源数据备份!H:H,"美团" )</f>
        <v>3387.1000000000004</v>
      </c>
      <c r="D35" s="54">
        <f>C35/SUMIFS(拌客源数据备份!J:J,拌客源数据备份!A:A,B35-1,拌客源数据备份!H:H,"美团" )-1</f>
        <v>-0.41335610328923089</v>
      </c>
      <c r="E35" s="54">
        <f>C35/SUMIFS(拌客源数据备份!J:J,拌客源数据备份!A:A,DATE(YEAR(B35),MONTH(B35)-1,DAY(B35)),拌客源数据备份!H:H,"美团")-1</f>
        <v>2.3592851192129176</v>
      </c>
      <c r="F35" s="74">
        <f t="shared" si="0"/>
        <v>2020</v>
      </c>
      <c r="G35" s="74">
        <f t="shared" si="1"/>
        <v>8</v>
      </c>
      <c r="H35" s="74">
        <f t="shared" si="2"/>
        <v>1</v>
      </c>
      <c r="I35" s="55">
        <f t="shared" si="3"/>
        <v>44044</v>
      </c>
      <c r="J35" s="55">
        <f t="shared" si="4"/>
        <v>44013</v>
      </c>
      <c r="K35" s="75">
        <f>SUMIFS(拌客源数据备份!J:J,拌客源数据备份!A:A,J35,拌客源数据备份!H:H,"美团" )</f>
        <v>1008.28</v>
      </c>
    </row>
    <row r="36" spans="2:11">
      <c r="B36" s="44">
        <v>44048</v>
      </c>
      <c r="C36" s="40">
        <f>SUMIFS(拌客源数据备份!J:J,拌客源数据备份!A:A,B36,拌客源数据备份!H:H,"美团" )</f>
        <v>1817.37</v>
      </c>
      <c r="D36" s="54">
        <f>C36/SUMIFS(拌客源数据备份!J:J,拌客源数据备份!A:A,B36-1,拌客源数据备份!H:H,"美团" )-1</f>
        <v>0.12391465677179947</v>
      </c>
      <c r="E36" s="54">
        <f>C36/SUMIFS(拌客源数据备份!J:J,拌客源数据备份!A:A,DATE(YEAR(B36),MONTH(B36)-1,DAY(B36)),拌客源数据备份!H:H,"美团")-1</f>
        <v>1.4056150475862705</v>
      </c>
      <c r="F36" s="74">
        <f t="shared" si="0"/>
        <v>2020</v>
      </c>
      <c r="G36" s="74">
        <f t="shared" si="1"/>
        <v>8</v>
      </c>
      <c r="H36" s="74">
        <f t="shared" si="2"/>
        <v>5</v>
      </c>
      <c r="I36" s="55">
        <f>DATE(YEAR(B36),MONTH(B36),DAY(B36))</f>
        <v>44048</v>
      </c>
      <c r="J36" s="55">
        <f t="shared" si="4"/>
        <v>44017</v>
      </c>
      <c r="K36" s="75">
        <f>SUMIFS(拌客源数据备份!J:J,拌客源数据备份!A:A,J36,拌客源数据备份!H:H,"美团" )</f>
        <v>755.47</v>
      </c>
    </row>
    <row r="37" spans="2:11">
      <c r="F37" s="56"/>
    </row>
    <row r="38" spans="2:11">
      <c r="B38" s="39"/>
      <c r="C38" s="40" t="s">
        <v>134</v>
      </c>
      <c r="D38" s="40" t="s">
        <v>174</v>
      </c>
      <c r="E38" s="41" t="s">
        <v>156</v>
      </c>
      <c r="F38" s="41" t="s">
        <v>157</v>
      </c>
      <c r="G38" s="41" t="s">
        <v>158</v>
      </c>
    </row>
    <row r="39" spans="2:11">
      <c r="B39" s="47">
        <v>43831</v>
      </c>
      <c r="C39" s="70">
        <f>SUMIFS(拌客源数据备份!J:J,拌客源数据备份!H:H,"美团",拌客源数据备份!A:A,"&gt;="&amp;DATE(YEAR(B39),MONTH(B39),1),拌客源数据备份!A:A,"&lt;="&amp;DATE(YEAR(B39),MONTH(B39)+1,1)-1)</f>
        <v>6787.9800000000005</v>
      </c>
      <c r="D39" s="57" t="e">
        <f>C39/SUMIFS(拌客源数据备份!J:J,拌客源数据备份!H:H,"美团",拌客源数据备份!A:A,"&gt;="&amp;DATE(YEAR(B39),MONTH(B39)-1,1),拌客源数据备份!A:A,"&lt;="&amp;DATE(YEAR(B39),MONTH(B39),1)-1) -1</f>
        <v>#DIV/0!</v>
      </c>
      <c r="E39" s="58">
        <f>DATE(YEAR(B39),MONTH(B39),1)</f>
        <v>43831</v>
      </c>
      <c r="F39" s="76">
        <f>DATE(YEAR(B39),MONTH(B39),30)</f>
        <v>43860</v>
      </c>
      <c r="G39" s="55">
        <f>DATE(YEAR(B39),MONTH(B39)+1,1)-1</f>
        <v>43861</v>
      </c>
    </row>
    <row r="40" spans="2:11">
      <c r="B40" s="47">
        <v>43862</v>
      </c>
      <c r="C40" s="70">
        <f>SUMIFS(拌客源数据备份!J:J,拌客源数据备份!H:H,"美团",拌客源数据备份!A:A,"&gt;="&amp;DATE(YEAR(B40),MONTH(B40),1),拌客源数据备份!A:A,"&lt;="&amp;DATE(YEAR(B40),MONTH(B40)+1,1)-1)</f>
        <v>2678.62</v>
      </c>
      <c r="D40" s="57">
        <f>C40/SUMIFS(拌客源数据备份!J:J,拌客源数据备份!H:H,"美团",拌客源数据备份!A:A,"&gt;="&amp;DATE(YEAR(B40),MONTH(B40)-1,1),拌客源数据备份!A:A,"&lt;="&amp;DATE(YEAR(B40),MONTH(B40),1)-1) -1</f>
        <v>-0.60538775895037999</v>
      </c>
      <c r="E40" s="58">
        <f t="shared" ref="E40:E46" si="5">DATE(YEAR(B40),MONTH(B40),1)</f>
        <v>43862</v>
      </c>
      <c r="F40" s="76">
        <f t="shared" ref="F40:F46" si="6">DATE(YEAR(B40),MONTH(B40),30)</f>
        <v>43891</v>
      </c>
      <c r="G40" s="55">
        <f t="shared" ref="G40:G46" si="7">DATE(YEAR(B40),MONTH(B40)+1,1)-1</f>
        <v>43890</v>
      </c>
    </row>
    <row r="41" spans="2:11">
      <c r="B41" s="47">
        <v>43891</v>
      </c>
      <c r="C41" s="70">
        <f>SUMIFS(拌客源数据备份!J:J,拌客源数据备份!H:H,"美团",拌客源数据备份!A:A,"&gt;="&amp;DATE(YEAR(B41),MONTH(B41),1),拌客源数据备份!A:A,"&lt;="&amp;DATE(YEAR(B41),MONTH(B41)+1,1)-1)</f>
        <v>24829.310000000009</v>
      </c>
      <c r="D41" s="57">
        <f>C41/SUMIFS(拌客源数据备份!J:J,拌客源数据备份!H:H,"美团",拌客源数据备份!A:A,"&gt;="&amp;DATE(YEAR(B41),MONTH(B41)-1,1),拌客源数据备份!A:A,"&lt;="&amp;DATE(YEAR(B41),MONTH(B41),1)-1) -1</f>
        <v>8.2694409808035516</v>
      </c>
      <c r="E41" s="58">
        <f t="shared" si="5"/>
        <v>43891</v>
      </c>
      <c r="F41" s="76">
        <f t="shared" si="6"/>
        <v>43920</v>
      </c>
      <c r="G41" s="55">
        <f t="shared" si="7"/>
        <v>43921</v>
      </c>
    </row>
    <row r="42" spans="2:11">
      <c r="B42" s="47">
        <v>43922</v>
      </c>
      <c r="C42" s="70">
        <f>SUMIFS(拌客源数据备份!J:J,拌客源数据备份!H:H,"美团",拌客源数据备份!A:A,"&gt;="&amp;DATE(YEAR(B42),MONTH(B42),1),拌客源数据备份!A:A,"&lt;="&amp;DATE(YEAR(B42),MONTH(B42)+1,1)-1)</f>
        <v>38698.99</v>
      </c>
      <c r="D42" s="57">
        <f>C42/SUMIFS(拌客源数据备份!J:J,拌客源数据备份!H:H,"美团",拌客源数据备份!A:A,"&gt;="&amp;DATE(YEAR(B42),MONTH(B42)-1,1),拌客源数据备份!A:A,"&lt;="&amp;DATE(YEAR(B42),MONTH(B42),1)-1) -1</f>
        <v>0.55860110490384085</v>
      </c>
      <c r="E42" s="58">
        <f t="shared" si="5"/>
        <v>43922</v>
      </c>
      <c r="F42" s="55">
        <f t="shared" si="6"/>
        <v>43951</v>
      </c>
      <c r="G42" s="55">
        <f t="shared" si="7"/>
        <v>43951</v>
      </c>
    </row>
    <row r="43" spans="2:11">
      <c r="B43" s="47">
        <v>43952</v>
      </c>
      <c r="C43" s="70">
        <f>SUMIFS(拌客源数据备份!J:J,拌客源数据备份!H:H,"美团",拌客源数据备份!A:A,"&gt;="&amp;DATE(YEAR(B43),MONTH(B43),1),拌客源数据备份!A:A,"&lt;="&amp;DATE(YEAR(B43),MONTH(B43)+1,1)-1)</f>
        <v>30397.779999999995</v>
      </c>
      <c r="D43" s="57">
        <f>C43/SUMIFS(拌客源数据备份!J:J,拌客源数据备份!H:H,"美团",拌客源数据备份!A:A,"&gt;="&amp;DATE(YEAR(B43),MONTH(B43)-1,1),拌客源数据备份!A:A,"&lt;="&amp;DATE(YEAR(B43),MONTH(B43),1)-1) -1</f>
        <v>-0.21450714863617892</v>
      </c>
      <c r="E43" s="58">
        <f t="shared" si="5"/>
        <v>43952</v>
      </c>
      <c r="F43" s="76">
        <f t="shared" si="6"/>
        <v>43981</v>
      </c>
      <c r="G43" s="55">
        <f t="shared" si="7"/>
        <v>43982</v>
      </c>
    </row>
    <row r="44" spans="2:11">
      <c r="B44" s="47">
        <v>43983</v>
      </c>
      <c r="C44" s="70">
        <f>SUMIFS(拌客源数据备份!J:J,拌客源数据备份!H:H,"美团",拌客源数据备份!A:A,"&gt;="&amp;DATE(YEAR(B44),MONTH(B44),1),拌客源数据备份!A:A,"&lt;="&amp;DATE(YEAR(B44),MONTH(B44)+1,1)-1)</f>
        <v>26037.540000000005</v>
      </c>
      <c r="D44" s="57">
        <f>C44/SUMIFS(拌客源数据备份!J:J,拌客源数据备份!H:H,"美团",拌客源数据备份!A:A,"&gt;="&amp;DATE(YEAR(B44),MONTH(B44)-1,1),拌客源数据备份!A:A,"&lt;="&amp;DATE(YEAR(B44),MONTH(B44),1)-1) -1</f>
        <v>-0.14343942222096451</v>
      </c>
      <c r="E44" s="58">
        <f t="shared" si="5"/>
        <v>43983</v>
      </c>
      <c r="F44" s="55">
        <f t="shared" si="6"/>
        <v>44012</v>
      </c>
      <c r="G44" s="55">
        <f t="shared" si="7"/>
        <v>44012</v>
      </c>
    </row>
    <row r="45" spans="2:11">
      <c r="B45" s="47">
        <v>44013</v>
      </c>
      <c r="C45" s="70">
        <f>SUMIFS(拌客源数据备份!J:J,拌客源数据备份!H:H,"美团",拌客源数据备份!A:A,"&gt;="&amp;DATE(YEAR(B45),MONTH(B45),1),拌客源数据备份!A:A,"&lt;="&amp;DATE(YEAR(B45),MONTH(B45)+1,1)-1)</f>
        <v>133045.43</v>
      </c>
      <c r="D45" s="57">
        <f>C45/SUMIFS(拌客源数据备份!J:J,拌客源数据备份!H:H,"美团",拌客源数据备份!A:A,"&gt;="&amp;DATE(YEAR(B45),MONTH(B45)-1,1),拌客源数据备份!A:A,"&lt;="&amp;DATE(YEAR(B45),MONTH(B45),1)-1) -1</f>
        <v>4.1097542240933658</v>
      </c>
      <c r="E45" s="58">
        <f t="shared" si="5"/>
        <v>44013</v>
      </c>
      <c r="F45" s="76">
        <f t="shared" si="6"/>
        <v>44042</v>
      </c>
      <c r="G45" s="55">
        <f t="shared" si="7"/>
        <v>44043</v>
      </c>
    </row>
    <row r="46" spans="2:11">
      <c r="B46" s="47">
        <v>44044</v>
      </c>
      <c r="C46" s="70">
        <f>SUMIFS(拌客源数据备份!J:J,拌客源数据备份!H:H,"美团",拌客源数据备份!A:A,"&gt;="&amp;DATE(YEAR(B46),MONTH(B46),1),拌客源数据备份!A:A,"&lt;="&amp;DATE(YEAR(B46),MONTH(B46)+1,1)-1)</f>
        <v>42659.520000000004</v>
      </c>
      <c r="D46" s="57">
        <f>C46/SUMIFS(拌客源数据备份!J:J,拌客源数据备份!H:H,"美团",拌客源数据备份!A:A,"&gt;="&amp;DATE(YEAR(B46),MONTH(B46)-1,1),拌客源数据备份!A:A,"&lt;="&amp;DATE(YEAR(B46),MONTH(B46),1)-1) -1</f>
        <v>-0.67936125276907289</v>
      </c>
      <c r="E46" s="58">
        <f t="shared" si="5"/>
        <v>44044</v>
      </c>
      <c r="F46" s="76">
        <f t="shared" si="6"/>
        <v>44073</v>
      </c>
      <c r="G46" s="55">
        <f t="shared" si="7"/>
        <v>44074</v>
      </c>
    </row>
    <row r="47" spans="2:11">
      <c r="B47" s="48"/>
      <c r="C47" s="71"/>
      <c r="D47" s="42"/>
      <c r="E47" s="42"/>
    </row>
    <row r="48" spans="2:11">
      <c r="B48" s="48"/>
      <c r="C48" s="42"/>
      <c r="D48" s="42"/>
      <c r="E48" s="42"/>
    </row>
    <row r="49" spans="2:5">
      <c r="B49" s="48"/>
      <c r="C49" s="42"/>
      <c r="D49" s="42"/>
      <c r="E49" s="42"/>
    </row>
    <row r="52" spans="2:5">
      <c r="B52" s="37" t="s">
        <v>81</v>
      </c>
    </row>
    <row r="54" spans="2:5">
      <c r="B54" s="39"/>
      <c r="C54" s="40" t="s">
        <v>88</v>
      </c>
      <c r="D54" s="40" t="s">
        <v>89</v>
      </c>
    </row>
    <row r="55" spans="2:5">
      <c r="B55" s="40" t="s">
        <v>55</v>
      </c>
      <c r="C55" s="39">
        <f>SUM(拌客源数据备份!J:J)</f>
        <v>1071473.2499999998</v>
      </c>
      <c r="D55" s="39">
        <f>SUBTOTAL(9, 拌客源数据备份!J:J)</f>
        <v>1071473.2499999998</v>
      </c>
    </row>
    <row r="56" spans="2:5">
      <c r="B56" s="41"/>
      <c r="C56" s="42"/>
      <c r="D56" s="42"/>
    </row>
    <row r="57" spans="2:5">
      <c r="B57" s="41"/>
      <c r="C57" s="42"/>
      <c r="D57" s="42"/>
    </row>
    <row r="58" spans="2:5">
      <c r="B58" s="41"/>
      <c r="C58" s="42"/>
      <c r="D58" s="42"/>
    </row>
    <row r="61" spans="2:5">
      <c r="B61" s="37" t="s">
        <v>82</v>
      </c>
    </row>
    <row r="63" spans="2:5">
      <c r="B63" s="40" t="s">
        <v>98</v>
      </c>
      <c r="C63" s="40" t="s">
        <v>55</v>
      </c>
      <c r="D63" s="40" t="s">
        <v>100</v>
      </c>
      <c r="E63" s="49"/>
    </row>
    <row r="64" spans="2:5">
      <c r="B64" s="40" t="s">
        <v>90</v>
      </c>
      <c r="C64" s="40">
        <v>64233.369999999995</v>
      </c>
      <c r="D64" s="40" t="str">
        <f>IF(C64&gt;100000,"yes","no")</f>
        <v>no</v>
      </c>
      <c r="E64" s="49"/>
    </row>
    <row r="65" spans="2:11">
      <c r="B65" s="40" t="s">
        <v>91</v>
      </c>
      <c r="C65" s="40">
        <v>32755.710000000006</v>
      </c>
      <c r="D65" s="40" t="str">
        <f t="shared" ref="D65:D71" si="8">IF(C65&gt;100000,"yes","no")</f>
        <v>no</v>
      </c>
      <c r="E65" s="49"/>
    </row>
    <row r="66" spans="2:11">
      <c r="B66" s="40" t="s">
        <v>92</v>
      </c>
      <c r="C66" s="40">
        <v>78895.689999999988</v>
      </c>
      <c r="D66" s="40" t="str">
        <f t="shared" si="8"/>
        <v>no</v>
      </c>
      <c r="E66" s="49"/>
    </row>
    <row r="67" spans="2:11">
      <c r="B67" s="40" t="s">
        <v>93</v>
      </c>
      <c r="C67" s="40">
        <v>108307.06999999999</v>
      </c>
      <c r="D67" s="40" t="str">
        <f t="shared" si="8"/>
        <v>yes</v>
      </c>
      <c r="E67" s="49"/>
    </row>
    <row r="68" spans="2:11">
      <c r="B68" s="40" t="s">
        <v>94</v>
      </c>
      <c r="C68" s="40">
        <v>194276.97</v>
      </c>
      <c r="D68" s="40" t="str">
        <f t="shared" si="8"/>
        <v>yes</v>
      </c>
      <c r="E68" s="49"/>
    </row>
    <row r="69" spans="2:11">
      <c r="B69" s="40" t="s">
        <v>95</v>
      </c>
      <c r="C69" s="40">
        <v>255727.79000000007</v>
      </c>
      <c r="D69" s="40" t="str">
        <f t="shared" si="8"/>
        <v>yes</v>
      </c>
      <c r="E69" s="49"/>
    </row>
    <row r="70" spans="2:11">
      <c r="B70" s="40" t="s">
        <v>96</v>
      </c>
      <c r="C70" s="40">
        <v>255891.73</v>
      </c>
      <c r="D70" s="40" t="str">
        <f t="shared" si="8"/>
        <v>yes</v>
      </c>
      <c r="E70" s="49"/>
      <c r="K70" s="37" t="s">
        <v>181</v>
      </c>
    </row>
    <row r="71" spans="2:11">
      <c r="B71" s="40" t="s">
        <v>97</v>
      </c>
      <c r="C71" s="40">
        <v>81384.920000000013</v>
      </c>
      <c r="D71" s="40" t="str">
        <f t="shared" si="8"/>
        <v>no</v>
      </c>
      <c r="E71" s="49"/>
      <c r="J71" s="37" t="s">
        <v>177</v>
      </c>
      <c r="K71" s="37" t="s">
        <v>180</v>
      </c>
    </row>
    <row r="72" spans="2:11">
      <c r="B72" s="41"/>
      <c r="C72" s="41"/>
      <c r="D72" s="41"/>
      <c r="E72" s="49"/>
      <c r="I72" s="37" t="s">
        <v>175</v>
      </c>
    </row>
    <row r="73" spans="2:11">
      <c r="B73" s="41"/>
      <c r="C73" s="41"/>
      <c r="D73" s="41"/>
      <c r="E73" s="49"/>
      <c r="J73" s="37" t="s">
        <v>176</v>
      </c>
      <c r="K73" s="37" t="s">
        <v>179</v>
      </c>
    </row>
    <row r="74" spans="2:11">
      <c r="B74" s="41"/>
      <c r="C74" s="41"/>
      <c r="D74" s="41"/>
      <c r="E74" s="49"/>
      <c r="K74" s="37" t="s">
        <v>178</v>
      </c>
    </row>
    <row r="76" spans="2:11">
      <c r="J76" s="37" t="s">
        <v>182</v>
      </c>
    </row>
    <row r="77" spans="2:11">
      <c r="B77" s="37" t="s">
        <v>101</v>
      </c>
    </row>
    <row r="78" spans="2:11">
      <c r="I78" s="37" t="s">
        <v>109</v>
      </c>
    </row>
    <row r="79" spans="2:11">
      <c r="B79" s="40" t="s">
        <v>98</v>
      </c>
      <c r="C79" s="40" t="s">
        <v>55</v>
      </c>
      <c r="D79" s="40" t="s">
        <v>99</v>
      </c>
      <c r="E79" s="39" t="s">
        <v>102</v>
      </c>
      <c r="I79" s="40" t="s">
        <v>106</v>
      </c>
      <c r="J79" s="40" t="s">
        <v>107</v>
      </c>
      <c r="K79" s="40" t="s">
        <v>108</v>
      </c>
    </row>
    <row r="80" spans="2:11">
      <c r="B80" s="40" t="s">
        <v>90</v>
      </c>
      <c r="C80" s="40">
        <v>64233.369999999995</v>
      </c>
      <c r="D80" s="40">
        <v>3344.24</v>
      </c>
      <c r="E80" s="40" t="str">
        <f>IF(C80&gt;100000, IF(D80&lt;5000, "月目标达标, 花费达标", "月目标达标, 花费不达标"), IF(D80&lt;5000, "月目标不达标, 花费达标", "月目标不达标, 花费不达标"))</f>
        <v>月目标不达标, 花费达标</v>
      </c>
      <c r="I80" s="40">
        <v>0</v>
      </c>
      <c r="J80" s="40">
        <v>0</v>
      </c>
      <c r="K80" s="40" t="str">
        <f>IF(I80=0, IF(J80=0, "A&amp;B=0","A=0, B不=0"), IF(J80=0, "A不=0, B=0","A&amp;B不=0"))</f>
        <v>A&amp;B=0</v>
      </c>
    </row>
    <row r="81" spans="2:21">
      <c r="B81" s="40" t="s">
        <v>91</v>
      </c>
      <c r="C81" s="40">
        <v>32755.710000000006</v>
      </c>
      <c r="D81" s="40">
        <v>902.87</v>
      </c>
      <c r="E81" s="40" t="str">
        <f t="shared" ref="E81:E87" si="9">IF(C81&gt;100000, IF(D81&lt;5000, "月目标达标, 花费达标", "月目标达标, 花费不达标"), IF(D81&lt;5000, "月目标不达标, 花费达标", "月目标不达标, 花费不达标"))</f>
        <v>月目标不达标, 花费达标</v>
      </c>
      <c r="I81" s="40">
        <v>1</v>
      </c>
      <c r="J81" s="40">
        <v>0</v>
      </c>
      <c r="K81" s="40" t="str">
        <f t="shared" ref="K81:K83" si="10">IF(I81=0, IF(J81=0, "A&amp;B=0","A=0, B不=0"), IF(J81=0, "A不=0, B=0","A&amp;B不=0"))</f>
        <v>A不=0, B=0</v>
      </c>
    </row>
    <row r="82" spans="2:21">
      <c r="B82" s="40" t="s">
        <v>92</v>
      </c>
      <c r="C82" s="40">
        <v>78895.689999999988</v>
      </c>
      <c r="D82" s="40">
        <v>2645.3200000000006</v>
      </c>
      <c r="E82" s="40" t="str">
        <f t="shared" si="9"/>
        <v>月目标不达标, 花费达标</v>
      </c>
      <c r="I82" s="40">
        <v>1</v>
      </c>
      <c r="J82" s="40">
        <v>1</v>
      </c>
      <c r="K82" s="40" t="str">
        <f t="shared" si="10"/>
        <v>A&amp;B不=0</v>
      </c>
    </row>
    <row r="83" spans="2:21">
      <c r="B83" s="40" t="s">
        <v>93</v>
      </c>
      <c r="C83" s="40">
        <v>108307.06999999999</v>
      </c>
      <c r="D83" s="40">
        <v>4513.12</v>
      </c>
      <c r="E83" s="40" t="str">
        <f t="shared" si="9"/>
        <v>月目标达标, 花费达标</v>
      </c>
      <c r="I83" s="40">
        <v>0</v>
      </c>
      <c r="J83" s="40">
        <v>1</v>
      </c>
      <c r="K83" s="40" t="str">
        <f t="shared" si="10"/>
        <v>A=0, B不=0</v>
      </c>
    </row>
    <row r="84" spans="2:21">
      <c r="B84" s="40" t="s">
        <v>94</v>
      </c>
      <c r="C84" s="40">
        <v>194276.97</v>
      </c>
      <c r="D84" s="40">
        <v>11804.4</v>
      </c>
      <c r="E84" s="40" t="str">
        <f t="shared" si="9"/>
        <v>月目标达标, 花费不达标</v>
      </c>
    </row>
    <row r="85" spans="2:21">
      <c r="B85" s="40" t="s">
        <v>95</v>
      </c>
      <c r="C85" s="40">
        <v>255727.79000000007</v>
      </c>
      <c r="D85" s="40">
        <v>8302.5300000000007</v>
      </c>
      <c r="E85" s="40" t="str">
        <f t="shared" si="9"/>
        <v>月目标达标, 花费不达标</v>
      </c>
    </row>
    <row r="86" spans="2:21">
      <c r="B86" s="40" t="s">
        <v>96</v>
      </c>
      <c r="C86" s="40">
        <v>255891.73</v>
      </c>
      <c r="D86" s="40">
        <v>13616.330000000004</v>
      </c>
      <c r="E86" s="40" t="str">
        <f t="shared" si="9"/>
        <v>月目标达标, 花费不达标</v>
      </c>
    </row>
    <row r="87" spans="2:21">
      <c r="B87" s="40" t="s">
        <v>97</v>
      </c>
      <c r="C87" s="40">
        <v>81384.920000000013</v>
      </c>
      <c r="D87" s="40">
        <v>3680.309999999999</v>
      </c>
      <c r="E87" s="40" t="str">
        <f t="shared" si="9"/>
        <v>月目标不达标, 花费达标</v>
      </c>
    </row>
    <row r="88" spans="2:21">
      <c r="B88" s="41"/>
      <c r="C88" s="41"/>
      <c r="D88" s="41"/>
      <c r="E88" s="40"/>
    </row>
    <row r="89" spans="2:21">
      <c r="B89" s="41"/>
      <c r="C89" s="41"/>
      <c r="D89" s="41"/>
      <c r="E89" s="42"/>
    </row>
    <row r="90" spans="2:21">
      <c r="B90" s="41"/>
      <c r="C90" s="41"/>
      <c r="D90" s="41"/>
      <c r="E90" s="42"/>
    </row>
    <row r="93" spans="2:21">
      <c r="B93" s="37" t="s">
        <v>105</v>
      </c>
      <c r="C93" s="37" t="s">
        <v>183</v>
      </c>
    </row>
    <row r="94" spans="2:21">
      <c r="F94" s="37" t="s">
        <v>121</v>
      </c>
      <c r="I94" s="37" t="s">
        <v>130</v>
      </c>
      <c r="J94" s="37" t="s">
        <v>184</v>
      </c>
      <c r="S94" s="37" t="s">
        <v>118</v>
      </c>
    </row>
    <row r="95" spans="2:21">
      <c r="B95" s="40" t="s">
        <v>103</v>
      </c>
      <c r="C95" s="40" t="s">
        <v>104</v>
      </c>
      <c r="D95" s="41"/>
      <c r="E95" s="41"/>
      <c r="F95" s="40" t="s">
        <v>122</v>
      </c>
      <c r="G95" s="40" t="s">
        <v>117</v>
      </c>
      <c r="I95" s="40" t="s">
        <v>124</v>
      </c>
      <c r="J95" s="40" t="s">
        <v>125</v>
      </c>
      <c r="O95" s="40" t="s">
        <v>103</v>
      </c>
      <c r="P95" s="40" t="s">
        <v>55</v>
      </c>
      <c r="Q95" s="41"/>
      <c r="R95" s="41"/>
      <c r="S95" s="40" t="s">
        <v>110</v>
      </c>
      <c r="T95" s="40" t="s">
        <v>113</v>
      </c>
      <c r="U95" s="40" t="s">
        <v>117</v>
      </c>
    </row>
    <row r="96" spans="2:21">
      <c r="B96" s="50" t="s">
        <v>46</v>
      </c>
      <c r="C96" s="40" t="str">
        <f>VLOOKUP(B96,'拌客源数据1-8月'!D:E,2,0)</f>
        <v>宝山店</v>
      </c>
      <c r="D96" s="41" t="str">
        <f>VLOOKUP(B96, 拌客源数据备份!D:E, 2, 0)</f>
        <v>宝山店</v>
      </c>
      <c r="E96" s="41"/>
      <c r="F96" s="40" t="s">
        <v>129</v>
      </c>
      <c r="G96" s="40">
        <v>1</v>
      </c>
      <c r="I96" s="40" t="s">
        <v>114</v>
      </c>
      <c r="J96" s="40">
        <f>VLOOKUP(I96&amp;"*", F96:G103, 2, 0)</f>
        <v>1</v>
      </c>
      <c r="O96" s="50" t="s">
        <v>46</v>
      </c>
      <c r="P96" s="39">
        <f>VLOOKUP(O96&amp;"*",$N$106:$O$115,2,0)</f>
        <v>273854.58</v>
      </c>
      <c r="Q96" s="42"/>
      <c r="R96" s="42"/>
      <c r="S96" s="40" t="s">
        <v>106</v>
      </c>
      <c r="T96" s="40" t="s">
        <v>114</v>
      </c>
      <c r="U96" s="40">
        <v>1</v>
      </c>
    </row>
    <row r="97" spans="2:22">
      <c r="B97" s="50" t="s">
        <v>47</v>
      </c>
      <c r="C97" s="40" t="str">
        <f>VLOOKUP(B97,'拌客源数据1-8月'!D:E,2,0)</f>
        <v>五角场店</v>
      </c>
      <c r="D97" s="41" t="str">
        <f>VLOOKUP(B97, 拌客源数据备份!D:E, 2, 0)</f>
        <v>五角场店</v>
      </c>
      <c r="E97" s="41"/>
      <c r="F97" s="40" t="s">
        <v>127</v>
      </c>
      <c r="G97" s="40">
        <v>2</v>
      </c>
      <c r="I97" s="41" t="s">
        <v>185</v>
      </c>
      <c r="J97" s="40">
        <f>VLOOKUP(I97&amp;"*", F97:G104, 2, 0)</f>
        <v>3</v>
      </c>
      <c r="O97" s="50" t="s">
        <v>47</v>
      </c>
      <c r="P97" s="39">
        <f t="shared" ref="P97:P103" si="11">VLOOKUP(O97&amp;"*",$N$106:$O$115,2,0)</f>
        <v>16838.82</v>
      </c>
      <c r="Q97" s="42"/>
      <c r="R97" s="42"/>
      <c r="S97" s="40" t="s">
        <v>106</v>
      </c>
      <c r="T97" s="40" t="s">
        <v>115</v>
      </c>
      <c r="U97" s="40">
        <v>2</v>
      </c>
    </row>
    <row r="98" spans="2:22">
      <c r="B98" s="50" t="s">
        <v>44</v>
      </c>
      <c r="C98" s="40" t="str">
        <f>VLOOKUP(B98,'拌客源数据1-8月'!D:E,2,0)</f>
        <v>龙阳广场店</v>
      </c>
      <c r="D98" s="41" t="str">
        <f>VLOOKUP(B98, 拌客源数据备份!D:E, 2, 0)</f>
        <v>龙阳广场店</v>
      </c>
      <c r="E98" s="41"/>
      <c r="F98" s="40" t="s">
        <v>126</v>
      </c>
      <c r="G98" s="40">
        <v>3</v>
      </c>
      <c r="I98" s="37" t="s">
        <v>187</v>
      </c>
      <c r="J98" s="37" t="s">
        <v>186</v>
      </c>
      <c r="O98" s="50" t="s">
        <v>44</v>
      </c>
      <c r="P98" s="39">
        <f t="shared" si="11"/>
        <v>6452.04</v>
      </c>
      <c r="Q98" s="42"/>
      <c r="R98" s="42"/>
      <c r="S98" s="40" t="s">
        <v>107</v>
      </c>
      <c r="T98" s="40" t="s">
        <v>116</v>
      </c>
      <c r="U98" s="40">
        <v>3</v>
      </c>
    </row>
    <row r="99" spans="2:22">
      <c r="B99" s="50" t="s">
        <v>45</v>
      </c>
      <c r="C99" s="40" t="str">
        <f>VLOOKUP(B99,'拌客源数据1-8月'!D:E,2,0)</f>
        <v>五角场店</v>
      </c>
      <c r="D99" s="41" t="str">
        <f>VLOOKUP(B99, 拌客源数据备份!D:E, 2, 0)</f>
        <v>五角场店</v>
      </c>
      <c r="E99" s="41"/>
      <c r="F99" s="40" t="s">
        <v>138</v>
      </c>
      <c r="G99" s="40">
        <v>4</v>
      </c>
      <c r="I99" s="40" t="s">
        <v>115</v>
      </c>
      <c r="J99" s="40">
        <f>VLOOKUP(I99&amp;"??", F96:G103, 2, 0)</f>
        <v>7</v>
      </c>
      <c r="O99" s="50" t="s">
        <v>45</v>
      </c>
      <c r="P99" s="39">
        <f t="shared" si="11"/>
        <v>60286.000000000022</v>
      </c>
      <c r="Q99" s="42"/>
      <c r="R99" s="42"/>
      <c r="S99" s="40" t="s">
        <v>107</v>
      </c>
      <c r="T99" s="40" t="s">
        <v>116</v>
      </c>
      <c r="U99" s="40">
        <v>4</v>
      </c>
    </row>
    <row r="100" spans="2:22">
      <c r="B100" s="50" t="s">
        <v>48</v>
      </c>
      <c r="C100" s="40" t="str">
        <f>VLOOKUP(B100,'拌客源数据1-8月'!D:E,2,0)</f>
        <v>怒江路店</v>
      </c>
      <c r="D100" s="41" t="str">
        <f>VLOOKUP(B100, 拌客源数据备份!D:E, 2, 0)</f>
        <v>怒江路店</v>
      </c>
      <c r="E100" s="41"/>
      <c r="F100" s="40" t="s">
        <v>139</v>
      </c>
      <c r="G100" s="40">
        <v>5</v>
      </c>
      <c r="I100" s="37" t="s">
        <v>188</v>
      </c>
      <c r="J100" s="37" t="s">
        <v>189</v>
      </c>
      <c r="O100" s="50" t="s">
        <v>48</v>
      </c>
      <c r="P100" s="39">
        <f t="shared" si="11"/>
        <v>4313.57</v>
      </c>
      <c r="Q100" s="42"/>
      <c r="R100" s="42"/>
      <c r="S100" s="40" t="s">
        <v>107</v>
      </c>
      <c r="T100" s="40" t="s">
        <v>114</v>
      </c>
      <c r="U100" s="40">
        <v>5</v>
      </c>
    </row>
    <row r="101" spans="2:22">
      <c r="B101" s="50" t="s">
        <v>49</v>
      </c>
      <c r="C101" s="40" t="str">
        <f>VLOOKUP(B101,'拌客源数据1-8月'!D:E,2,0)</f>
        <v>宝山店</v>
      </c>
      <c r="D101" s="41" t="str">
        <f>VLOOKUP(B101, 拌客源数据备份!D:E, 2, 0)</f>
        <v>宝山店</v>
      </c>
      <c r="E101" s="41"/>
      <c r="F101" s="40" t="s">
        <v>119</v>
      </c>
      <c r="G101" s="40">
        <v>6</v>
      </c>
      <c r="I101" s="41" t="s">
        <v>146</v>
      </c>
      <c r="J101" s="37">
        <f>VLOOKUP(I101&amp;"???", F96:G103, 2,0)</f>
        <v>8</v>
      </c>
      <c r="O101" s="50" t="s">
        <v>49</v>
      </c>
      <c r="P101" s="39">
        <f t="shared" si="11"/>
        <v>169975.03999999998</v>
      </c>
      <c r="Q101" s="42"/>
      <c r="R101" s="42"/>
      <c r="S101" s="40" t="s">
        <v>111</v>
      </c>
      <c r="T101" s="40" t="s">
        <v>114</v>
      </c>
      <c r="U101" s="40">
        <v>6</v>
      </c>
    </row>
    <row r="102" spans="2:22">
      <c r="B102" s="50" t="s">
        <v>50</v>
      </c>
      <c r="C102" s="40" t="str">
        <f>VLOOKUP(B102,'拌客源数据1-8月'!D:E,2,0)</f>
        <v>拌客干拌麻辣烫(武宁路店)</v>
      </c>
      <c r="D102" s="41" t="str">
        <f>VLOOKUP(B102, 拌客源数据备份!D:E, 2, 0)</f>
        <v>拌客干拌麻辣烫(武宁路店)</v>
      </c>
      <c r="E102" s="41"/>
      <c r="F102" s="40" t="s">
        <v>120</v>
      </c>
      <c r="G102" s="40">
        <v>7</v>
      </c>
      <c r="O102" s="50" t="s">
        <v>50</v>
      </c>
      <c r="P102" s="39">
        <f t="shared" si="11"/>
        <v>425745.45999999996</v>
      </c>
      <c r="Q102" s="42"/>
      <c r="R102" s="42"/>
      <c r="S102" s="40" t="s">
        <v>111</v>
      </c>
      <c r="T102" s="40" t="s">
        <v>114</v>
      </c>
      <c r="U102" s="40">
        <v>7</v>
      </c>
    </row>
    <row r="103" spans="2:22">
      <c r="B103" s="50" t="s">
        <v>51</v>
      </c>
      <c r="C103" s="40" t="str">
        <f>VLOOKUP(B103,'拌客源数据1-8月'!D:E,2,0)</f>
        <v>拌客干拌麻辣烫(武宁路店)</v>
      </c>
      <c r="D103" s="41" t="str">
        <f>VLOOKUP(B103, 拌客源数据备份!D:E, 2, 0)</f>
        <v>拌客干拌麻辣烫(武宁路店)</v>
      </c>
      <c r="E103" s="41"/>
      <c r="F103" s="40" t="s">
        <v>160</v>
      </c>
      <c r="G103" s="40">
        <v>8</v>
      </c>
      <c r="O103" s="50" t="s">
        <v>51</v>
      </c>
      <c r="P103" s="39">
        <f t="shared" si="11"/>
        <v>114007.74</v>
      </c>
      <c r="Q103" s="42"/>
      <c r="R103" s="42"/>
      <c r="S103" s="40" t="s">
        <v>112</v>
      </c>
      <c r="T103" s="40" t="s">
        <v>115</v>
      </c>
      <c r="U103" s="40">
        <v>8</v>
      </c>
    </row>
    <row r="104" spans="2:22">
      <c r="B104" s="51"/>
      <c r="C104" s="41"/>
      <c r="D104" s="41"/>
      <c r="E104" s="41"/>
      <c r="F104" s="41"/>
      <c r="G104" s="41"/>
      <c r="O104" s="51"/>
      <c r="P104" s="42"/>
      <c r="Q104" s="42"/>
      <c r="R104" s="42"/>
      <c r="S104" s="41"/>
      <c r="T104" s="41"/>
      <c r="U104" s="41"/>
    </row>
    <row r="105" spans="2:22">
      <c r="B105" s="51"/>
      <c r="C105" s="41"/>
      <c r="D105" s="41"/>
      <c r="E105" s="41"/>
      <c r="F105" s="41"/>
      <c r="G105" s="41"/>
      <c r="O105"/>
      <c r="P105"/>
      <c r="Q105"/>
      <c r="R105" s="42"/>
      <c r="S105" s="59" t="s">
        <v>190</v>
      </c>
      <c r="T105" t="s">
        <v>192</v>
      </c>
      <c r="U105"/>
    </row>
    <row r="106" spans="2:22">
      <c r="B106" s="51"/>
      <c r="C106" s="41"/>
      <c r="D106" s="41"/>
      <c r="E106" s="41"/>
      <c r="F106" s="41"/>
      <c r="G106" s="41"/>
      <c r="N106" s="59" t="s">
        <v>190</v>
      </c>
      <c r="O106" t="s">
        <v>193</v>
      </c>
      <c r="P106"/>
      <c r="Q106"/>
      <c r="R106" s="42"/>
      <c r="S106" s="60" t="s">
        <v>140</v>
      </c>
      <c r="T106" s="61">
        <v>1.5</v>
      </c>
      <c r="U106"/>
    </row>
    <row r="107" spans="2:22">
      <c r="N107" s="60" t="s">
        <v>45</v>
      </c>
      <c r="O107" s="61">
        <v>60286.000000000022</v>
      </c>
      <c r="P107"/>
      <c r="Q107"/>
      <c r="S107" s="62" t="s">
        <v>145</v>
      </c>
      <c r="T107" s="61">
        <v>1</v>
      </c>
      <c r="U107"/>
    </row>
    <row r="108" spans="2:22">
      <c r="C108" s="37" t="s">
        <v>194</v>
      </c>
      <c r="N108" s="60" t="s">
        <v>46</v>
      </c>
      <c r="O108" s="61">
        <v>273854.58</v>
      </c>
      <c r="P108"/>
      <c r="Q108"/>
      <c r="S108" s="62" t="s">
        <v>146</v>
      </c>
      <c r="T108" s="61">
        <v>2</v>
      </c>
      <c r="U108"/>
    </row>
    <row r="109" spans="2:22">
      <c r="B109" s="37" t="s">
        <v>133</v>
      </c>
      <c r="C109" s="37" t="s">
        <v>195</v>
      </c>
      <c r="N109" s="60" t="s">
        <v>44</v>
      </c>
      <c r="O109" s="61">
        <v>6452.04</v>
      </c>
      <c r="P109"/>
      <c r="Q109"/>
      <c r="S109" s="60" t="s">
        <v>141</v>
      </c>
      <c r="T109" s="61">
        <v>4</v>
      </c>
      <c r="U109"/>
      <c r="V109"/>
    </row>
    <row r="110" spans="2:22">
      <c r="C110" s="37" t="s">
        <v>196</v>
      </c>
      <c r="G110" s="37" t="s">
        <v>197</v>
      </c>
      <c r="N110" s="60" t="s">
        <v>50</v>
      </c>
      <c r="O110" s="61">
        <v>425745.45999999996</v>
      </c>
      <c r="P110"/>
      <c r="Q110"/>
      <c r="S110" s="62" t="s">
        <v>145</v>
      </c>
      <c r="T110" s="61">
        <v>5</v>
      </c>
      <c r="U110"/>
      <c r="V110"/>
    </row>
    <row r="111" spans="2:22">
      <c r="B111" s="68" t="s">
        <v>11</v>
      </c>
      <c r="C111" s="69"/>
      <c r="D111" s="40" t="s">
        <v>103</v>
      </c>
      <c r="E111" s="40" t="s">
        <v>131</v>
      </c>
      <c r="F111" s="40" t="s">
        <v>132</v>
      </c>
      <c r="G111" s="40" t="s">
        <v>55</v>
      </c>
      <c r="H111" s="40" t="s">
        <v>74</v>
      </c>
      <c r="I111" s="40" t="s">
        <v>75</v>
      </c>
      <c r="J111" s="41"/>
      <c r="N111" s="60" t="s">
        <v>48</v>
      </c>
      <c r="O111" s="61">
        <v>4313.57</v>
      </c>
      <c r="P111"/>
      <c r="Q111"/>
      <c r="S111" s="62" t="s">
        <v>147</v>
      </c>
      <c r="T111" s="61">
        <v>3.5</v>
      </c>
      <c r="U111"/>
      <c r="V111"/>
    </row>
    <row r="112" spans="2:22">
      <c r="B112" s="68" t="s">
        <v>29</v>
      </c>
      <c r="C112" s="69"/>
      <c r="D112" s="40" t="str">
        <f>INDEX(拌客源数据备份!$A:$X,MATCH($B112, 拌客源数据备份!$I:$I,0),MATCH(D$111, 拌客源数据备份!$1:$1, 0))</f>
        <v>2001104355</v>
      </c>
      <c r="E112" s="40" t="str">
        <f>INDEX(拌客源数据备份!$A:$X,MATCH($B112, 拌客源数据备份!$I:$I,0),MATCH(E$111, 拌客源数据备份!$1:$1, 0))</f>
        <v>蛙小辣火锅杯（总账号）</v>
      </c>
      <c r="F112" s="40">
        <f>INDEX(拌客源数据备份!$A:$X,MATCH($B112, 拌客源数据备份!$I:$I,0),MATCH(F$111, 拌客源数据备份!$1:$1, 0))</f>
        <v>4636</v>
      </c>
      <c r="G112" s="40">
        <f>SUMIFS(INDEX(拌客源数据备份!$A:$X,0,MATCH(G$111, 拌客源数据备份!$1:$1,0)),拌客源数据备份!$I:$I, $B112)</f>
        <v>116343.26000000004</v>
      </c>
      <c r="H112" s="40">
        <f>SUMIFS(INDEX(拌客源数据备份!$A:$X,0,MATCH(H$111, 拌客源数据备份!$1:$1,0)),拌客源数据备份!$I:$I, $B112)</f>
        <v>11204</v>
      </c>
      <c r="I112" s="40">
        <f>SUMIFS(INDEX(拌客源数据备份!$A:$X,0,MATCH(I$111, 拌客源数据备份!$1:$1,0)),拌客源数据备份!$I:$I, $B112)</f>
        <v>1646</v>
      </c>
      <c r="J112" s="41"/>
      <c r="N112" s="60" t="s">
        <v>47</v>
      </c>
      <c r="O112" s="61">
        <v>16838.82</v>
      </c>
      <c r="P112"/>
      <c r="Q112"/>
      <c r="S112" s="60" t="s">
        <v>142</v>
      </c>
      <c r="T112" s="61">
        <v>6.5</v>
      </c>
      <c r="U112"/>
      <c r="V112"/>
    </row>
    <row r="113" spans="2:21">
      <c r="B113" s="68" t="s">
        <v>23</v>
      </c>
      <c r="C113" s="69"/>
      <c r="D113" s="40" t="str">
        <f>INDEX(拌客源数据备份!$A:$X,MATCH($B113, 拌客源数据备份!$I:$I,0),MATCH(D$111, 拌客源数据备份!$1:$1, 0))</f>
        <v>8184590</v>
      </c>
      <c r="E113" s="40" t="str">
        <f>INDEX(拌客源数据备份!$A:$X,MATCH($B113, 拌客源数据备份!$I:$I,0),MATCH(E$111, 拌客源数据备份!$1:$1, 0))</f>
        <v>蛙小辣火锅杯（总账号）</v>
      </c>
      <c r="F113" s="40">
        <f>INDEX(拌客源数据备份!$A:$X,MATCH($B113, 拌客源数据备份!$I:$I,0),MATCH(F$111, 拌客源数据备份!$A$1:$X$1, 0))</f>
        <v>4636</v>
      </c>
      <c r="G113" s="40">
        <f>SUMIFS(INDEX(拌客源数据备份!$A:$X,0,MATCH(G$111, 拌客源数据备份!$1:$1,0)),拌客源数据备份!$I:$I, $B113)</f>
        <v>6787.9800000000005</v>
      </c>
      <c r="H113" s="40">
        <f>SUMIFS(INDEX(拌客源数据备份!$A:$X,0,MATCH(H$111, 拌客源数据备份!$1:$1,0)),拌客源数据备份!$I:$I, $B113)</f>
        <v>775</v>
      </c>
      <c r="I113" s="40">
        <f>SUMIFS(INDEX(拌客源数据备份!$A:$X,0,MATCH(I$111, 拌客源数据备份!$1:$1,0)),拌客源数据备份!$I:$I, $B113)</f>
        <v>113</v>
      </c>
      <c r="J113" s="41"/>
      <c r="N113" s="60" t="s">
        <v>49</v>
      </c>
      <c r="O113" s="61">
        <v>169975.03999999998</v>
      </c>
      <c r="P113"/>
      <c r="Q113"/>
      <c r="S113" s="62" t="s">
        <v>145</v>
      </c>
      <c r="T113" s="61">
        <v>6.5</v>
      </c>
      <c r="U113"/>
    </row>
    <row r="114" spans="2:21">
      <c r="B114" s="68" t="s">
        <v>32</v>
      </c>
      <c r="C114" s="69"/>
      <c r="D114" s="40" t="str">
        <f>INDEX(拌客源数据备份!$A:$X,MATCH($B114, 拌客源数据备份!$I:$I,0),MATCH(D$111, 拌客源数据备份!$1:$1, 0))</f>
        <v>305225345</v>
      </c>
      <c r="E114" s="40" t="str">
        <f>INDEX(拌客源数据备份!$A:$X,MATCH($B114, 拌客源数据备份!$I:$I,0),MATCH(E$111, 拌客源数据备份!$1:$1, 0))</f>
        <v>蛙小辣火锅杯（总账号）</v>
      </c>
      <c r="F114" s="40">
        <f>INDEX(拌客源数据备份!$A:$X,MATCH($B114, 拌客源数据备份!$I:$I,0),MATCH(F$111, 拌客源数据备份!$A$1:$X$1, 0))</f>
        <v>4636</v>
      </c>
      <c r="G114" s="40">
        <f>SUMIFS(INDEX(拌客源数据备份!$A:$X,0,MATCH(G$111, 拌客源数据备份!$1:$1,0)),拌客源数据备份!$I:$I, $B114)</f>
        <v>6452.04</v>
      </c>
      <c r="H114" s="40">
        <f>SUMIFS(INDEX(拌客源数据备份!$A:$X,0,MATCH(H$111, 拌客源数据备份!$1:$1,0)),拌客源数据备份!$I:$I, $B114)</f>
        <v>590</v>
      </c>
      <c r="I114" s="40">
        <f>SUMIFS(INDEX(拌客源数据备份!$A:$X,0,MATCH(I$111, 拌客源数据备份!$1:$1,0)),拌客源数据备份!$I:$I, $B114)</f>
        <v>108</v>
      </c>
      <c r="J114" s="41"/>
      <c r="N114" s="60" t="s">
        <v>51</v>
      </c>
      <c r="O114" s="61">
        <v>114007.74</v>
      </c>
      <c r="P114"/>
      <c r="Q114"/>
      <c r="S114" s="60" t="s">
        <v>143</v>
      </c>
      <c r="T114" s="61">
        <v>8</v>
      </c>
      <c r="U114"/>
    </row>
    <row r="115" spans="2:21">
      <c r="B115" s="68" t="s">
        <v>30</v>
      </c>
      <c r="C115" s="69"/>
      <c r="D115" s="40" t="str">
        <f>INDEX(拌客源数据备份!$A:$X,MATCH($B115, 拌客源数据备份!$I:$I,0),MATCH(D$111, 拌客源数据备份!$1:$1, 0))</f>
        <v>2000507076</v>
      </c>
      <c r="E115" s="40" t="str">
        <f>INDEX(拌客源数据备份!$A:$X,MATCH($B115, 拌客源数据备份!$I:$I,0),MATCH(E$111, 拌客源数据备份!$1:$1, 0))</f>
        <v>蛙小辣火锅杯（总账号）</v>
      </c>
      <c r="F115" s="40">
        <f>INDEX(拌客源数据备份!$A:$X,MATCH($B115, 拌客源数据备份!$I:$I,0),MATCH(F$111, 拌客源数据备份!$A$1:$X$1, 0))</f>
        <v>4636</v>
      </c>
      <c r="G115" s="40">
        <f>SUMIFS(INDEX(拌客源数据备份!$A:$X,0,MATCH(G$111, 拌客源数据备份!$1:$1,0)),拌客源数据备份!$I:$I, $B115)</f>
        <v>33744.82</v>
      </c>
      <c r="H115" s="40">
        <f>SUMIFS(INDEX(拌客源数据备份!$A:$X,0,MATCH(H$111, 拌客源数据备份!$1:$1,0)),拌客源数据备份!$I:$I, $B115)</f>
        <v>2490</v>
      </c>
      <c r="I115" s="40">
        <f>SUMIFS(INDEX(拌客源数据备份!$A:$X,0,MATCH(I$111, 拌客源数据备份!$1:$1,0)),拌客源数据备份!$I:$I, $B115)</f>
        <v>512</v>
      </c>
      <c r="J115" s="41"/>
      <c r="N115" s="60" t="s">
        <v>191</v>
      </c>
      <c r="O115" s="61">
        <v>1071473.2499999998</v>
      </c>
      <c r="P115"/>
      <c r="Q115"/>
      <c r="S115" s="62" t="s">
        <v>146</v>
      </c>
      <c r="T115" s="61">
        <v>8</v>
      </c>
      <c r="U115"/>
    </row>
    <row r="116" spans="2:21">
      <c r="B116" s="68" t="s">
        <v>25</v>
      </c>
      <c r="C116" s="69"/>
      <c r="D116" s="40" t="str">
        <f>INDEX(拌客源数据备份!$A:$X,MATCH($B116, 拌客源数据备份!$I:$I,0),MATCH(D$111, 拌客源数据备份!$1:$1, 0))</f>
        <v>8106681</v>
      </c>
      <c r="E116" s="40" t="str">
        <f>INDEX(拌客源数据备份!$A:$X,MATCH($B116, 拌客源数据备份!$I:$I,0),MATCH(E$111, 拌客源数据备份!$1:$1, 0))</f>
        <v>蛙小辣火锅杯（总账号）</v>
      </c>
      <c r="F116" s="40">
        <f>INDEX(拌客源数据备份!$A:$X,MATCH($B116, 拌客源数据备份!$I:$I,0),MATCH(F$111, 拌客源数据备份!$A$1:$X$1, 0))</f>
        <v>4636</v>
      </c>
      <c r="G116" s="40">
        <f>SUMIFS(INDEX(拌客源数据备份!$A:$X,0,MATCH(G$111, 拌客源数据备份!$1:$1,0)),拌客源数据备份!$I:$I, $B116)</f>
        <v>4313.57</v>
      </c>
      <c r="H116" s="40">
        <f>SUMIFS(INDEX(拌客源数据备份!$A:$X,0,MATCH(H$111, 拌客源数据备份!$1:$1,0)),拌客源数据备份!$I:$I, $B116)</f>
        <v>367</v>
      </c>
      <c r="I116" s="40">
        <f>SUMIFS(INDEX(拌客源数据备份!$A:$X,0,MATCH(I$111, 拌客源数据备份!$1:$1,0)),拌客源数据备份!$I:$I, $B116)</f>
        <v>66</v>
      </c>
      <c r="J116" s="41"/>
      <c r="N116"/>
      <c r="O116"/>
      <c r="P116"/>
      <c r="Q116"/>
      <c r="S116" s="60" t="s">
        <v>191</v>
      </c>
      <c r="T116" s="61">
        <v>4.5</v>
      </c>
      <c r="U116"/>
    </row>
    <row r="117" spans="2:21">
      <c r="B117" s="68" t="s">
        <v>34</v>
      </c>
      <c r="C117" s="69"/>
      <c r="D117" s="40" t="str">
        <f>INDEX(拌客源数据备份!$A:$X,MATCH($B117, 拌客源数据备份!$I:$I,0),MATCH(D$111, 拌客源数据备份!$1:$1, 0))</f>
        <v>8491999</v>
      </c>
      <c r="E117" s="40" t="str">
        <f>INDEX(拌客源数据备份!$A:$X,MATCH($B117, 拌客源数据备份!$I:$I,0),MATCH(E$111, 拌客源数据备份!$1:$1, 0))</f>
        <v>蛙小辣火锅杯（总账号）</v>
      </c>
      <c r="F117" s="40">
        <f>INDEX(拌客源数据备份!$A:$X,MATCH($B117, 拌客源数据备份!$I:$I,0),MATCH(F$111, 拌客源数据备份!$A$1:$X$1, 0))</f>
        <v>4636</v>
      </c>
      <c r="G117" s="40">
        <f>SUMIFS(INDEX(拌客源数据备份!$A:$X,0,MATCH(G$111, 拌客源数据备份!$1:$1,0)),拌客源数据备份!$I:$I, $B117)</f>
        <v>169975.03999999998</v>
      </c>
      <c r="H117" s="40">
        <f>SUMIFS(INDEX(拌客源数据备份!$A:$X,0,MATCH(H$111, 拌客源数据备份!$1:$1,0)),拌客源数据备份!$I:$I, $B117)</f>
        <v>15813</v>
      </c>
      <c r="I117" s="40">
        <f>SUMIFS(INDEX(拌客源数据备份!$A:$X,0,MATCH(I$111, 拌客源数据备份!$1:$1,0)),拌客源数据备份!$I:$I, $B117)</f>
        <v>2969</v>
      </c>
      <c r="J117" s="41"/>
      <c r="N117"/>
      <c r="O117"/>
      <c r="P117"/>
      <c r="Q117"/>
      <c r="S117"/>
      <c r="T117"/>
      <c r="U117"/>
    </row>
    <row r="118" spans="2:21">
      <c r="B118" s="68" t="s">
        <v>33</v>
      </c>
      <c r="C118" s="69"/>
      <c r="D118" s="40" t="str">
        <f>INDEX(拌客源数据备份!$A:$X,MATCH($B118, 拌客源数据备份!$I:$I,0),MATCH(D$111, 拌客源数据备份!$1:$1, 0))</f>
        <v>8184590</v>
      </c>
      <c r="E118" s="40" t="str">
        <f>INDEX(拌客源数据备份!$A:$X,MATCH($B118, 拌客源数据备份!$I:$I,0),MATCH(E$111, 拌客源数据备份!$1:$1, 0))</f>
        <v>蛙小辣火锅杯（总账号）</v>
      </c>
      <c r="F118" s="40">
        <f>INDEX(拌客源数据备份!$A:$X,MATCH($B118, 拌客源数据备份!$I:$I,0),MATCH(F$111, 拌客源数据备份!$A$1:$X$1, 0))</f>
        <v>4636</v>
      </c>
      <c r="G118" s="40">
        <f>SUMIFS(INDEX(拌客源数据备份!$A:$X,0,MATCH(G$111, 拌客源数据备份!$1:$1,0)),拌客源数据备份!$I:$I, $B118)</f>
        <v>9368.7099999999973</v>
      </c>
      <c r="H118" s="40">
        <f>SUMIFS(INDEX(拌客源数据备份!$A:$X,0,MATCH(H$111, 拌客源数据备份!$1:$1,0)),拌客源数据备份!$I:$I, $B118)</f>
        <v>791</v>
      </c>
      <c r="I118" s="40">
        <f>SUMIFS(INDEX(拌客源数据备份!$A:$X,0,MATCH(I$111, 拌客源数据备份!$1:$1,0)),拌客源数据备份!$I:$I, $B118)</f>
        <v>154</v>
      </c>
      <c r="J118" s="41"/>
      <c r="N118"/>
      <c r="O118"/>
      <c r="P118"/>
      <c r="Q118"/>
      <c r="S118"/>
      <c r="T118"/>
      <c r="U118"/>
    </row>
    <row r="119" spans="2:21">
      <c r="B119" s="68" t="s">
        <v>35</v>
      </c>
      <c r="C119" s="69"/>
      <c r="D119" s="40" t="str">
        <f>INDEX(拌客源数据备份!$A:$X,MATCH($B119, 拌客源数据备份!$I:$I,0),MATCH(D$111, 拌客源数据备份!$1:$1, 0))</f>
        <v>2000507076</v>
      </c>
      <c r="E119" s="40" t="str">
        <f>INDEX(拌客源数据备份!$A:$X,MATCH($B119, 拌客源数据备份!$I:$I,0),MATCH(E$111, 拌客源数据备份!$1:$1, 0))</f>
        <v>蛙小辣火锅杯（总账号）</v>
      </c>
      <c r="F119" s="40">
        <f>INDEX(拌客源数据备份!$A:$X,MATCH($B119, 拌客源数据备份!$I:$I,0),MATCH(F$111, 拌客源数据备份!$A$1:$X$1, 0))</f>
        <v>4636</v>
      </c>
      <c r="G119" s="40">
        <f>SUMIFS(INDEX(拌客源数据备份!$A:$X,0,MATCH(G$111, 拌客源数据备份!$1:$1,0)),拌客源数据备份!$I:$I, $B119)</f>
        <v>784.71</v>
      </c>
      <c r="H119" s="40">
        <f>SUMIFS(INDEX(拌客源数据备份!$A:$X,0,MATCH(H$111, 拌客源数据备份!$1:$1,0)),拌客源数据备份!$I:$I, $B119)</f>
        <v>48</v>
      </c>
      <c r="I119" s="40">
        <f>SUMIFS(INDEX(拌客源数据备份!$A:$X,0,MATCH(I$111, 拌客源数据备份!$1:$1,0)),拌客源数据备份!$I:$I, $B119)</f>
        <v>11</v>
      </c>
      <c r="J119" s="41"/>
      <c r="N119"/>
      <c r="O119"/>
      <c r="P119"/>
      <c r="Q119"/>
      <c r="S119"/>
      <c r="T119"/>
      <c r="U119"/>
    </row>
    <row r="120" spans="2:21">
      <c r="B120" s="68" t="s">
        <v>36</v>
      </c>
      <c r="C120" s="69"/>
      <c r="D120" s="40" t="str">
        <f>INDEX(拌客源数据备份!$A:$X,MATCH($B120, 拌客源数据备份!$I:$I,0),MATCH(D$111, 拌客源数据备份!$1:$1, 0))</f>
        <v>2000507076</v>
      </c>
      <c r="E120" s="40" t="str">
        <f>INDEX(拌客源数据备份!$A:$X,MATCH($B120, 拌客源数据备份!$I:$I,0),MATCH(E$111, 拌客源数据备份!$1:$1, 0))</f>
        <v>蛙小辣火锅杯（总账号）</v>
      </c>
      <c r="F120" s="40">
        <f>INDEX(拌客源数据备份!$A:$X,MATCH($B120, 拌客源数据备份!$I:$I,0),MATCH(F$111, 拌客源数据备份!$A$1:$X$1, 0))</f>
        <v>4636</v>
      </c>
      <c r="G120" s="40">
        <f>SUMIFS(INDEX(拌客源数据备份!$A:$X,0,MATCH(G$111, 拌客源数据备份!$1:$1,0)),拌客源数据备份!$I:$I, $B120)</f>
        <v>11932.99</v>
      </c>
      <c r="H120" s="40">
        <f>SUMIFS(INDEX(拌客源数据备份!$A:$X,0,MATCH(H$111, 拌客源数据备份!$1:$1,0)),拌客源数据备份!$I:$I, $B120)</f>
        <v>699</v>
      </c>
      <c r="I120" s="40">
        <f>SUMIFS(INDEX(拌客源数据备份!$A:$X,0,MATCH(I$111, 拌客源数据备份!$1:$1,0)),拌客源数据备份!$I:$I, $B120)</f>
        <v>167</v>
      </c>
      <c r="J120" s="41"/>
      <c r="N120"/>
      <c r="O120"/>
      <c r="P120"/>
      <c r="Q120"/>
      <c r="S120"/>
      <c r="T120"/>
      <c r="U120"/>
    </row>
    <row r="121" spans="2:21">
      <c r="B121" s="68" t="s">
        <v>37</v>
      </c>
      <c r="C121" s="69"/>
      <c r="D121" s="40" t="str">
        <f>INDEX(拌客源数据备份!$A:$X,MATCH($B121, 拌客源数据备份!$I:$I,0),MATCH(D$111, 拌客源数据备份!$1:$1, 0))</f>
        <v>2001104355</v>
      </c>
      <c r="E121" s="40" t="str">
        <f>INDEX(拌客源数据备份!$A:$X,MATCH($B121, 拌客源数据备份!$I:$I,0),MATCH(E$111, 拌客源数据备份!$1:$1, 0))</f>
        <v>蛙小辣火锅杯（总账号）</v>
      </c>
      <c r="F121" s="40">
        <f>INDEX(拌客源数据备份!$A:$X,MATCH($B121, 拌客源数据备份!$I:$I,0),MATCH(F$111, 拌客源数据备份!$A$1:$X$1, 0))</f>
        <v>4636</v>
      </c>
      <c r="G121" s="40">
        <f>SUMIFS(INDEX(拌客源数据备份!$A:$X,0,MATCH(G$111, 拌客源数据备份!$1:$1,0)),拌客源数据备份!$I:$I, $B121)</f>
        <v>157511.31999999995</v>
      </c>
      <c r="H121" s="40">
        <f>SUMIFS(INDEX(拌客源数据备份!$A:$X,0,MATCH(H$111, 拌客源数据备份!$1:$1,0)),拌客源数据备份!$I:$I, $B121)</f>
        <v>10924</v>
      </c>
      <c r="I121" s="40">
        <f>SUMIFS(INDEX(拌客源数据备份!$A:$X,0,MATCH(I$111, 拌客源数据备份!$1:$1,0)),拌客源数据备份!$I:$I, $B121)</f>
        <v>2362</v>
      </c>
      <c r="J121" s="41"/>
      <c r="N121"/>
      <c r="O121"/>
      <c r="P121"/>
      <c r="Q121"/>
      <c r="S121"/>
      <c r="T121"/>
      <c r="U121"/>
    </row>
    <row r="122" spans="2:21">
      <c r="B122" s="68" t="s">
        <v>38</v>
      </c>
      <c r="C122" s="69"/>
      <c r="D122" s="40" t="str">
        <f>INDEX(拌客源数据备份!$A:$X,MATCH($B122, 拌客源数据备份!$I:$I,0),MATCH(D$111, 拌客源数据备份!$1:$1, 0))</f>
        <v>2000507076</v>
      </c>
      <c r="E122" s="40" t="str">
        <f>INDEX(拌客源数据备份!$A:$X,MATCH($B122, 拌客源数据备份!$I:$I,0),MATCH(E$111, 拌客源数据备份!$1:$1, 0))</f>
        <v>蛙小辣火锅杯（总账号）</v>
      </c>
      <c r="F122" s="40">
        <f>INDEX(拌客源数据备份!$A:$X,MATCH($B122, 拌客源数据备份!$I:$I,0),MATCH(F$111, 拌客源数据备份!$A$1:$X$1, 0))</f>
        <v>4636</v>
      </c>
      <c r="G122" s="40">
        <f>SUMIFS(INDEX(拌客源数据备份!$A:$X,0,MATCH(G$111, 拌客源数据备份!$1:$1,0)),拌客源数据备份!$I:$I, $B122)</f>
        <v>13823.480000000001</v>
      </c>
      <c r="H122" s="40">
        <f>SUMIFS(INDEX(拌客源数据备份!$A:$X,0,MATCH(H$111, 拌客源数据备份!$1:$1,0)),拌客源数据备份!$I:$I, $B122)</f>
        <v>849</v>
      </c>
      <c r="I122" s="40">
        <f>SUMIFS(INDEX(拌客源数据备份!$A:$X,0,MATCH(I$111, 拌客源数据备份!$1:$1,0)),拌客源数据备份!$I:$I, $B122)</f>
        <v>205</v>
      </c>
      <c r="J122" s="41"/>
      <c r="N122"/>
      <c r="O122"/>
      <c r="P122"/>
      <c r="Q122"/>
      <c r="S122"/>
      <c r="T122"/>
      <c r="U122"/>
    </row>
    <row r="123" spans="2:21">
      <c r="B123" s="68" t="s">
        <v>39</v>
      </c>
      <c r="C123" s="69"/>
      <c r="D123" s="40" t="str">
        <f>INDEX(拌客源数据备份!$A:$X,MATCH($B123, 拌客源数据备份!$I:$I,0),MATCH(D$111, 拌客源数据备份!$1:$1, 0))</f>
        <v>8184590</v>
      </c>
      <c r="E123" s="40" t="str">
        <f>INDEX(拌客源数据备份!$A:$X,MATCH($B123, 拌客源数据备份!$I:$I,0),MATCH(E$111, 拌客源数据备份!$1:$1, 0))</f>
        <v>蛙小辣火锅杯（总账号）</v>
      </c>
      <c r="F123" s="40">
        <f>INDEX(拌客源数据备份!$A:$X,MATCH($B123, 拌客源数据备份!$I:$I,0),MATCH(F$111, 拌客源数据备份!$A$1:$X$1, 0))</f>
        <v>4636</v>
      </c>
      <c r="G123" s="40">
        <f>SUMIFS(INDEX(拌客源数据备份!$A:$X,0,MATCH(G$111, 拌客源数据备份!$1:$1,0)),拌客源数据备份!$I:$I, $B123)</f>
        <v>682.13</v>
      </c>
      <c r="H123" s="40">
        <f>SUMIFS(INDEX(拌客源数据备份!$A:$X,0,MATCH(H$111, 拌客源数据备份!$1:$1,0)),拌客源数据备份!$I:$I, $B123)</f>
        <v>45</v>
      </c>
      <c r="I123" s="40">
        <f>SUMIFS(INDEX(拌客源数据备份!$A:$X,0,MATCH(I$111, 拌客源数据备份!$1:$1,0)),拌客源数据备份!$I:$I, $B123)</f>
        <v>8</v>
      </c>
      <c r="J123" s="41"/>
      <c r="N123"/>
      <c r="O123"/>
      <c r="P123"/>
      <c r="Q123"/>
    </row>
    <row r="124" spans="2:21">
      <c r="B124" s="68" t="s">
        <v>41</v>
      </c>
      <c r="C124" s="69"/>
      <c r="D124" s="40" t="str">
        <f>INDEX(拌客源数据备份!$A:$X,MATCH($B124, 拌客源数据备份!$I:$I,0),MATCH(D$111, 拌客源数据备份!$1:$1, 0))</f>
        <v>337460136</v>
      </c>
      <c r="E124" s="40" t="str">
        <f>INDEX(拌客源数据备份!$A:$X,MATCH($B124, 拌客源数据备份!$I:$I,0),MATCH(E$111, 拌客源数据备份!$1:$1, 0))</f>
        <v>拌客（武宁路店）</v>
      </c>
      <c r="F124" s="40">
        <f>INDEX(拌客源数据备份!$A:$X,MATCH($B124, 拌客源数据备份!$I:$I,0),MATCH(F$111, 拌客源数据备份!$A$1:$X$1, 0))</f>
        <v>6108</v>
      </c>
      <c r="G124" s="40">
        <f>SUMIFS(INDEX(拌客源数据备份!$A:$X,0,MATCH(G$111, 拌客源数据备份!$1:$1,0)),拌客源数据备份!$I:$I, $B124)</f>
        <v>3913.76</v>
      </c>
      <c r="H124" s="40">
        <f>SUMIFS(INDEX(拌客源数据备份!$A:$X,0,MATCH(H$111, 拌客源数据备份!$1:$1,0)),拌客源数据备份!$I:$I, $B124)</f>
        <v>441</v>
      </c>
      <c r="I124" s="40">
        <f>SUMIFS(INDEX(拌客源数据备份!$A:$X,0,MATCH(I$111, 拌客源数据备份!$1:$1,0)),拌客源数据备份!$I:$I, $B124)</f>
        <v>72</v>
      </c>
      <c r="J124" s="41"/>
      <c r="O124"/>
      <c r="P124"/>
      <c r="Q124"/>
    </row>
    <row r="125" spans="2:21">
      <c r="B125" s="68" t="s">
        <v>42</v>
      </c>
      <c r="C125" s="69"/>
      <c r="D125" s="40" t="str">
        <f>INDEX(拌客源数据备份!$A:$X,MATCH($B125, 拌客源数据备份!$I:$I,0),MATCH(D$111, 拌客源数据备份!$1:$1, 0))</f>
        <v>337460136</v>
      </c>
      <c r="E125" s="40" t="str">
        <f>INDEX(拌客源数据备份!$A:$X,MATCH($B125, 拌客源数据备份!$I:$I,0),MATCH(E$111, 拌客源数据备份!$1:$1, 0))</f>
        <v>拌客（武宁路店）</v>
      </c>
      <c r="F125" s="40">
        <f>INDEX(拌客源数据备份!$A:$X,MATCH($B125, 拌客源数据备份!$I:$I,0),MATCH(F$111, 拌客源数据备份!$A$1:$X$1, 0))</f>
        <v>6108</v>
      </c>
      <c r="G125" s="40">
        <f>SUMIFS(INDEX(拌客源数据备份!$A:$X,0,MATCH(G$111, 拌客源数据备份!$1:$1,0)),拌客源数据备份!$I:$I, $B125)</f>
        <v>421831.69999999995</v>
      </c>
      <c r="H125" s="40">
        <f>SUMIFS(INDEX(拌客源数据备份!$A:$X,0,MATCH(H$111, 拌客源数据备份!$1:$1,0)),拌客源数据备份!$I:$I, $B125)</f>
        <v>31427</v>
      </c>
      <c r="I125" s="40">
        <f>SUMIFS(INDEX(拌客源数据备份!$A:$X,0,MATCH(I$111, 拌客源数据备份!$1:$1,0)),拌客源数据备份!$I:$I, $B125)</f>
        <v>8314</v>
      </c>
      <c r="J125" s="41"/>
      <c r="O125"/>
      <c r="P125"/>
      <c r="Q125"/>
    </row>
    <row r="126" spans="2:21">
      <c r="B126" s="68" t="s">
        <v>43</v>
      </c>
      <c r="C126" s="69"/>
      <c r="D126" s="40" t="str">
        <f>INDEX(拌客源数据备份!$A:$X,MATCH($B126, 拌客源数据备份!$I:$I,0),MATCH(D$111, 拌客源数据备份!$1:$1, 0))</f>
        <v>9428110</v>
      </c>
      <c r="E126" s="40" t="str">
        <f>INDEX(拌客源数据备份!$A:$X,MATCH($B126, 拌客源数据备份!$I:$I,0),MATCH(E$111, 拌客源数据备份!$1:$1, 0))</f>
        <v>拌客（武宁路店）</v>
      </c>
      <c r="F126" s="40">
        <f>INDEX(拌客源数据备份!$A:$X,MATCH($B126, 拌客源数据备份!$I:$I,0),MATCH(F$111, 拌客源数据备份!$A$1:$X$1, 0))</f>
        <v>6108</v>
      </c>
      <c r="G126" s="40">
        <f>SUMIFS(INDEX(拌客源数据备份!$A:$X,0,MATCH(G$111, 拌客源数据备份!$1:$1,0)),拌客源数据备份!$I:$I, $B126)</f>
        <v>114007.74</v>
      </c>
      <c r="H126" s="40">
        <f>SUMIFS(INDEX(拌客源数据备份!$A:$X,0,MATCH(H$111, 拌客源数据备份!$1:$1,0)),拌客源数据备份!$I:$I, $B126)</f>
        <v>7867</v>
      </c>
      <c r="I126" s="40">
        <f>SUMIFS(INDEX(拌客源数据备份!$A:$X,0,MATCH(I$111, 拌客源数据备份!$1:$1,0)),拌客源数据备份!$I:$I, $B126)</f>
        <v>2329</v>
      </c>
      <c r="J126" s="41"/>
      <c r="O126"/>
      <c r="P126"/>
      <c r="Q126"/>
    </row>
    <row r="127" spans="2:21">
      <c r="B127" s="52"/>
      <c r="C127" s="52"/>
      <c r="D127" s="41"/>
      <c r="E127" s="41"/>
      <c r="F127" s="41"/>
      <c r="G127" s="41" t="s">
        <v>201</v>
      </c>
    </row>
    <row r="128" spans="2:21">
      <c r="B128" s="52"/>
      <c r="C128" s="52"/>
      <c r="D128" s="41"/>
      <c r="E128" s="41"/>
      <c r="F128" s="41"/>
      <c r="G128" s="41" t="s">
        <v>198</v>
      </c>
    </row>
    <row r="129" spans="2:7">
      <c r="B129" s="52"/>
      <c r="C129" s="52"/>
      <c r="D129" s="41"/>
      <c r="E129" s="41"/>
      <c r="F129" s="41"/>
      <c r="G129" s="41" t="s">
        <v>199</v>
      </c>
    </row>
    <row r="130" spans="2:7">
      <c r="B130" s="52"/>
      <c r="C130" s="52"/>
      <c r="D130" s="41"/>
      <c r="E130" s="41"/>
      <c r="F130" s="41"/>
      <c r="G130" s="41" t="s">
        <v>200</v>
      </c>
    </row>
    <row r="131" spans="2:7">
      <c r="B131" s="52"/>
      <c r="C131" s="52"/>
      <c r="D131" s="41"/>
      <c r="E131" s="41"/>
      <c r="F131" s="41"/>
      <c r="G131" s="41"/>
    </row>
  </sheetData>
  <phoneticPr fontId="18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E606-8748-4B25-868B-39312967869E}">
  <sheetPr>
    <tabColor rgb="FFFFC000"/>
  </sheetPr>
  <dimension ref="A1:K32"/>
  <sheetViews>
    <sheetView workbookViewId="0"/>
  </sheetViews>
  <sheetFormatPr defaultColWidth="9" defaultRowHeight="16.5"/>
  <cols>
    <col min="1" max="1" width="13.89453125" style="2" bestFit="1" customWidth="1"/>
    <col min="2" max="2" width="12.47265625" style="2" customWidth="1"/>
    <col min="3" max="3" width="12.47265625" style="2" bestFit="1" customWidth="1"/>
    <col min="4" max="4" width="13.26171875" style="2" customWidth="1"/>
    <col min="5" max="5" width="11.3671875" style="2" bestFit="1" customWidth="1"/>
    <col min="6" max="6" width="11.89453125" style="2" customWidth="1"/>
    <col min="7" max="7" width="11.26171875" style="2" bestFit="1" customWidth="1"/>
    <col min="8" max="8" width="11.47265625" style="2" bestFit="1" customWidth="1"/>
    <col min="9" max="9" width="11.62890625" style="2" bestFit="1" customWidth="1"/>
    <col min="10" max="16384" width="9" style="2"/>
  </cols>
  <sheetData>
    <row r="1" spans="1:11">
      <c r="A1" s="2" t="s">
        <v>56</v>
      </c>
      <c r="B1" s="36">
        <f>$A$13</f>
        <v>44053</v>
      </c>
      <c r="C1" s="24" t="s">
        <v>77</v>
      </c>
      <c r="D1" s="36">
        <f>$A$19</f>
        <v>44059</v>
      </c>
    </row>
    <row r="2" spans="1:11">
      <c r="A2" s="81" t="s">
        <v>57</v>
      </c>
      <c r="B2" s="82"/>
      <c r="C2" s="82"/>
      <c r="D2" s="82"/>
      <c r="E2" s="82"/>
      <c r="F2" s="82"/>
      <c r="G2" s="82"/>
      <c r="H2" s="82"/>
    </row>
    <row r="3" spans="1:11">
      <c r="A3" s="82"/>
      <c r="B3" s="82"/>
      <c r="C3" s="82"/>
      <c r="D3" s="82"/>
      <c r="E3" s="82"/>
      <c r="F3" s="82"/>
      <c r="G3" s="82"/>
      <c r="H3" s="82"/>
    </row>
    <row r="4" spans="1:11" ht="16.8" thickBot="1">
      <c r="A4" s="3" t="s">
        <v>58</v>
      </c>
    </row>
    <row r="5" spans="1:11">
      <c r="A5" s="4" t="s">
        <v>59</v>
      </c>
      <c r="B5" s="5"/>
      <c r="C5" s="4" t="s">
        <v>60</v>
      </c>
      <c r="D5" s="5"/>
      <c r="E5" s="4" t="s">
        <v>61</v>
      </c>
      <c r="F5" s="5"/>
      <c r="G5" s="6" t="s">
        <v>62</v>
      </c>
      <c r="H5" s="7" t="s">
        <v>22</v>
      </c>
    </row>
    <row r="6" spans="1:11">
      <c r="A6" s="8">
        <f>$C$32</f>
        <v>8816</v>
      </c>
      <c r="B6" s="4"/>
      <c r="C6" s="9">
        <f>SUM($D$25:$D$31)/$A$6</f>
        <v>7.8266787658802184E-2</v>
      </c>
      <c r="D6" s="4"/>
      <c r="E6" s="9">
        <f>G32</f>
        <v>0.2144927536231884</v>
      </c>
      <c r="F6" s="4"/>
      <c r="G6" s="83" t="s">
        <v>63</v>
      </c>
      <c r="H6" s="84"/>
    </row>
    <row r="7" spans="1:11">
      <c r="A7" s="3" t="s">
        <v>64</v>
      </c>
      <c r="G7" s="85">
        <f>IF($H$5="全部"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$19)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,INDEX('拌客源数据1-8月'!$A:$X,0,MATCH("平台i",'拌客源数据1-8月'!$A$1:$X$1,0)),$H$5))/$H$8</f>
        <v>0.2691635</v>
      </c>
      <c r="H7" s="86"/>
      <c r="I7" s="10"/>
      <c r="K7" s="63"/>
    </row>
    <row r="8" spans="1:11" ht="16.8" thickBot="1">
      <c r="A8" s="4" t="s">
        <v>53</v>
      </c>
      <c r="B8" s="5"/>
      <c r="C8" s="4" t="s">
        <v>54</v>
      </c>
      <c r="D8" s="5"/>
      <c r="E8" s="4" t="s">
        <v>65</v>
      </c>
      <c r="F8" s="5"/>
      <c r="G8" s="11" t="s">
        <v>66</v>
      </c>
      <c r="H8" s="12">
        <f>IF($H$5="全部",200000,IF($H$5="美团",100000,50000))</f>
        <v>100000</v>
      </c>
    </row>
    <row r="9" spans="1:11">
      <c r="A9" s="8">
        <f>F20</f>
        <v>153</v>
      </c>
      <c r="B9" s="13">
        <f>A9/IF($H$5="全部"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-0.28169014084507038</v>
      </c>
      <c r="C9" s="8">
        <f>D20</f>
        <v>2821.92</v>
      </c>
      <c r="D9" s="13">
        <f>C9/IF($H$5="全部"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-0.29393219855529717</v>
      </c>
      <c r="E9" s="14">
        <f>E20</f>
        <v>0.34956420915978337</v>
      </c>
      <c r="F9" s="13">
        <f>E9/(IF($H$5="全部"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/IF($H$5="全部"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)-1</f>
        <v>-4.1556642486674233E-3</v>
      </c>
      <c r="I9" s="15"/>
    </row>
    <row r="11" spans="1:11">
      <c r="A11" s="16" t="s">
        <v>67</v>
      </c>
      <c r="B11" s="17"/>
      <c r="C11" s="17" t="s">
        <v>68</v>
      </c>
      <c r="D11" s="17"/>
      <c r="E11" s="17"/>
      <c r="F11" s="17"/>
      <c r="G11" s="17"/>
      <c r="H11" s="18"/>
    </row>
    <row r="12" spans="1:11">
      <c r="A12" s="19" t="s">
        <v>69</v>
      </c>
      <c r="B12" s="20" t="s">
        <v>70</v>
      </c>
      <c r="C12" s="20" t="s">
        <v>55</v>
      </c>
      <c r="D12" s="20" t="s">
        <v>54</v>
      </c>
      <c r="E12" s="20" t="s">
        <v>65</v>
      </c>
      <c r="F12" s="20" t="s">
        <v>53</v>
      </c>
      <c r="G12" s="20" t="s">
        <v>52</v>
      </c>
      <c r="H12" s="21" t="s">
        <v>71</v>
      </c>
    </row>
    <row r="13" spans="1:11">
      <c r="A13" s="22">
        <v>44053</v>
      </c>
      <c r="B13" s="23">
        <f>A13</f>
        <v>44053</v>
      </c>
      <c r="C13" s="64">
        <f>IF($H$5="全部",SUMIF(INDEX('拌客源数据1-8月'!$A:$X,0,MATCH($A$12,'拌客源数据1-8月'!$A$1:$X$1,0)),$A13,INDEX('拌客源数据1-8月'!$A:$X,0,MATCH(C$12,'拌客源数据1-8月'!$A$1:$X$1,0))),SUMIFS(INDEX('拌客源数据1-8月'!$A:$X,0,MATCH(C$12,'拌客源数据1-8月'!$A$1:$X$1,0)),INDEX('拌客源数据1-8月'!$A:$X,0,MATCH($A$12,'拌客源数据1-8月'!$A$1:$X$1,0)),$A13,INDEX('拌客源数据1-8月'!$A:$X,0,MATCH("平台i",'拌客源数据1-8月'!$A$1:$X$1,0)),$H$5))</f>
        <v>1538.37</v>
      </c>
      <c r="D13" s="64">
        <f>IF($H$5="全部",SUMIF(INDEX('拌客源数据1-8月'!$A:$X,0,MATCH($A$12,'拌客源数据1-8月'!$A$1:$X$1,0)),$A13,INDEX('拌客源数据1-8月'!$A:$X,0,MATCH(D$12,'拌客源数据1-8月'!$A$1:$X$1,0))),SUMIFS(INDEX('拌客源数据1-8月'!$A:$X,0,MATCH(D$12,'拌客源数据1-8月'!$A$1:$X$1,0)),INDEX('拌客源数据1-8月'!$A:$X,0,MATCH($A$12,'拌客源数据1-8月'!$A$1:$X$1,0)),$A13,INDEX('拌客源数据1-8月'!$A:$X,0,MATCH("平台i",'拌客源数据1-8月'!$A$1:$X$1,0)),$H$5))</f>
        <v>499.98</v>
      </c>
      <c r="E13" s="25">
        <f>D13/C13</f>
        <v>0.3250063378771037</v>
      </c>
      <c r="F13" s="24">
        <f>IF($H$5="全部",SUMIF(INDEX('拌客源数据1-8月'!$A:$X,0,MATCH($A$12,'拌客源数据1-8月'!$A$1:$X$1,0)),$A13,INDEX('拌客源数据1-8月'!$A:$X,0,MATCH(F$12,'拌客源数据1-8月'!$A$1:$X$1,0))),SUMIFS(INDEX('拌客源数据1-8月'!$A:$X,0,MATCH(F$12,'拌客源数据1-8月'!$A$1:$X$1,0)),INDEX('拌客源数据1-8月'!$A:$X,0,MATCH($A$12,'拌客源数据1-8月'!$A$1:$X$1,0)),$A13,INDEX('拌客源数据1-8月'!$A:$X,0,MATCH("平台i",'拌客源数据1-8月'!$A$1:$X$1,0)),$H$5))</f>
        <v>30</v>
      </c>
      <c r="G13" s="24">
        <f>IF($H$5="全部",SUMIF(INDEX('拌客源数据1-8月'!$A:$X,0,MATCH($A$12,'拌客源数据1-8月'!$A$1:$X$1,0)),$A13,INDEX('拌客源数据1-8月'!$A:$X,0,MATCH(G$12,'拌客源数据1-8月'!$A$1:$X$1,0))),SUMIFS(INDEX('拌客源数据1-8月'!$A:$X,0,MATCH(G$12,'拌客源数据1-8月'!$A$1:$X$1,0)),INDEX('拌客源数据1-8月'!$A:$X,0,MATCH($A$12,'拌客源数据1-8月'!$A$1:$X$1,0)),$A13,INDEX('拌客源数据1-8月'!$A:$X,0,MATCH("平台i",'拌客源数据1-8月'!$A$1:$X$1,0)),$H$5))</f>
        <v>0</v>
      </c>
      <c r="H13" s="26">
        <f>C13/F13</f>
        <v>51.278999999999996</v>
      </c>
    </row>
    <row r="14" spans="1:11">
      <c r="A14" s="22">
        <f t="shared" ref="A14:A19" si="0">A13+1</f>
        <v>44054</v>
      </c>
      <c r="B14" s="23">
        <f t="shared" ref="B14:B19" si="1">A14</f>
        <v>44054</v>
      </c>
      <c r="C14" s="64">
        <f>IF($H$5="全部",SUMIF(INDEX('拌客源数据1-8月'!$A:$X,0,MATCH($A$12,'拌客源数据1-8月'!$A$1:$X$1,0)),$A14,INDEX('拌客源数据1-8月'!$A:$X,0,MATCH(C$12,'拌客源数据1-8月'!$A$1:$X$1,0))),SUMIFS(INDEX('拌客源数据1-8月'!$A:$X,0,MATCH(C$12,'拌客源数据1-8月'!$A$1:$X$1,0)),INDEX('拌客源数据1-8月'!$A:$X,0,MATCH($A$12,'拌客源数据1-8月'!$A$1:$X$1,0)),$A14,INDEX('拌客源数据1-8月'!$A:$X,0,MATCH("平台i",'拌客源数据1-8月'!$A$1:$X$1,0)),$H$5))</f>
        <v>1252.93</v>
      </c>
      <c r="D14" s="64">
        <f>IF($H$5="全部",SUMIF(INDEX('拌客源数据1-8月'!$A:$X,0,MATCH($A$12,'拌客源数据1-8月'!$A$1:$X$1,0)),$A14,INDEX('拌客源数据1-8月'!$A:$X,0,MATCH(D$12,'拌客源数据1-8月'!$A$1:$X$1,0))),SUMIFS(INDEX('拌客源数据1-8月'!$A:$X,0,MATCH(D$12,'拌客源数据1-8月'!$A$1:$X$1,0)),INDEX('拌客源数据1-8月'!$A:$X,0,MATCH($A$12,'拌客源数据1-8月'!$A$1:$X$1,0)),$A14,INDEX('拌客源数据1-8月'!$A:$X,0,MATCH("平台i",'拌客源数据1-8月'!$A$1:$X$1,0)),$H$5))</f>
        <v>419.83</v>
      </c>
      <c r="E14" s="25">
        <f t="shared" ref="E14:E20" si="2">D14/C14</f>
        <v>0.33507857581828193</v>
      </c>
      <c r="F14" s="24">
        <f>IF($H$5="全部",SUMIF(INDEX('拌客源数据1-8月'!$A:$X,0,MATCH($A$12,'拌客源数据1-8月'!$A$1:$X$1,0)),$A14,INDEX('拌客源数据1-8月'!$A:$X,0,MATCH(F$12,'拌客源数据1-8月'!$A$1:$X$1,0))),SUMIFS(INDEX('拌客源数据1-8月'!$A:$X,0,MATCH(F$12,'拌客源数据1-8月'!$A$1:$X$1,0)),INDEX('拌客源数据1-8月'!$A:$X,0,MATCH($A$12,'拌客源数据1-8月'!$A$1:$X$1,0)),$A14,INDEX('拌客源数据1-8月'!$A:$X,0,MATCH("平台i",'拌客源数据1-8月'!$A$1:$X$1,0)),$H$5))</f>
        <v>26</v>
      </c>
      <c r="G14" s="24">
        <f>IF($H$5="全部",SUMIF(INDEX('拌客源数据1-8月'!$A:$X,0,MATCH($A$12,'拌客源数据1-8月'!$A$1:$X$1,0)),$A14,INDEX('拌客源数据1-8月'!$A:$X,0,MATCH(G$12,'拌客源数据1-8月'!$A$1:$X$1,0))),SUMIFS(INDEX('拌客源数据1-8月'!$A:$X,0,MATCH(G$12,'拌客源数据1-8月'!$A$1:$X$1,0)),INDEX('拌客源数据1-8月'!$A:$X,0,MATCH($A$12,'拌客源数据1-8月'!$A$1:$X$1,0)),$A14,INDEX('拌客源数据1-8月'!$A:$X,0,MATCH("平台i",'拌客源数据1-8月'!$A$1:$X$1,0)),$H$5))</f>
        <v>0</v>
      </c>
      <c r="H14" s="26">
        <f t="shared" ref="H14:H19" si="3">C14/F14</f>
        <v>48.189615384615387</v>
      </c>
    </row>
    <row r="15" spans="1:11">
      <c r="A15" s="22">
        <f t="shared" si="0"/>
        <v>44055</v>
      </c>
      <c r="B15" s="23">
        <f t="shared" si="1"/>
        <v>44055</v>
      </c>
      <c r="C15" s="64">
        <f>IF($H$5="全部",SUMIF(INDEX('拌客源数据1-8月'!$A:$X,0,MATCH($A$12,'拌客源数据1-8月'!$A$1:$X$1,0)),$A15,INDEX('拌客源数据1-8月'!$A:$X,0,MATCH(C$12,'拌客源数据1-8月'!$A$1:$X$1,0))),SUMIFS(INDEX('拌客源数据1-8月'!$A:$X,0,MATCH(C$12,'拌客源数据1-8月'!$A$1:$X$1,0)),INDEX('拌客源数据1-8月'!$A:$X,0,MATCH($A$12,'拌客源数据1-8月'!$A$1:$X$1,0)),$A15,INDEX('拌客源数据1-8月'!$A:$X,0,MATCH("平台i",'拌客源数据1-8月'!$A$1:$X$1,0)),$H$5))</f>
        <v>911.86</v>
      </c>
      <c r="D15" s="64">
        <f>IF($H$5="全部",SUMIF(INDEX('拌客源数据1-8月'!$A:$X,0,MATCH($A$12,'拌客源数据1-8月'!$A$1:$X$1,0)),$A15,INDEX('拌客源数据1-8月'!$A:$X,0,MATCH(D$12,'拌客源数据1-8月'!$A$1:$X$1,0))),SUMIFS(INDEX('拌客源数据1-8月'!$A:$X,0,MATCH(D$12,'拌客源数据1-8月'!$A$1:$X$1,0)),INDEX('拌客源数据1-8月'!$A:$X,0,MATCH($A$12,'拌客源数据1-8月'!$A$1:$X$1,0)),$A15,INDEX('拌客源数据1-8月'!$A:$X,0,MATCH("平台i",'拌客源数据1-8月'!$A$1:$X$1,0)),$H$5))</f>
        <v>346.44</v>
      </c>
      <c r="E15" s="25">
        <f t="shared" si="2"/>
        <v>0.37992674314039437</v>
      </c>
      <c r="F15" s="24">
        <f>IF($H$5="全部",SUMIF(INDEX('拌客源数据1-8月'!$A:$X,0,MATCH($A$12,'拌客源数据1-8月'!$A$1:$X$1,0)),$A15,INDEX('拌客源数据1-8月'!$A:$X,0,MATCH(F$12,'拌客源数据1-8月'!$A$1:$X$1,0))),SUMIFS(INDEX('拌客源数据1-8月'!$A:$X,0,MATCH(F$12,'拌客源数据1-8月'!$A$1:$X$1,0)),INDEX('拌客源数据1-8月'!$A:$X,0,MATCH($A$12,'拌客源数据1-8月'!$A$1:$X$1,0)),$A15,INDEX('拌客源数据1-8月'!$A:$X,0,MATCH("平台i",'拌客源数据1-8月'!$A$1:$X$1,0)),$H$5))</f>
        <v>15</v>
      </c>
      <c r="G15" s="24">
        <f>IF($H$5="全部",SUMIF(INDEX('拌客源数据1-8月'!$A:$X,0,MATCH($A$12,'拌客源数据1-8月'!$A$1:$X$1,0)),$A15,INDEX('拌客源数据1-8月'!$A:$X,0,MATCH(G$12,'拌客源数据1-8月'!$A$1:$X$1,0))),SUMIFS(INDEX('拌客源数据1-8月'!$A:$X,0,MATCH(G$12,'拌客源数据1-8月'!$A$1:$X$1,0)),INDEX('拌客源数据1-8月'!$A:$X,0,MATCH($A$12,'拌客源数据1-8月'!$A$1:$X$1,0)),$A15,INDEX('拌客源数据1-8月'!$A:$X,0,MATCH("平台i",'拌客源数据1-8月'!$A$1:$X$1,0)),$H$5))</f>
        <v>1</v>
      </c>
      <c r="H15" s="26">
        <f t="shared" si="3"/>
        <v>60.790666666666667</v>
      </c>
    </row>
    <row r="16" spans="1:11">
      <c r="A16" s="22">
        <f t="shared" si="0"/>
        <v>44056</v>
      </c>
      <c r="B16" s="23">
        <f t="shared" si="1"/>
        <v>44056</v>
      </c>
      <c r="C16" s="64">
        <f>IF($H$5="全部",SUMIF(INDEX('拌客源数据1-8月'!$A:$X,0,MATCH($A$12,'拌客源数据1-8月'!$A$1:$X$1,0)),$A16,INDEX('拌客源数据1-8月'!$A:$X,0,MATCH(C$12,'拌客源数据1-8月'!$A$1:$X$1,0))),SUMIFS(INDEX('拌客源数据1-8月'!$A:$X,0,MATCH(C$12,'拌客源数据1-8月'!$A$1:$X$1,0)),INDEX('拌客源数据1-8月'!$A:$X,0,MATCH($A$12,'拌客源数据1-8月'!$A$1:$X$1,0)),$A16,INDEX('拌客源数据1-8月'!$A:$X,0,MATCH("平台i",'拌客源数据1-8月'!$A$1:$X$1,0)),$H$5))</f>
        <v>1054.44</v>
      </c>
      <c r="D16" s="64">
        <f>IF($H$5="全部",SUMIF(INDEX('拌客源数据1-8月'!$A:$X,0,MATCH($A$12,'拌客源数据1-8月'!$A$1:$X$1,0)),$A16,INDEX('拌客源数据1-8月'!$A:$X,0,MATCH(D$12,'拌客源数据1-8月'!$A$1:$X$1,0))),SUMIFS(INDEX('拌客源数据1-8月'!$A:$X,0,MATCH(D$12,'拌客源数据1-8月'!$A$1:$X$1,0)),INDEX('拌客源数据1-8月'!$A:$X,0,MATCH($A$12,'拌客源数据1-8月'!$A$1:$X$1,0)),$A16,INDEX('拌客源数据1-8月'!$A:$X,0,MATCH("平台i",'拌客源数据1-8月'!$A$1:$X$1,0)),$H$5))</f>
        <v>347.98</v>
      </c>
      <c r="E16" s="25">
        <f t="shared" si="2"/>
        <v>0.33001403588634726</v>
      </c>
      <c r="F16" s="24">
        <f>IF($H$5="全部",SUMIF(INDEX('拌客源数据1-8月'!$A:$X,0,MATCH($A$12,'拌客源数据1-8月'!$A$1:$X$1,0)),$A16,INDEX('拌客源数据1-8月'!$A:$X,0,MATCH(F$12,'拌客源数据1-8月'!$A$1:$X$1,0))),SUMIFS(INDEX('拌客源数据1-8月'!$A:$X,0,MATCH(F$12,'拌客源数据1-8月'!$A$1:$X$1,0)),INDEX('拌客源数据1-8月'!$A:$X,0,MATCH($A$12,'拌客源数据1-8月'!$A$1:$X$1,0)),$A16,INDEX('拌客源数据1-8月'!$A:$X,0,MATCH("平台i",'拌客源数据1-8月'!$A$1:$X$1,0)),$H$5))</f>
        <v>21</v>
      </c>
      <c r="G16" s="24">
        <f>IF($H$5="全部",SUMIF(INDEX('拌客源数据1-8月'!$A:$X,0,MATCH($A$12,'拌客源数据1-8月'!$A$1:$X$1,0)),$A16,INDEX('拌客源数据1-8月'!$A:$X,0,MATCH(G$12,'拌客源数据1-8月'!$A$1:$X$1,0))),SUMIFS(INDEX('拌客源数据1-8月'!$A:$X,0,MATCH(G$12,'拌客源数据1-8月'!$A$1:$X$1,0)),INDEX('拌客源数据1-8月'!$A:$X,0,MATCH($A$12,'拌客源数据1-8月'!$A$1:$X$1,0)),$A16,INDEX('拌客源数据1-8月'!$A:$X,0,MATCH("平台i",'拌客源数据1-8月'!$A$1:$X$1,0)),$H$5))</f>
        <v>0</v>
      </c>
      <c r="H16" s="26">
        <f t="shared" si="3"/>
        <v>50.211428571428577</v>
      </c>
    </row>
    <row r="17" spans="1:8">
      <c r="A17" s="22">
        <f t="shared" si="0"/>
        <v>44057</v>
      </c>
      <c r="B17" s="23">
        <f t="shared" si="1"/>
        <v>44057</v>
      </c>
      <c r="C17" s="64">
        <f>IF($H$5="全部",SUMIF(INDEX('拌客源数据1-8月'!$A:$X,0,MATCH($A$12,'拌客源数据1-8月'!$A$1:$X$1,0)),$A17,INDEX('拌客源数据1-8月'!$A:$X,0,MATCH(C$12,'拌客源数据1-8月'!$A$1:$X$1,0))),SUMIFS(INDEX('拌客源数据1-8月'!$A:$X,0,MATCH(C$12,'拌客源数据1-8月'!$A$1:$X$1,0)),INDEX('拌客源数据1-8月'!$A:$X,0,MATCH($A$12,'拌客源数据1-8月'!$A$1:$X$1,0)),$A17,INDEX('拌客源数据1-8月'!$A:$X,0,MATCH("平台i",'拌客源数据1-8月'!$A$1:$X$1,0)),$H$5))</f>
        <v>1011.71</v>
      </c>
      <c r="D17" s="64">
        <f>IF($H$5="全部",SUMIF(INDEX('拌客源数据1-8月'!$A:$X,0,MATCH($A$12,'拌客源数据1-8月'!$A$1:$X$1,0)),$A17,INDEX('拌客源数据1-8月'!$A:$X,0,MATCH(D$12,'拌客源数据1-8月'!$A$1:$X$1,0))),SUMIFS(INDEX('拌客源数据1-8月'!$A:$X,0,MATCH(D$12,'拌客源数据1-8月'!$A$1:$X$1,0)),INDEX('拌客源数据1-8月'!$A:$X,0,MATCH($A$12,'拌客源数据1-8月'!$A$1:$X$1,0)),$A17,INDEX('拌客源数据1-8月'!$A:$X,0,MATCH("平台i",'拌客源数据1-8月'!$A$1:$X$1,0)),$H$5))</f>
        <v>356.41</v>
      </c>
      <c r="E17" s="25">
        <f t="shared" si="2"/>
        <v>0.35228474562868806</v>
      </c>
      <c r="F17" s="24">
        <f>IF($H$5="全部",SUMIF(INDEX('拌客源数据1-8月'!$A:$X,0,MATCH($A$12,'拌客源数据1-8月'!$A$1:$X$1,0)),$A17,INDEX('拌客源数据1-8月'!$A:$X,0,MATCH(F$12,'拌客源数据1-8月'!$A$1:$X$1,0))),SUMIFS(INDEX('拌客源数据1-8月'!$A:$X,0,MATCH(F$12,'拌客源数据1-8月'!$A$1:$X$1,0)),INDEX('拌客源数据1-8月'!$A:$X,0,MATCH($A$12,'拌客源数据1-8月'!$A$1:$X$1,0)),$A17,INDEX('拌客源数据1-8月'!$A:$X,0,MATCH("平台i",'拌客源数据1-8月'!$A$1:$X$1,0)),$H$5))</f>
        <v>18</v>
      </c>
      <c r="G17" s="24">
        <f>IF($H$5="全部",SUMIF(INDEX('拌客源数据1-8月'!$A:$X,0,MATCH($A$12,'拌客源数据1-8月'!$A$1:$X$1,0)),$A17,INDEX('拌客源数据1-8月'!$A:$X,0,MATCH(G$12,'拌客源数据1-8月'!$A$1:$X$1,0))),SUMIFS(INDEX('拌客源数据1-8月'!$A:$X,0,MATCH(G$12,'拌客源数据1-8月'!$A$1:$X$1,0)),INDEX('拌客源数据1-8月'!$A:$X,0,MATCH($A$12,'拌客源数据1-8月'!$A$1:$X$1,0)),$A17,INDEX('拌客源数据1-8月'!$A:$X,0,MATCH("平台i",'拌客源数据1-8月'!$A$1:$X$1,0)),$H$5))</f>
        <v>1</v>
      </c>
      <c r="H17" s="26">
        <f t="shared" si="3"/>
        <v>56.206111111111113</v>
      </c>
    </row>
    <row r="18" spans="1:8">
      <c r="A18" s="22">
        <f t="shared" si="0"/>
        <v>44058</v>
      </c>
      <c r="B18" s="23">
        <f t="shared" si="1"/>
        <v>44058</v>
      </c>
      <c r="C18" s="64">
        <f>IF($H$5="全部",SUMIF(INDEX('拌客源数据1-8月'!$A:$X,0,MATCH($A$12,'拌客源数据1-8月'!$A$1:$X$1,0)),$A18,INDEX('拌客源数据1-8月'!$A:$X,0,MATCH(C$12,'拌客源数据1-8月'!$A$1:$X$1,0))),SUMIFS(INDEX('拌客源数据1-8月'!$A:$X,0,MATCH(C$12,'拌客源数据1-8月'!$A$1:$X$1,0)),INDEX('拌客源数据1-8月'!$A:$X,0,MATCH($A$12,'拌客源数据1-8月'!$A$1:$X$1,0)),$A18,INDEX('拌客源数据1-8月'!$A:$X,0,MATCH("平台i",'拌客源数据1-8月'!$A$1:$X$1,0)),$H$5))</f>
        <v>1139.3499999999999</v>
      </c>
      <c r="D18" s="64">
        <f>IF($H$5="全部",SUMIF(INDEX('拌客源数据1-8月'!$A:$X,0,MATCH($A$12,'拌客源数据1-8月'!$A$1:$X$1,0)),$A18,INDEX('拌客源数据1-8月'!$A:$X,0,MATCH(D$12,'拌客源数据1-8月'!$A$1:$X$1,0))),SUMIFS(INDEX('拌客源数据1-8月'!$A:$X,0,MATCH(D$12,'拌客源数据1-8月'!$A$1:$X$1,0)),INDEX('拌客源数据1-8月'!$A:$X,0,MATCH($A$12,'拌客源数据1-8月'!$A$1:$X$1,0)),$A18,INDEX('拌客源数据1-8月'!$A:$X,0,MATCH("平台i",'拌客源数据1-8月'!$A$1:$X$1,0)),$H$5))</f>
        <v>414.91</v>
      </c>
      <c r="E18" s="25">
        <f t="shared" si="2"/>
        <v>0.36416377759248697</v>
      </c>
      <c r="F18" s="24">
        <f>IF($H$5="全部",SUMIF(INDEX('拌客源数据1-8月'!$A:$X,0,MATCH($A$12,'拌客源数据1-8月'!$A$1:$X$1,0)),$A18,INDEX('拌客源数据1-8月'!$A:$X,0,MATCH(F$12,'拌客源数据1-8月'!$A$1:$X$1,0))),SUMIFS(INDEX('拌客源数据1-8月'!$A:$X,0,MATCH(F$12,'拌客源数据1-8月'!$A$1:$X$1,0)),INDEX('拌客源数据1-8月'!$A:$X,0,MATCH($A$12,'拌客源数据1-8月'!$A$1:$X$1,0)),$A18,INDEX('拌客源数据1-8月'!$A:$X,0,MATCH("平台i",'拌客源数据1-8月'!$A$1:$X$1,0)),$H$5))</f>
        <v>22</v>
      </c>
      <c r="G18" s="24">
        <f>IF($H$5="全部",SUMIF(INDEX('拌客源数据1-8月'!$A:$X,0,MATCH($A$12,'拌客源数据1-8月'!$A$1:$X$1,0)),$A18,INDEX('拌客源数据1-8月'!$A:$X,0,MATCH(G$12,'拌客源数据1-8月'!$A$1:$X$1,0))),SUMIFS(INDEX('拌客源数据1-8月'!$A:$X,0,MATCH(G$12,'拌客源数据1-8月'!$A$1:$X$1,0)),INDEX('拌客源数据1-8月'!$A:$X,0,MATCH($A$12,'拌客源数据1-8月'!$A$1:$X$1,0)),$A18,INDEX('拌客源数据1-8月'!$A:$X,0,MATCH("平台i",'拌客源数据1-8月'!$A$1:$X$1,0)),$H$5))</f>
        <v>0</v>
      </c>
      <c r="H18" s="26">
        <f t="shared" si="3"/>
        <v>51.788636363636357</v>
      </c>
    </row>
    <row r="19" spans="1:8">
      <c r="A19" s="27">
        <f t="shared" si="0"/>
        <v>44059</v>
      </c>
      <c r="B19" s="28">
        <f t="shared" si="1"/>
        <v>44059</v>
      </c>
      <c r="C19" s="65">
        <f>IF($H$5="全部",SUMIF(INDEX('拌客源数据1-8月'!$A:$X,0,MATCH($A$12,'拌客源数据1-8月'!$A$1:$X$1,0)),$A19,INDEX('拌客源数据1-8月'!$A:$X,0,MATCH(C$12,'拌客源数据1-8月'!$A$1:$X$1,0))),SUMIFS(INDEX('拌客源数据1-8月'!$A:$X,0,MATCH(C$12,'拌客源数据1-8月'!$A$1:$X$1,0)),INDEX('拌客源数据1-8月'!$A:$X,0,MATCH($A$12,'拌客源数据1-8月'!$A$1:$X$1,0)),$A19,INDEX('拌客源数据1-8月'!$A:$X,0,MATCH("平台i",'拌客源数据1-8月'!$A$1:$X$1,0)),$H$5))</f>
        <v>1164.02</v>
      </c>
      <c r="D19" s="65">
        <f>IF($H$5="全部",SUMIF(INDEX('拌客源数据1-8月'!$A:$X,0,MATCH($A$12,'拌客源数据1-8月'!$A$1:$X$1,0)),$A19,INDEX('拌客源数据1-8月'!$A:$X,0,MATCH(D$12,'拌客源数据1-8月'!$A$1:$X$1,0))),SUMIFS(INDEX('拌客源数据1-8月'!$A:$X,0,MATCH(D$12,'拌客源数据1-8月'!$A$1:$X$1,0)),INDEX('拌客源数据1-8月'!$A:$X,0,MATCH($A$12,'拌客源数据1-8月'!$A$1:$X$1,0)),$A19,INDEX('拌客源数据1-8月'!$A:$X,0,MATCH("平台i",'拌客源数据1-8月'!$A$1:$X$1,0)),$H$5))</f>
        <v>436.37</v>
      </c>
      <c r="E19" s="30">
        <f t="shared" si="2"/>
        <v>0.37488187488187491</v>
      </c>
      <c r="F19" s="29">
        <f>IF($H$5="全部",SUMIF(INDEX('拌客源数据1-8月'!$A:$X,0,MATCH($A$12,'拌客源数据1-8月'!$A$1:$X$1,0)),$A19,INDEX('拌客源数据1-8月'!$A:$X,0,MATCH(F$12,'拌客源数据1-8月'!$A$1:$X$1,0))),SUMIFS(INDEX('拌客源数据1-8月'!$A:$X,0,MATCH(F$12,'拌客源数据1-8月'!$A$1:$X$1,0)),INDEX('拌客源数据1-8月'!$A:$X,0,MATCH($A$12,'拌客源数据1-8月'!$A$1:$X$1,0)),$A19,INDEX('拌客源数据1-8月'!$A:$X,0,MATCH("平台i",'拌客源数据1-8月'!$A$1:$X$1,0)),$H$5))</f>
        <v>21</v>
      </c>
      <c r="G19" s="29">
        <f>IF($H$5="全部",SUMIF(INDEX('拌客源数据1-8月'!$A:$X,0,MATCH($A$12,'拌客源数据1-8月'!$A$1:$X$1,0)),$A19,INDEX('拌客源数据1-8月'!$A:$X,0,MATCH(G$12,'拌客源数据1-8月'!$A$1:$X$1,0))),SUMIFS(INDEX('拌客源数据1-8月'!$A:$X,0,MATCH(G$12,'拌客源数据1-8月'!$A$1:$X$1,0)),INDEX('拌客源数据1-8月'!$A:$X,0,MATCH($A$12,'拌客源数据1-8月'!$A$1:$X$1,0)),$A19,INDEX('拌客源数据1-8月'!$A:$X,0,MATCH("平台i",'拌客源数据1-8月'!$A$1:$X$1,0)),$H$5))</f>
        <v>1</v>
      </c>
      <c r="H19" s="31">
        <f t="shared" si="3"/>
        <v>55.429523809523808</v>
      </c>
    </row>
    <row r="20" spans="1:8">
      <c r="A20" s="24" t="s">
        <v>72</v>
      </c>
      <c r="B20" s="23"/>
      <c r="C20" s="64">
        <f>SUM(C13:C19)</f>
        <v>8072.68</v>
      </c>
      <c r="D20" s="64">
        <f>SUM(D13:D19)</f>
        <v>2821.92</v>
      </c>
      <c r="E20" s="25">
        <f t="shared" si="2"/>
        <v>0.34956420915978337</v>
      </c>
      <c r="F20" s="24">
        <f>SUM(F13:F19)</f>
        <v>153</v>
      </c>
      <c r="G20" s="24">
        <f>SUM(G13:G19)</f>
        <v>3</v>
      </c>
      <c r="H20" s="32">
        <f>C20/F20</f>
        <v>52.762614379084972</v>
      </c>
    </row>
    <row r="23" spans="1:8">
      <c r="A23" s="16" t="s">
        <v>73</v>
      </c>
      <c r="B23" s="17"/>
      <c r="C23" s="17" t="s">
        <v>68</v>
      </c>
      <c r="D23" s="17"/>
      <c r="E23" s="17"/>
      <c r="F23" s="17"/>
      <c r="G23" s="17"/>
      <c r="H23" s="18"/>
    </row>
    <row r="24" spans="1:8">
      <c r="A24" s="19" t="s">
        <v>69</v>
      </c>
      <c r="B24" s="20" t="s">
        <v>70</v>
      </c>
      <c r="C24" s="20" t="s">
        <v>59</v>
      </c>
      <c r="D24" s="20" t="s">
        <v>74</v>
      </c>
      <c r="E24" s="20" t="s">
        <v>60</v>
      </c>
      <c r="F24" s="20" t="s">
        <v>75</v>
      </c>
      <c r="G24" s="20" t="s">
        <v>61</v>
      </c>
      <c r="H24" s="21" t="s">
        <v>76</v>
      </c>
    </row>
    <row r="25" spans="1:8">
      <c r="A25" s="22">
        <f>A13</f>
        <v>44053</v>
      </c>
      <c r="B25" s="23">
        <f>A25</f>
        <v>44053</v>
      </c>
      <c r="C25" s="24">
        <f>IF($H$5="全部",SUMIF(INDEX('拌客源数据1-8月'!$A:$X,0,MATCH($A$12,'拌客源数据1-8月'!$A$1:$X$1,0)),$A13,INDEX('拌客源数据1-8月'!$A:$X,0,MATCH(C$24,'拌客源数据1-8月'!$A$1:$X$1,0))),SUMIFS(INDEX('拌客源数据1-8月'!$A:$X,0,MATCH(C$24,'拌客源数据1-8月'!$A$1:$X$1,0)),INDEX('拌客源数据1-8月'!$A:$X,0,MATCH($A$12,'拌客源数据1-8月'!$A$1:$X$1,0)),$A13,INDEX('拌客源数据1-8月'!$A:$X,0,MATCH("平台i",'拌客源数据1-8月'!$A$1:$X$1,0)),$H$5))</f>
        <v>1372</v>
      </c>
      <c r="D25" s="24">
        <f>IF($H$5="全部",SUMIF(INDEX('拌客源数据1-8月'!$A:$X,0,MATCH($A$12,'拌客源数据1-8月'!$A$1:$X$1,0)),$A13,INDEX('拌客源数据1-8月'!$A:$X,0,MATCH(D$24,'拌客源数据1-8月'!$A$1:$X$1,0))),SUMIFS(INDEX('拌客源数据1-8月'!$A:$X,0,MATCH(D$24,'拌客源数据1-8月'!$A$1:$X$1,0)),INDEX('拌客源数据1-8月'!$A:$X,0,MATCH($A$12,'拌客源数据1-8月'!$A$1:$X$1,0)),$A13,INDEX('拌客源数据1-8月'!$A:$X,0,MATCH("平台i",'拌客源数据1-8月'!$A$1:$X$1,0)),$H$5))</f>
        <v>111</v>
      </c>
      <c r="E25" s="25">
        <f>D25/C25</f>
        <v>8.0903790087463553E-2</v>
      </c>
      <c r="F25" s="24">
        <f>IF($H$5="全部",SUMIF(INDEX('拌客源数据1-8月'!$A:$X,0,MATCH($A$12,'拌客源数据1-8月'!$A$1:$X$1,0)),$A13,INDEX('拌客源数据1-8月'!$A:$X,0,MATCH(F$24,'拌客源数据1-8月'!$A$1:$X$1,0))),SUMIFS(INDEX('拌客源数据1-8月'!$A:$X,0,MATCH(F$24,'拌客源数据1-8月'!$A$1:$X$1,0)),INDEX('拌客源数据1-8月'!$A:$X,0,MATCH($A$12,'拌客源数据1-8月'!$A$1:$X$1,0)),$A13,INDEX('拌客源数据1-8月'!$A:$X,0,MATCH("平台i",'拌客源数据1-8月'!$A$1:$X$1,0)),$H$5))</f>
        <v>26</v>
      </c>
      <c r="G25" s="25">
        <f>F25/D25</f>
        <v>0.23423423423423423</v>
      </c>
      <c r="H25" s="33">
        <f>IF($H$5="全部",SUMIF(INDEX('拌客源数据1-8月'!$A:$X,0,MATCH($A$12,'拌客源数据1-8月'!$A$1:$X$1,0)),$A13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13,INDEX('拌客源数据1-8月'!$A:$X,0,MATCH("平台i",'拌客源数据1-8月'!$A$1:$X$1,0)),$H$5))/$C13</f>
        <v>5.2003094184103961E-2</v>
      </c>
    </row>
    <row r="26" spans="1:8">
      <c r="A26" s="22">
        <f t="shared" ref="A26:A31" si="4">A14</f>
        <v>44054</v>
      </c>
      <c r="B26" s="23">
        <f t="shared" ref="B26:B31" si="5">A26</f>
        <v>44054</v>
      </c>
      <c r="C26" s="24">
        <f>IF($H$5="全部",SUMIF(INDEX('拌客源数据1-8月'!$A:$X,0,MATCH($A$12,'拌客源数据1-8月'!$A$1:$X$1,0)),$A14,INDEX('拌客源数据1-8月'!$A:$X,0,MATCH(C$24,'拌客源数据1-8月'!$A$1:$X$1,0))),SUMIFS(INDEX('拌客源数据1-8月'!$A:$X,0,MATCH(C$24,'拌客源数据1-8月'!$A$1:$X$1,0)),INDEX('拌客源数据1-8月'!$A:$X,0,MATCH($A$12,'拌客源数据1-8月'!$A$1:$X$1,0)),$A14,INDEX('拌客源数据1-8月'!$A:$X,0,MATCH("平台i",'拌客源数据1-8月'!$A$1:$X$1,0)),$H$5))</f>
        <v>1123</v>
      </c>
      <c r="D26" s="24">
        <f>IF($H$5="全部",SUMIF(INDEX('拌客源数据1-8月'!$A:$X,0,MATCH($A$12,'拌客源数据1-8月'!$A$1:$X$1,0)),$A14,INDEX('拌客源数据1-8月'!$A:$X,0,MATCH(D$24,'拌客源数据1-8月'!$A$1:$X$1,0))),SUMIFS(INDEX('拌客源数据1-8月'!$A:$X,0,MATCH(D$24,'拌客源数据1-8月'!$A$1:$X$1,0)),INDEX('拌客源数据1-8月'!$A:$X,0,MATCH($A$12,'拌客源数据1-8月'!$A$1:$X$1,0)),$A14,INDEX('拌客源数据1-8月'!$A:$X,0,MATCH("平台i",'拌客源数据1-8月'!$A$1:$X$1,0)),$H$5))</f>
        <v>97</v>
      </c>
      <c r="E26" s="25">
        <f t="shared" ref="E26:E31" si="6">D26/C26</f>
        <v>8.637577916295637E-2</v>
      </c>
      <c r="F26" s="24">
        <f>IF($H$5="全部",SUMIF(INDEX('拌客源数据1-8月'!$A:$X,0,MATCH($A$12,'拌客源数据1-8月'!$A$1:$X$1,0)),$A14,INDEX('拌客源数据1-8月'!$A:$X,0,MATCH(F$24,'拌客源数据1-8月'!$A$1:$X$1,0))),SUMIFS(INDEX('拌客源数据1-8月'!$A:$X,0,MATCH(F$24,'拌客源数据1-8月'!$A$1:$X$1,0)),INDEX('拌客源数据1-8月'!$A:$X,0,MATCH($A$12,'拌客源数据1-8月'!$A$1:$X$1,0)),$A14,INDEX('拌客源数据1-8月'!$A:$X,0,MATCH("平台i",'拌客源数据1-8月'!$A$1:$X$1,0)),$H$5))</f>
        <v>25</v>
      </c>
      <c r="G26" s="25">
        <f t="shared" ref="G26:G31" si="7">F26/D26</f>
        <v>0.25773195876288657</v>
      </c>
      <c r="H26" s="33">
        <f>IF($H$5="全部",SUMIF(INDEX('拌客源数据1-8月'!$A:$X,0,MATCH($A$12,'拌客源数据1-8月'!$A$1:$X$1,0)),$A14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14,INDEX('拌客源数据1-8月'!$A:$X,0,MATCH("平台i",'拌客源数据1-8月'!$A$1:$X$1,0)),$H$5))/$C14</f>
        <v>6.3850334815193185E-2</v>
      </c>
    </row>
    <row r="27" spans="1:8">
      <c r="A27" s="22">
        <f t="shared" si="4"/>
        <v>44055</v>
      </c>
      <c r="B27" s="23">
        <f t="shared" si="5"/>
        <v>44055</v>
      </c>
      <c r="C27" s="24">
        <f>IF($H$5="全部",SUMIF(INDEX('拌客源数据1-8月'!$A:$X,0,MATCH($A$12,'拌客源数据1-8月'!$A$1:$X$1,0)),$A15,INDEX('拌客源数据1-8月'!$A:$X,0,MATCH(C$24,'拌客源数据1-8月'!$A$1:$X$1,0))),SUMIFS(INDEX('拌客源数据1-8月'!$A:$X,0,MATCH(C$24,'拌客源数据1-8月'!$A$1:$X$1,0)),INDEX('拌客源数据1-8月'!$A:$X,0,MATCH($A$12,'拌客源数据1-8月'!$A$1:$X$1,0)),$A15,INDEX('拌客源数据1-8月'!$A:$X,0,MATCH("平台i",'拌客源数据1-8月'!$A$1:$X$1,0)),$H$5))</f>
        <v>1019</v>
      </c>
      <c r="D27" s="24">
        <f>IF($H$5="全部",SUMIF(INDEX('拌客源数据1-8月'!$A:$X,0,MATCH($A$12,'拌客源数据1-8月'!$A$1:$X$1,0)),$A15,INDEX('拌客源数据1-8月'!$A:$X,0,MATCH(D$24,'拌客源数据1-8月'!$A$1:$X$1,0))),SUMIFS(INDEX('拌客源数据1-8月'!$A:$X,0,MATCH(D$24,'拌客源数据1-8月'!$A$1:$X$1,0)),INDEX('拌客源数据1-8月'!$A:$X,0,MATCH($A$12,'拌客源数据1-8月'!$A$1:$X$1,0)),$A15,INDEX('拌客源数据1-8月'!$A:$X,0,MATCH("平台i",'拌客源数据1-8月'!$A$1:$X$1,0)),$H$5))</f>
        <v>92</v>
      </c>
      <c r="E27" s="25">
        <f t="shared" si="6"/>
        <v>9.0284592737978411E-2</v>
      </c>
      <c r="F27" s="24">
        <f>IF($H$5="全部",SUMIF(INDEX('拌客源数据1-8月'!$A:$X,0,MATCH($A$12,'拌客源数据1-8月'!$A$1:$X$1,0)),$A15,INDEX('拌客源数据1-8月'!$A:$X,0,MATCH(F$24,'拌客源数据1-8月'!$A$1:$X$1,0))),SUMIFS(INDEX('拌客源数据1-8月'!$A:$X,0,MATCH(F$24,'拌客源数据1-8月'!$A$1:$X$1,0)),INDEX('拌客源数据1-8月'!$A:$X,0,MATCH($A$12,'拌客源数据1-8月'!$A$1:$X$1,0)),$A15,INDEX('拌客源数据1-8月'!$A:$X,0,MATCH("平台i",'拌客源数据1-8月'!$A$1:$X$1,0)),$H$5))</f>
        <v>16</v>
      </c>
      <c r="G27" s="25">
        <f t="shared" si="7"/>
        <v>0.17391304347826086</v>
      </c>
      <c r="H27" s="33">
        <f>IF($H$5="全部",SUMIF(INDEX('拌客源数据1-8月'!$A:$X,0,MATCH($A$12,'拌客源数据1-8月'!$A$1:$X$1,0)),$A15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15,INDEX('拌客源数据1-8月'!$A:$X,0,MATCH("平台i",'拌客源数据1-8月'!$A$1:$X$1,0)),$H$5))/$C15</f>
        <v>7.2818195775667324E-2</v>
      </c>
    </row>
    <row r="28" spans="1:8">
      <c r="A28" s="22">
        <f t="shared" si="4"/>
        <v>44056</v>
      </c>
      <c r="B28" s="23">
        <f t="shared" si="5"/>
        <v>44056</v>
      </c>
      <c r="C28" s="24">
        <f>IF($H$5="全部",SUMIF(INDEX('拌客源数据1-8月'!$A:$X,0,MATCH($A$12,'拌客源数据1-8月'!$A$1:$X$1,0)),$A16,INDEX('拌客源数据1-8月'!$A:$X,0,MATCH(C$24,'拌客源数据1-8月'!$A$1:$X$1,0))),SUMIFS(INDEX('拌客源数据1-8月'!$A:$X,0,MATCH(C$24,'拌客源数据1-8月'!$A$1:$X$1,0)),INDEX('拌客源数据1-8月'!$A:$X,0,MATCH($A$12,'拌客源数据1-8月'!$A$1:$X$1,0)),$A16,INDEX('拌客源数据1-8月'!$A:$X,0,MATCH("平台i",'拌客源数据1-8月'!$A$1:$X$1,0)),$H$5))</f>
        <v>1122</v>
      </c>
      <c r="D28" s="24">
        <f>IF($H$5="全部",SUMIF(INDEX('拌客源数据1-8月'!$A:$X,0,MATCH($A$12,'拌客源数据1-8月'!$A$1:$X$1,0)),$A16,INDEX('拌客源数据1-8月'!$A:$X,0,MATCH(D$24,'拌客源数据1-8月'!$A$1:$X$1,0))),SUMIFS(INDEX('拌客源数据1-8月'!$A:$X,0,MATCH(D$24,'拌客源数据1-8月'!$A$1:$X$1,0)),INDEX('拌客源数据1-8月'!$A:$X,0,MATCH($A$12,'拌客源数据1-8月'!$A$1:$X$1,0)),$A16,INDEX('拌客源数据1-8月'!$A:$X,0,MATCH("平台i",'拌客源数据1-8月'!$A$1:$X$1,0)),$H$5))</f>
        <v>87</v>
      </c>
      <c r="E28" s="25">
        <f t="shared" si="6"/>
        <v>7.7540106951871662E-2</v>
      </c>
      <c r="F28" s="24">
        <f>IF($H$5="全部",SUMIF(INDEX('拌客源数据1-8月'!$A:$X,0,MATCH($A$12,'拌客源数据1-8月'!$A$1:$X$1,0)),$A16,INDEX('拌客源数据1-8月'!$A:$X,0,MATCH(F$24,'拌客源数据1-8月'!$A$1:$X$1,0))),SUMIFS(INDEX('拌客源数据1-8月'!$A:$X,0,MATCH(F$24,'拌客源数据1-8月'!$A$1:$X$1,0)),INDEX('拌客源数据1-8月'!$A:$X,0,MATCH($A$12,'拌客源数据1-8月'!$A$1:$X$1,0)),$A16,INDEX('拌客源数据1-8月'!$A:$X,0,MATCH("平台i",'拌客源数据1-8月'!$A$1:$X$1,0)),$H$5))</f>
        <v>21</v>
      </c>
      <c r="G28" s="25">
        <f t="shared" si="7"/>
        <v>0.2413793103448276</v>
      </c>
      <c r="H28" s="33">
        <f>IF($H$5="全部",SUMIF(INDEX('拌客源数据1-8月'!$A:$X,0,MATCH($A$12,'拌客源数据1-8月'!$A$1:$X$1,0)),$A16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16,INDEX('拌客源数据1-8月'!$A:$X,0,MATCH("平台i",'拌客源数据1-8月'!$A$1:$X$1,0)),$H$5))/$C16</f>
        <v>5.5726262281400547E-2</v>
      </c>
    </row>
    <row r="29" spans="1:8">
      <c r="A29" s="22">
        <f t="shared" si="4"/>
        <v>44057</v>
      </c>
      <c r="B29" s="23">
        <f t="shared" si="5"/>
        <v>44057</v>
      </c>
      <c r="C29" s="24">
        <f>IF($H$5="全部",SUMIF(INDEX('拌客源数据1-8月'!$A:$X,0,MATCH($A$12,'拌客源数据1-8月'!$A$1:$X$1,0)),$A17,INDEX('拌客源数据1-8月'!$A:$X,0,MATCH(C$24,'拌客源数据1-8月'!$A$1:$X$1,0))),SUMIFS(INDEX('拌客源数据1-8月'!$A:$X,0,MATCH(C$24,'拌客源数据1-8月'!$A$1:$X$1,0)),INDEX('拌客源数据1-8月'!$A:$X,0,MATCH($A$12,'拌客源数据1-8月'!$A$1:$X$1,0)),$A17,INDEX('拌客源数据1-8月'!$A:$X,0,MATCH("平台i",'拌客源数据1-8月'!$A$1:$X$1,0)),$H$5))</f>
        <v>1281</v>
      </c>
      <c r="D29" s="24">
        <f>IF($H$5="全部",SUMIF(INDEX('拌客源数据1-8月'!$A:$X,0,MATCH($A$12,'拌客源数据1-8月'!$A$1:$X$1,0)),$A17,INDEX('拌客源数据1-8月'!$A:$X,0,MATCH(D$24,'拌客源数据1-8月'!$A$1:$X$1,0))),SUMIFS(INDEX('拌客源数据1-8月'!$A:$X,0,MATCH(D$24,'拌客源数据1-8月'!$A$1:$X$1,0)),INDEX('拌客源数据1-8月'!$A:$X,0,MATCH($A$12,'拌客源数据1-8月'!$A$1:$X$1,0)),$A17,INDEX('拌客源数据1-8月'!$A:$X,0,MATCH("平台i",'拌客源数据1-8月'!$A$1:$X$1,0)),$H$5))</f>
        <v>94</v>
      </c>
      <c r="E29" s="25">
        <f t="shared" si="6"/>
        <v>7.3380171740827477E-2</v>
      </c>
      <c r="F29" s="24">
        <f>IF($H$5="全部",SUMIF(INDEX('拌客源数据1-8月'!$A:$X,0,MATCH($A$12,'拌客源数据1-8月'!$A$1:$X$1,0)),$A17,INDEX('拌客源数据1-8月'!$A:$X,0,MATCH(F$24,'拌客源数据1-8月'!$A$1:$X$1,0))),SUMIFS(INDEX('拌客源数据1-8月'!$A:$X,0,MATCH(F$24,'拌客源数据1-8月'!$A$1:$X$1,0)),INDEX('拌客源数据1-8月'!$A:$X,0,MATCH($A$12,'拌客源数据1-8月'!$A$1:$X$1,0)),$A17,INDEX('拌客源数据1-8月'!$A:$X,0,MATCH("平台i",'拌客源数据1-8月'!$A$1:$X$1,0)),$H$5))</f>
        <v>18</v>
      </c>
      <c r="G29" s="25">
        <f t="shared" si="7"/>
        <v>0.19148936170212766</v>
      </c>
      <c r="H29" s="33">
        <f>IF($H$5="全部",SUMIF(INDEX('拌客源数据1-8月'!$A:$X,0,MATCH($A$12,'拌客源数据1-8月'!$A$1:$X$1,0)),$A17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17,INDEX('拌客源数据1-8月'!$A:$X,0,MATCH("平台i",'拌客源数据1-8月'!$A$1:$X$1,0)),$H$5))/$C17</f>
        <v>6.6105899912030114E-2</v>
      </c>
    </row>
    <row r="30" spans="1:8">
      <c r="A30" s="22">
        <f t="shared" si="4"/>
        <v>44058</v>
      </c>
      <c r="B30" s="23">
        <f t="shared" si="5"/>
        <v>44058</v>
      </c>
      <c r="C30" s="24">
        <f>IF($H$5="全部",SUMIF(INDEX('拌客源数据1-8月'!$A:$X,0,MATCH($A$12,'拌客源数据1-8月'!$A$1:$X$1,0)),$A18,INDEX('拌客源数据1-8月'!$A:$X,0,MATCH(C$24,'拌客源数据1-8月'!$A$1:$X$1,0))),SUMIFS(INDEX('拌客源数据1-8月'!$A:$X,0,MATCH(C$24,'拌客源数据1-8月'!$A$1:$X$1,0)),INDEX('拌客源数据1-8月'!$A:$X,0,MATCH($A$12,'拌客源数据1-8月'!$A$1:$X$1,0)),$A18,INDEX('拌客源数据1-8月'!$A:$X,0,MATCH("平台i",'拌客源数据1-8月'!$A$1:$X$1,0)),$H$5))</f>
        <v>1467</v>
      </c>
      <c r="D30" s="24">
        <f>IF($H$5="全部",SUMIF(INDEX('拌客源数据1-8月'!$A:$X,0,MATCH($A$12,'拌客源数据1-8月'!$A$1:$X$1,0)),$A18,INDEX('拌客源数据1-8月'!$A:$X,0,MATCH(D$24,'拌客源数据1-8月'!$A$1:$X$1,0))),SUMIFS(INDEX('拌客源数据1-8月'!$A:$X,0,MATCH(D$24,'拌客源数据1-8月'!$A$1:$X$1,0)),INDEX('拌客源数据1-8月'!$A:$X,0,MATCH($A$12,'拌客源数据1-8月'!$A$1:$X$1,0)),$A18,INDEX('拌客源数据1-8月'!$A:$X,0,MATCH("平台i",'拌客源数据1-8月'!$A$1:$X$1,0)),$H$5))</f>
        <v>109</v>
      </c>
      <c r="E30" s="25">
        <f t="shared" si="6"/>
        <v>7.4301295160190864E-2</v>
      </c>
      <c r="F30" s="24">
        <f>IF($H$5="全部",SUMIF(INDEX('拌客源数据1-8月'!$A:$X,0,MATCH($A$12,'拌客源数据1-8月'!$A$1:$X$1,0)),$A18,INDEX('拌客源数据1-8月'!$A:$X,0,MATCH(F$24,'拌客源数据1-8月'!$A$1:$X$1,0))),SUMIFS(INDEX('拌客源数据1-8月'!$A:$X,0,MATCH(F$24,'拌客源数据1-8月'!$A$1:$X$1,0)),INDEX('拌客源数据1-8月'!$A:$X,0,MATCH($A$12,'拌客源数据1-8月'!$A$1:$X$1,0)),$A18,INDEX('拌客源数据1-8月'!$A:$X,0,MATCH("平台i",'拌客源数据1-8月'!$A$1:$X$1,0)),$H$5))</f>
        <v>22</v>
      </c>
      <c r="G30" s="25">
        <f t="shared" si="7"/>
        <v>0.20183486238532111</v>
      </c>
      <c r="H30" s="33">
        <f>IF($H$5="全部",SUMIF(INDEX('拌客源数据1-8月'!$A:$X,0,MATCH($A$12,'拌客源数据1-8月'!$A$1:$X$1,0)),$A18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18,INDEX('拌客源数据1-8月'!$A:$X,0,MATCH("平台i",'拌客源数据1-8月'!$A$1:$X$1,0)),$H$5))/$C18</f>
        <v>6.6994338877430115E-2</v>
      </c>
    </row>
    <row r="31" spans="1:8">
      <c r="A31" s="27">
        <f t="shared" si="4"/>
        <v>44059</v>
      </c>
      <c r="B31" s="28">
        <f t="shared" si="5"/>
        <v>44059</v>
      </c>
      <c r="C31" s="29">
        <f>IF($H$5="全部",SUMIF(INDEX('拌客源数据1-8月'!$A:$X,0,MATCH($A$12,'拌客源数据1-8月'!$A$1:$X$1,0)),$A19,INDEX('拌客源数据1-8月'!$A:$X,0,MATCH(C$24,'拌客源数据1-8月'!$A$1:$X$1,0))),SUMIFS(INDEX('拌客源数据1-8月'!$A:$X,0,MATCH(C$24,'拌客源数据1-8月'!$A$1:$X$1,0)),INDEX('拌客源数据1-8月'!$A:$X,0,MATCH($A$12,'拌客源数据1-8月'!$A$1:$X$1,0)),$A19,INDEX('拌客源数据1-8月'!$A:$X,0,MATCH("平台i",'拌客源数据1-8月'!$A$1:$X$1,0)),$H$5))</f>
        <v>1432</v>
      </c>
      <c r="D31" s="29">
        <f>IF($H$5="全部",SUMIF(INDEX('拌客源数据1-8月'!$A:$X,0,MATCH($A$12,'拌客源数据1-8月'!$A$1:$X$1,0)),$A19,INDEX('拌客源数据1-8月'!$A:$X,0,MATCH(D$24,'拌客源数据1-8月'!$A$1:$X$1,0))),SUMIFS(INDEX('拌客源数据1-8月'!$A:$X,0,MATCH(D$24,'拌客源数据1-8月'!$A$1:$X$1,0)),INDEX('拌客源数据1-8月'!$A:$X,0,MATCH($A$12,'拌客源数据1-8月'!$A$1:$X$1,0)),$A19,INDEX('拌客源数据1-8月'!$A:$X,0,MATCH("平台i",'拌客源数据1-8月'!$A$1:$X$1,0)),$H$5))</f>
        <v>100</v>
      </c>
      <c r="E31" s="30">
        <f t="shared" si="6"/>
        <v>6.9832402234636867E-2</v>
      </c>
      <c r="F31" s="29">
        <f>IF($H$5="全部",SUMIF(INDEX('拌客源数据1-8月'!$A:$X,0,MATCH($A$12,'拌客源数据1-8月'!$A$1:$X$1,0)),$A19,INDEX('拌客源数据1-8月'!$A:$X,0,MATCH(F$24,'拌客源数据1-8月'!$A$1:$X$1,0))),SUMIFS(INDEX('拌客源数据1-8月'!$A:$X,0,MATCH(F$24,'拌客源数据1-8月'!$A$1:$X$1,0)),INDEX('拌客源数据1-8月'!$A:$X,0,MATCH($A$12,'拌客源数据1-8月'!$A$1:$X$1,0)),$A19,INDEX('拌客源数据1-8月'!$A:$X,0,MATCH("平台i",'拌客源数据1-8月'!$A$1:$X$1,0)),$H$5))</f>
        <v>20</v>
      </c>
      <c r="G31" s="30">
        <f t="shared" si="7"/>
        <v>0.2</v>
      </c>
      <c r="H31" s="34">
        <f>IF($H$5="全部",SUMIF(INDEX('拌客源数据1-8月'!$A:$X,0,MATCH($A$12,'拌客源数据1-8月'!$A$1:$X$1,0)),$A19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19,INDEX('拌客源数据1-8月'!$A:$X,0,MATCH("平台i",'拌客源数据1-8月'!$A$1:$X$1,0)),$H$5))/$C19</f>
        <v>4.0497585952131411E-2</v>
      </c>
    </row>
    <row r="32" spans="1:8">
      <c r="A32" s="24" t="s">
        <v>72</v>
      </c>
      <c r="B32" s="24"/>
      <c r="C32" s="24">
        <f>SUM(C25:C31)</f>
        <v>8816</v>
      </c>
      <c r="D32" s="24">
        <f>SUM(D25:D31)</f>
        <v>690</v>
      </c>
      <c r="E32" s="35">
        <f>D32/C32</f>
        <v>7.8266787658802184E-2</v>
      </c>
      <c r="F32" s="24">
        <f>SUM(F25:F31)</f>
        <v>148</v>
      </c>
      <c r="G32" s="35">
        <f>F32/D32</f>
        <v>0.2144927536231884</v>
      </c>
      <c r="H32" s="35">
        <f>IF($H$5="全部"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$19)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,INDEX('拌客源数据1-8月'!$A:$X,0,MATCH("平台i",'拌客源数据1-8月'!$A$1:$X$1,0)),$H$5))/$C20</f>
        <v>5.8903610696819396E-2</v>
      </c>
    </row>
  </sheetData>
  <dataConsolidate link="1"/>
  <mergeCells count="3">
    <mergeCell ref="A2:H3"/>
    <mergeCell ref="G6:H6"/>
    <mergeCell ref="G7:H7"/>
  </mergeCells>
  <phoneticPr fontId="18" type="noConversion"/>
  <conditionalFormatting sqref="D9">
    <cfRule type="cellIs" dxfId="33" priority="21" operator="lessThan">
      <formula>0</formula>
    </cfRule>
    <cfRule type="cellIs" dxfId="32" priority="22" operator="greaterThan">
      <formula>0</formula>
    </cfRule>
  </conditionalFormatting>
  <conditionalFormatting sqref="G7:H7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{624897C2-C339-4CDC-94F1-B537F0103EF0}</x14:id>
        </ext>
      </extLst>
    </cfRule>
  </conditionalFormatting>
  <conditionalFormatting sqref="B9">
    <cfRule type="cellIs" dxfId="31" priority="18" operator="greaterThan">
      <formula>0</formula>
    </cfRule>
    <cfRule type="cellIs" dxfId="30" priority="19" operator="lessThan">
      <formula>0</formula>
    </cfRule>
  </conditionalFormatting>
  <conditionalFormatting sqref="F9">
    <cfRule type="cellIs" dxfId="29" priority="16" operator="lessThan">
      <formula>0</formula>
    </cfRule>
    <cfRule type="cellIs" dxfId="28" priority="17" operator="greaterThan">
      <formula>0</formula>
    </cfRule>
  </conditionalFormatting>
  <conditionalFormatting sqref="A13:B13 E13:H13 A14:H19">
    <cfRule type="expression" dxfId="27" priority="14">
      <formula>$C13&lt;AVERAGE($C$13:$C$19)</formula>
    </cfRule>
  </conditionalFormatting>
  <conditionalFormatting sqref="D9">
    <cfRule type="cellIs" dxfId="26" priority="12" operator="lessThan">
      <formula>0</formula>
    </cfRule>
    <cfRule type="cellIs" dxfId="25" priority="13" operator="greaterThan">
      <formula>0</formula>
    </cfRule>
  </conditionalFormatting>
  <conditionalFormatting sqref="D9">
    <cfRule type="cellIs" dxfId="24" priority="10" operator="lessThan">
      <formula>0</formula>
    </cfRule>
    <cfRule type="cellIs" dxfId="23" priority="11" operator="greaterThan">
      <formula>0</formula>
    </cfRule>
  </conditionalFormatting>
  <conditionalFormatting sqref="D9">
    <cfRule type="cellIs" dxfId="22" priority="7" operator="greaterThan">
      <formula>0</formula>
    </cfRule>
    <cfRule type="cellIs" dxfId="21" priority="8" operator="lessThan">
      <formula>0</formula>
    </cfRule>
  </conditionalFormatting>
  <conditionalFormatting sqref="F9">
    <cfRule type="cellIs" dxfId="20" priority="5" operator="greaterThan">
      <formula>0</formula>
    </cfRule>
    <cfRule type="cellIs" dxfId="19" priority="6" operator="lessThan">
      <formula>0</formula>
    </cfRule>
  </conditionalFormatting>
  <conditionalFormatting sqref="D9">
    <cfRule type="cellIs" dxfId="18" priority="3" operator="greaterThan">
      <formula>0</formula>
    </cfRule>
    <cfRule type="cellIs" dxfId="17" priority="4" operator="lessThan">
      <formula>0</formula>
    </cfRule>
  </conditionalFormatting>
  <conditionalFormatting sqref="F9">
    <cfRule type="cellIs" dxfId="16" priority="1" operator="greaterThan">
      <formula>0</formula>
    </cfRule>
    <cfRule type="cellIs" dxfId="15" priority="2" operator="lessThan">
      <formula>0</formula>
    </cfRule>
  </conditionalFormatting>
  <dataValidations count="1">
    <dataValidation type="list" allowBlank="1" showInputMessage="1" showErrorMessage="1" sqref="H5" xr:uid="{5926AC02-B758-4EB5-8846-4FD174143F02}">
      <formula1>"全部,美团,饿了么"</formula1>
    </dataValidation>
  </dataValidations>
  <pageMargins left="0.7" right="0.7" top="0.75" bottom="0.75" header="0.3" footer="0.3"/>
  <pageSetup paperSize="9" orientation="portrait" r:id="rId1"/>
  <ignoredErrors>
    <ignoredError sqref="E13:E20 E25:E3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4897C2-C339-4CDC-94F1-B537F0103EF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  <x14:conditionalFormatting xmlns:xm="http://schemas.microsoft.com/office/excel/2006/main">
          <x14:cfRule type="iconSet" priority="15" id="{2361EEB0-42DF-4895-8BAC-AC92E8A9C824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 D9 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1E85E299-2E70-4300-B5A3-5C2189095D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'大厂周报-完成版'!G25:G31</xm:f>
              <xm:sqref>F6</xm:sqref>
            </x14:sparkline>
          </x14:sparklines>
        </x14:sparklineGroup>
        <x14:sparklineGroup manualMax="0" manualMin="0" displayEmptyCellsAs="gap" markers="1" xr2:uid="{FA0B1563-E6FC-41FF-933B-DDA4175331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'大厂周报-完成版'!E25:E31</xm:f>
              <xm:sqref>D6</xm:sqref>
            </x14:sparkline>
          </x14:sparklines>
        </x14:sparklineGroup>
        <x14:sparklineGroup manualMax="0" manualMin="0" displayEmptyCellsAs="gap" markers="1" xr2:uid="{73F04425-0A95-4D0E-9ADB-7714868F3A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'大厂周报-完成版'!C25:C31</xm:f>
              <xm:sqref>B6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B2CE-562F-40BD-9030-C4D1E53F3062}">
  <sheetPr>
    <tabColor theme="9" tint="0.39997558519241921"/>
  </sheetPr>
  <dimension ref="A1:K32"/>
  <sheetViews>
    <sheetView tabSelected="1" zoomScale="70" zoomScaleNormal="70" workbookViewId="0">
      <selection activeCell="H5" sqref="H5"/>
    </sheetView>
  </sheetViews>
  <sheetFormatPr defaultRowHeight="16.5"/>
  <cols>
    <col min="1" max="1" width="17.47265625" style="66" bestFit="1" customWidth="1"/>
    <col min="2" max="2" width="12.68359375" style="66" bestFit="1" customWidth="1"/>
    <col min="3" max="3" width="33.734375" style="66" bestFit="1" customWidth="1"/>
    <col min="4" max="4" width="12.26171875" style="66" bestFit="1" customWidth="1"/>
    <col min="5" max="5" width="33.578125" style="66" bestFit="1" customWidth="1"/>
    <col min="6" max="6" width="12.3671875" style="66" customWidth="1"/>
    <col min="7" max="7" width="31.41796875" style="66" bestFit="1" customWidth="1"/>
    <col min="8" max="8" width="29.5234375" style="66" bestFit="1" customWidth="1"/>
    <col min="11" max="11" width="9.83984375" bestFit="1" customWidth="1"/>
  </cols>
  <sheetData>
    <row r="1" spans="1:11">
      <c r="A1" s="66" t="s">
        <v>202</v>
      </c>
      <c r="B1" s="77">
        <v>44060</v>
      </c>
      <c r="C1" s="66" t="s">
        <v>204</v>
      </c>
      <c r="D1" s="77">
        <f>A19</f>
        <v>44066</v>
      </c>
    </row>
    <row r="2" spans="1:11" ht="16.5" customHeight="1">
      <c r="A2" s="88" t="s">
        <v>203</v>
      </c>
      <c r="B2" s="88"/>
      <c r="C2" s="88"/>
      <c r="D2" s="88"/>
      <c r="E2" s="88"/>
      <c r="F2" s="88"/>
      <c r="G2" s="88"/>
      <c r="H2" s="88"/>
    </row>
    <row r="3" spans="1:11" ht="16.5" customHeight="1">
      <c r="A3" s="88"/>
      <c r="B3" s="88"/>
      <c r="C3" s="88"/>
      <c r="D3" s="88"/>
      <c r="E3" s="88"/>
      <c r="F3" s="88"/>
      <c r="G3" s="88"/>
      <c r="H3" s="88"/>
    </row>
    <row r="4" spans="1:11" ht="16.8" thickBot="1">
      <c r="A4" s="89" t="s">
        <v>58</v>
      </c>
      <c r="B4" s="66" t="s">
        <v>213</v>
      </c>
    </row>
    <row r="5" spans="1:11" ht="16.8" thickBot="1">
      <c r="A5" s="90" t="str">
        <f>C24</f>
        <v>曝光人数</v>
      </c>
      <c r="C5" s="90" t="str">
        <f>E24</f>
        <v>进店转化率（进店人数/曝光人数）</v>
      </c>
      <c r="E5" s="90" t="str">
        <f>G24</f>
        <v>下单转化率 (下单人数/进店人数)</v>
      </c>
      <c r="G5" s="95" t="s">
        <v>62</v>
      </c>
      <c r="H5" s="113" t="s">
        <v>223</v>
      </c>
    </row>
    <row r="6" spans="1:11" ht="16.8" thickBot="1">
      <c r="A6" s="90">
        <f>C32</f>
        <v>15609</v>
      </c>
      <c r="C6" s="91">
        <f>E32</f>
        <v>7.7647511051316551E-2</v>
      </c>
      <c r="E6" s="91">
        <f>G32</f>
        <v>0.20297029702970298</v>
      </c>
      <c r="G6" s="97" t="s">
        <v>63</v>
      </c>
      <c r="H6" s="98"/>
    </row>
    <row r="7" spans="1:11" ht="16.8" thickBot="1">
      <c r="A7" s="89" t="s">
        <v>64</v>
      </c>
      <c r="B7" s="66" t="s">
        <v>224</v>
      </c>
      <c r="G7" s="114">
        <f>IF($H$5="All", SUMIFS(INDEX(拌客源数据备份!$A:$X, 0, MATCH($C$12,拌客源数据备份!$1:$1,0)), INDEX(拌客源数据备份!$A:$X, 0, MATCH($A$12, 拌客源数据备份!$A$1:$X$1,0)), "&gt;="&amp;DATE(YEAR($A$13),MONTH($A$13),1),INDEX(拌客源数据备份!$A:$X, 0, MATCH($A$12, 拌客源数据备份!$A$1:$X$1,0)), "&lt;="&amp;$A$19),SUMIFS(INDEX(拌客源数据备份!$A:$X, 0, MATCH($C$12,拌客源数据备份!$1:$1,0)),INDEX(拌客源数据备份!$A:$X, 0, MATCH($A$12, 拌客源数据备份!$A$1:$X$1,0)), "&gt;="&amp;DATE(YEAR($A$13),MONTH($A$13),1),INDEX(拌客源数据备份!$A:$X, 0, MATCH($A$12, 拌客源数据备份!$A$1:$X$1,0)), "&lt;="&amp;$A$19,INDEX(拌客源数据备份!$A:$X, 0, MATCH("平台i", 拌客源数据备份!$1:$1,0)),$H$5))/$H$8</f>
        <v>0.3310327500000001</v>
      </c>
      <c r="H7" s="115"/>
    </row>
    <row r="8" spans="1:11" ht="16.8" thickBot="1">
      <c r="A8" s="90" t="str">
        <f>F12</f>
        <v>有效订单</v>
      </c>
      <c r="C8" s="90" t="str">
        <f>D12</f>
        <v>商家实收</v>
      </c>
      <c r="E8" s="91" t="str">
        <f>E12</f>
        <v>到手率（商家实收/GMV）</v>
      </c>
      <c r="G8" s="99" t="s">
        <v>66</v>
      </c>
      <c r="H8" s="100">
        <f>IF($H$5="All", 200000,IF($H$5="美团", 150000, 50000))</f>
        <v>200000</v>
      </c>
    </row>
    <row r="9" spans="1:11">
      <c r="A9" s="112">
        <f>F20</f>
        <v>246</v>
      </c>
      <c r="B9" s="92">
        <f>F20/IF($H$5="All", SUMIFS(INDEX(拌客源数据备份!$A:$X, 0, MATCH($A$8,拌客源数据备份!$1:$1,0)), INDEX(拌客源数据备份!$A:$X, 0, MATCH($A$12, 拌客源数据备份!$A$1:$X$1,0)), "&gt;="&amp;($A$13-7),INDEX(拌客源数据备份!$A:$X, 0, MATCH($A$12, 拌客源数据备份!$A$1:$X$1,0)), "&lt;="&amp;($A$19-7)),SUMIFS(INDEX(拌客源数据备份!$A:$X, 0, MATCH($A$8,拌客源数据备份!$1:$1,0)),INDEX(拌客源数据备份!$A:$X, 0, MATCH($A$12, 拌客源数据备份!$A$1:$X$1,0)), "&gt;="&amp;($A$13-7),INDEX(拌客源数据备份!$A:$X, 0, MATCH($A$12, 拌客源数据备份!$A$1:$X$1,0)), "&lt;="&amp;($A$19-7),INDEX(拌客源数据备份!$A:$X, 0, MATCH("平台i", 拌客源数据备份!$1:$1,0)),$H$5))-1</f>
        <v>-4.6511627906976716E-2</v>
      </c>
      <c r="C9" s="112">
        <f>D20</f>
        <v>5114.1500000000005</v>
      </c>
      <c r="D9" s="92">
        <f>D20/IF($H$5="All", SUMIFS(INDEX(拌客源数据备份!$A:$X, 0, MATCH($C$8,拌客源数据备份!$1:$1,0)), INDEX(拌客源数据备份!$A:$X, 0, MATCH($A$12, 拌客源数据备份!$A$1:$X$1,0)), "&gt;="&amp;($A$13-7),INDEX(拌客源数据备份!$A:$X, 0, MATCH($A$12, 拌客源数据备份!$A$1:$X$1,0)), "&lt;="&amp;($A$19-7)),SUMIFS(INDEX(拌客源数据备份!$A:$X, 0, MATCH($C$8,拌客源数据备份!$1:$1,0)),INDEX(拌客源数据备份!$A:$X, 0, MATCH($A$12, 拌客源数据备份!$A$1:$X$1,0)), "&gt;="&amp;($A$13-7),INDEX(拌客源数据备份!$A:$X, 0, MATCH($A$12, 拌客源数据备份!$A$1:$X$1,0)), "&lt;="&amp;($A$19-7),INDEX(拌客源数据备份!$A:$X, 0, MATCH("平台i", 拌客源数据备份!$1:$1,0)),$H$5))-1</f>
        <v>-5.5996204898560165E-2</v>
      </c>
      <c r="E9" s="92">
        <f>E20</f>
        <v>0.35922652663283827</v>
      </c>
      <c r="F9" s="92">
        <f>E20/(IF($H$5="All", SUMIFS(INDEX(拌客源数据备份!$A:$X, 0, MATCH($C$8,拌客源数据备份!$1:$1,0)), INDEX(拌客源数据备份!$A:$X, 0, MATCH($A$12, 拌客源数据备份!$A$1:$X$1,0)), "&gt;="&amp;($A$13-7),INDEX(拌客源数据备份!$A:$X, 0, MATCH($A$12, 拌客源数据备份!$A$1:$X$1,0)), "&lt;="&amp;($A$19-7)),SUMIFS(INDEX(拌客源数据备份!$A:$X, 0, MATCH($C$8,拌客源数据备份!$1:$1,0)),INDEX(拌客源数据备份!$A:$X, 0, MATCH($A$12, 拌客源数据备份!$A$1:$X$1,0)), "&gt;="&amp;($A$13-7),INDEX(拌客源数据备份!$A:$X, 0, MATCH($A$12, 拌客源数据备份!$A$1:$X$1,0)), "&lt;="&amp;($A$19-7),INDEX(拌客源数据备份!$A:$X, 0, MATCH("平台i", 拌客源数据备份!$1:$1,0)),$H$5))/IF($H$5="All", SUMIFS(INDEX(拌客源数据备份!$A:$X, 0, MATCH($C$12,拌客源数据备份!$1:$1,0)), INDEX(拌客源数据备份!$A:$X, 0, MATCH($A$12, 拌客源数据备份!$A$1:$X$1,0)), "&gt;="&amp;($A$13-7),INDEX(拌客源数据备份!$A:$X, 0, MATCH($A$12, 拌客源数据备份!$A$1:$X$1,0)), "&lt;="&amp;($A$19-7)),SUMIFS(INDEX(拌客源数据备份!$A:$X, 0, MATCH($C$12,拌客源数据备份!$1:$1,0)),INDEX(拌客源数据备份!$A:$X, 0, MATCH($A$12, 拌客源数据备份!$A$1:$X$1,0)), "&gt;="&amp;($A$13-7),INDEX(拌客源数据备份!$A:$X, 0, MATCH($A$12, 拌客源数据备份!$A$1:$X$1,0)), "&lt;="&amp;($A$19-7),INDEX(拌客源数据备份!$A:$X, 0, MATCH("平台i", 拌客源数据备份!$1:$1,0)),$H$5)))-1</f>
        <v>-5.5368236999915332E-3</v>
      </c>
    </row>
    <row r="10" spans="1:11" ht="16.8" thickBot="1"/>
    <row r="11" spans="1:11">
      <c r="A11" s="101" t="s">
        <v>67</v>
      </c>
      <c r="B11" s="102"/>
      <c r="C11" s="102" t="s">
        <v>68</v>
      </c>
      <c r="D11" s="102"/>
      <c r="E11" s="102"/>
      <c r="F11" s="102"/>
      <c r="G11" s="102"/>
      <c r="H11" s="96"/>
    </row>
    <row r="12" spans="1:11">
      <c r="A12" s="116" t="s">
        <v>3</v>
      </c>
      <c r="B12" s="117" t="s">
        <v>220</v>
      </c>
      <c r="C12" s="117" t="s">
        <v>205</v>
      </c>
      <c r="D12" s="117" t="s">
        <v>206</v>
      </c>
      <c r="E12" s="118" t="s">
        <v>209</v>
      </c>
      <c r="F12" s="117" t="s">
        <v>207</v>
      </c>
      <c r="G12" s="117" t="s">
        <v>208</v>
      </c>
      <c r="H12" s="119" t="s">
        <v>210</v>
      </c>
      <c r="J12" s="66" t="s">
        <v>216</v>
      </c>
      <c r="K12" s="61" t="s">
        <v>219</v>
      </c>
    </row>
    <row r="13" spans="1:11">
      <c r="A13" s="103">
        <f>B1</f>
        <v>44060</v>
      </c>
      <c r="B13" s="104" t="str">
        <f>TEXT(A13, "dddd")</f>
        <v>Monday</v>
      </c>
      <c r="C13" s="93">
        <f>IF($H$5="All", SUMIFS(INDEX(拌客源数据备份!$A:$X, 0, MATCH('大厂周报-练习版'!C$12,拌客源数据备份!$1:$1,0)), INDEX(拌客源数据备份!$A:$X, 0, MATCH($A$12, 拌客源数据备份!$A$1:$X$1,0)), $A13),SUMIFS(INDEX(拌客源数据备份!$A:$X, 0, MATCH('大厂周报-练习版'!C$12,拌客源数据备份!$1:$1,0)),INDEX(拌客源数据备份!$A:$X, 0, MATCH($A$12, 拌客源数据备份!$A$1:$X$1,0)),'大厂周报-练习版'!$A13,INDEX(拌客源数据备份!$A:$X, 0, MATCH("平台i", 拌客源数据备份!$1:$1,0)),'大厂周报-练习版'!$H$5))</f>
        <v>2096.04</v>
      </c>
      <c r="D13" s="93">
        <f>IF($H$5="All", SUMIFS(INDEX(拌客源数据备份!$A:$X, 0, MATCH('大厂周报-练习版'!D$12,拌客源数据备份!$1:$1,0)), INDEX(拌客源数据备份!$A:$X, 0, MATCH($A$12, 拌客源数据备份!$A$1:$X$1,0)), $A13),SUMIFS(INDEX(拌客源数据备份!$A:$X, 0, MATCH('大厂周报-练习版'!D$12,拌客源数据备份!$1:$1,0)),INDEX(拌客源数据备份!$A:$X, 0, MATCH($A$12, 拌客源数据备份!$A$1:$X$1,0)),'大厂周报-练习版'!$A13,INDEX(拌客源数据备份!$A:$X, 0, MATCH("平台i", 拌客源数据备份!$1:$1,0)),'大厂周报-练习版'!$H$5))</f>
        <v>779.47</v>
      </c>
      <c r="E13" s="94">
        <f>D13/C13</f>
        <v>0.37187744508692583</v>
      </c>
      <c r="F13" s="93">
        <f>IF($H$5="All", SUMIFS(INDEX(拌客源数据备份!$A:$X, 0, MATCH('大厂周报-练习版'!F$12,拌客源数据备份!$1:$1,0)), INDEX(拌客源数据备份!$A:$X, 0, MATCH($A$12, 拌客源数据备份!$A$1:$X$1,0)), $A13),SUMIFS(INDEX(拌客源数据备份!$A:$X, 0, MATCH('大厂周报-练习版'!F$12,拌客源数据备份!$1:$1,0)),INDEX(拌客源数据备份!$A:$X, 0, MATCH($A$12, 拌客源数据备份!$A$1:$X$1,0)),'大厂周报-练习版'!$A13,INDEX(拌客源数据备份!$A:$X, 0, MATCH("平台i", 拌客源数据备份!$1:$1,0)),'大厂周报-练习版'!$H$5))</f>
        <v>36</v>
      </c>
      <c r="G13" s="93">
        <f>IF($H$5="All", SUMIFS(INDEX(拌客源数据备份!$A:$X, 0, MATCH('大厂周报-练习版'!G$12,拌客源数据备份!$1:$1,0)), INDEX(拌客源数据备份!$A:$X, 0, MATCH($A$12, 拌客源数据备份!$A$1:$X$1,0)), $A13),SUMIFS(INDEX(拌客源数据备份!$A:$X, 0, MATCH('大厂周报-练习版'!G$12,拌客源数据备份!$1:$1,0)),INDEX(拌客源数据备份!$A:$X, 0, MATCH($A$12, 拌客源数据备份!$A$1:$X$1,0)),'大厂周报-练习版'!$A13,INDEX(拌客源数据备份!$A:$X, 0, MATCH("平台i", 拌客源数据备份!$1:$1,0)),'大厂周报-练习版'!$H$5))</f>
        <v>0</v>
      </c>
      <c r="H13" s="105">
        <f>C13/F13</f>
        <v>58.223333333333329</v>
      </c>
      <c r="K13" s="1"/>
    </row>
    <row r="14" spans="1:11">
      <c r="A14" s="103">
        <f>A13+1</f>
        <v>44061</v>
      </c>
      <c r="B14" s="104" t="str">
        <f t="shared" ref="B14:B19" si="0">TEXT(A14, "dddd")</f>
        <v>Tuesday</v>
      </c>
      <c r="C14" s="93">
        <f>IF($H$5="All", SUMIFS(INDEX(拌客源数据备份!$A:$X, 0, MATCH('大厂周报-练习版'!C$12,拌客源数据备份!$1:$1,0)), INDEX(拌客源数据备份!$A:$X, 0, MATCH($A$12, 拌客源数据备份!$A$1:$X$1,0)), $A14),SUMIFS(INDEX(拌客源数据备份!$A:$X, 0, MATCH('大厂周报-练习版'!C$12,拌客源数据备份!$1:$1,0)),INDEX(拌客源数据备份!$A:$X, 0, MATCH($A$12, 拌客源数据备份!$A$1:$X$1,0)),'大厂周报-练习版'!$A14,INDEX(拌客源数据备份!$A:$X, 0, MATCH("平台i", 拌客源数据备份!$1:$1,0)),'大厂周报-练习版'!$H$5))</f>
        <v>1878.62</v>
      </c>
      <c r="D14" s="93">
        <f>IF($H$5="All", SUMIFS(INDEX(拌客源数据备份!$A:$X, 0, MATCH('大厂周报-练习版'!D$12,拌客源数据备份!$1:$1,0)), INDEX(拌客源数据备份!$A:$X, 0, MATCH($A$12, 拌客源数据备份!$A$1:$X$1,0)), $A14),SUMIFS(INDEX(拌客源数据备份!$A:$X, 0, MATCH('大厂周报-练习版'!D$12,拌客源数据备份!$1:$1,0)),INDEX(拌客源数据备份!$A:$X, 0, MATCH($A$12, 拌客源数据备份!$A$1:$X$1,0)),'大厂周报-练习版'!$A14,INDEX(拌客源数据备份!$A:$X, 0, MATCH("平台i", 拌客源数据备份!$1:$1,0)),'大厂周报-练习版'!$H$5))</f>
        <v>651.22</v>
      </c>
      <c r="E14" s="94">
        <f t="shared" ref="E14:E20" si="1">D14/C14</f>
        <v>0.34664807145670762</v>
      </c>
      <c r="F14" s="93">
        <f>IF($H$5="All", SUMIFS(INDEX(拌客源数据备份!$A:$X, 0, MATCH('大厂周报-练习版'!F$12,拌客源数据备份!$1:$1,0)), INDEX(拌客源数据备份!$A:$X, 0, MATCH($A$12, 拌客源数据备份!$A$1:$X$1,0)), $A14),SUMIFS(INDEX(拌客源数据备份!$A:$X, 0, MATCH('大厂周报-练习版'!F$12,拌客源数据备份!$1:$1,0)),INDEX(拌客源数据备份!$A:$X, 0, MATCH($A$12, 拌客源数据备份!$A$1:$X$1,0)),'大厂周报-练习版'!$A14,INDEX(拌客源数据备份!$A:$X, 0, MATCH("平台i", 拌客源数据备份!$1:$1,0)),'大厂周报-练习版'!$H$5))</f>
        <v>32</v>
      </c>
      <c r="G14" s="93">
        <f>IF($H$5="All", SUMIFS(INDEX(拌客源数据备份!$A:$X, 0, MATCH('大厂周报-练习版'!G$12,拌客源数据备份!$1:$1,0)), INDEX(拌客源数据备份!$A:$X, 0, MATCH($A$12, 拌客源数据备份!$A$1:$X$1,0)), $A14),SUMIFS(INDEX(拌客源数据备份!$A:$X, 0, MATCH('大厂周报-练习版'!G$12,拌客源数据备份!$1:$1,0)),INDEX(拌客源数据备份!$A:$X, 0, MATCH($A$12, 拌客源数据备份!$A$1:$X$1,0)),'大厂周报-练习版'!$A14,INDEX(拌客源数据备份!$A:$X, 0, MATCH("平台i", 拌客源数据备份!$1:$1,0)),'大厂周报-练习版'!$H$5))</f>
        <v>0</v>
      </c>
      <c r="H14" s="105">
        <f t="shared" ref="H14:H20" si="2">C14/F14</f>
        <v>58.706874999999997</v>
      </c>
      <c r="J14" t="s">
        <v>215</v>
      </c>
      <c r="K14" t="s">
        <v>217</v>
      </c>
    </row>
    <row r="15" spans="1:11">
      <c r="A15" s="103">
        <f t="shared" ref="A15:A19" si="3">A14+1</f>
        <v>44062</v>
      </c>
      <c r="B15" s="104" t="str">
        <f t="shared" si="0"/>
        <v>Wednesday</v>
      </c>
      <c r="C15" s="93">
        <f>IF($H$5="All", SUMIFS(INDEX(拌客源数据备份!$A:$X, 0, MATCH('大厂周报-练习版'!C$12,拌客源数据备份!$1:$1,0)), INDEX(拌客源数据备份!$A:$X, 0, MATCH($A$12, 拌客源数据备份!$A$1:$X$1,0)), $A15),SUMIFS(INDEX(拌客源数据备份!$A:$X, 0, MATCH('大厂周报-练习版'!C$12,拌客源数据备份!$1:$1,0)),INDEX(拌客源数据备份!$A:$X, 0, MATCH($A$12, 拌客源数据备份!$A$1:$X$1,0)),'大厂周报-练习版'!$A15,INDEX(拌客源数据备份!$A:$X, 0, MATCH("平台i", 拌客源数据备份!$1:$1,0)),'大厂周报-练习版'!$H$5))</f>
        <v>2588.69</v>
      </c>
      <c r="D15" s="93">
        <f>IF($H$5="All", SUMIFS(INDEX(拌客源数据备份!$A:$X, 0, MATCH('大厂周报-练习版'!D$12,拌客源数据备份!$1:$1,0)), INDEX(拌客源数据备份!$A:$X, 0, MATCH($A$12, 拌客源数据备份!$A$1:$X$1,0)), $A15),SUMIFS(INDEX(拌客源数据备份!$A:$X, 0, MATCH('大厂周报-练习版'!D$12,拌客源数据备份!$1:$1,0)),INDEX(拌客源数据备份!$A:$X, 0, MATCH($A$12, 拌客源数据备份!$A$1:$X$1,0)),'大厂周报-练习版'!$A15,INDEX(拌客源数据备份!$A:$X, 0, MATCH("平台i", 拌客源数据备份!$1:$1,0)),'大厂周报-练习版'!$H$5))</f>
        <v>911.28</v>
      </c>
      <c r="E15" s="94">
        <f t="shared" si="1"/>
        <v>0.35202361039753693</v>
      </c>
      <c r="F15" s="93">
        <f>IF($H$5="All", SUMIFS(INDEX(拌客源数据备份!$A:$X, 0, MATCH('大厂周报-练习版'!F$12,拌客源数据备份!$1:$1,0)), INDEX(拌客源数据备份!$A:$X, 0, MATCH($A$12, 拌客源数据备份!$A$1:$X$1,0)), $A15),SUMIFS(INDEX(拌客源数据备份!$A:$X, 0, MATCH('大厂周报-练习版'!F$12,拌客源数据备份!$1:$1,0)),INDEX(拌客源数据备份!$A:$X, 0, MATCH($A$12, 拌客源数据备份!$A$1:$X$1,0)),'大厂周报-练习版'!$A15,INDEX(拌客源数据备份!$A:$X, 0, MATCH("平台i", 拌客源数据备份!$1:$1,0)),'大厂周报-练习版'!$H$5))</f>
        <v>44</v>
      </c>
      <c r="G15" s="93">
        <f>IF($H$5="All", SUMIFS(INDEX(拌客源数据备份!$A:$X, 0, MATCH('大厂周报-练习版'!G$12,拌客源数据备份!$1:$1,0)), INDEX(拌客源数据备份!$A:$X, 0, MATCH($A$12, 拌客源数据备份!$A$1:$X$1,0)), $A15),SUMIFS(INDEX(拌客源数据备份!$A:$X, 0, MATCH('大厂周报-练习版'!G$12,拌客源数据备份!$1:$1,0)),INDEX(拌客源数据备份!$A:$X, 0, MATCH($A$12, 拌客源数据备份!$A$1:$X$1,0)),'大厂周报-练习版'!$A15,INDEX(拌客源数据备份!$A:$X, 0, MATCH("平台i", 拌客源数据备份!$1:$1,0)),'大厂周报-练习版'!$H$5))</f>
        <v>0</v>
      </c>
      <c r="H15" s="105">
        <f t="shared" si="2"/>
        <v>58.833863636363638</v>
      </c>
    </row>
    <row r="16" spans="1:11">
      <c r="A16" s="103">
        <f t="shared" si="3"/>
        <v>44063</v>
      </c>
      <c r="B16" s="104" t="str">
        <f t="shared" si="0"/>
        <v>Thursday</v>
      </c>
      <c r="C16" s="93">
        <f>IF($H$5="All", SUMIFS(INDEX(拌客源数据备份!$A:$X, 0, MATCH('大厂周报-练习版'!C$12,拌客源数据备份!$1:$1,0)), INDEX(拌客源数据备份!$A:$X, 0, MATCH($A$12, 拌客源数据备份!$A$1:$X$1,0)), $A16),SUMIFS(INDEX(拌客源数据备份!$A:$X, 0, MATCH('大厂周报-练习版'!C$12,拌客源数据备份!$1:$1,0)),INDEX(拌客源数据备份!$A:$X, 0, MATCH($A$12, 拌客源数据备份!$A$1:$X$1,0)),'大厂周报-练习版'!$A16,INDEX(拌客源数据备份!$A:$X, 0, MATCH("平台i", 拌客源数据备份!$1:$1,0)),'大厂周报-练习版'!$H$5))</f>
        <v>1858.17</v>
      </c>
      <c r="D16" s="93">
        <f>IF($H$5="All", SUMIFS(INDEX(拌客源数据备份!$A:$X, 0, MATCH('大厂周报-练习版'!D$12,拌客源数据备份!$1:$1,0)), INDEX(拌客源数据备份!$A:$X, 0, MATCH($A$12, 拌客源数据备份!$A$1:$X$1,0)), $A16),SUMIFS(INDEX(拌客源数据备份!$A:$X, 0, MATCH('大厂周报-练习版'!D$12,拌客源数据备份!$1:$1,0)),INDEX(拌客源数据备份!$A:$X, 0, MATCH($A$12, 拌客源数据备份!$A$1:$X$1,0)),'大厂周报-练习版'!$A16,INDEX(拌客源数据备份!$A:$X, 0, MATCH("平台i", 拌客源数据备份!$1:$1,0)),'大厂周报-练习版'!$H$5))</f>
        <v>668.44</v>
      </c>
      <c r="E16" s="94">
        <f t="shared" si="1"/>
        <v>0.35973027225711318</v>
      </c>
      <c r="F16" s="93">
        <f>IF($H$5="All", SUMIFS(INDEX(拌客源数据备份!$A:$X, 0, MATCH('大厂周报-练习版'!F$12,拌客源数据备份!$1:$1,0)), INDEX(拌客源数据备份!$A:$X, 0, MATCH($A$12, 拌客源数据备份!$A$1:$X$1,0)), $A16),SUMIFS(INDEX(拌客源数据备份!$A:$X, 0, MATCH('大厂周报-练习版'!F$12,拌客源数据备份!$1:$1,0)),INDEX(拌客源数据备份!$A:$X, 0, MATCH($A$12, 拌客源数据备份!$A$1:$X$1,0)),'大厂周报-练习版'!$A16,INDEX(拌客源数据备份!$A:$X, 0, MATCH("平台i", 拌客源数据备份!$1:$1,0)),'大厂周报-练习版'!$H$5))</f>
        <v>32</v>
      </c>
      <c r="G16" s="93">
        <f>IF($H$5="All", SUMIFS(INDEX(拌客源数据备份!$A:$X, 0, MATCH('大厂周报-练习版'!G$12,拌客源数据备份!$1:$1,0)), INDEX(拌客源数据备份!$A:$X, 0, MATCH($A$12, 拌客源数据备份!$A$1:$X$1,0)), $A16),SUMIFS(INDEX(拌客源数据备份!$A:$X, 0, MATCH('大厂周报-练习版'!G$12,拌客源数据备份!$1:$1,0)),INDEX(拌客源数据备份!$A:$X, 0, MATCH($A$12, 拌客源数据备份!$A$1:$X$1,0)),'大厂周报-练习版'!$A16,INDEX(拌客源数据备份!$A:$X, 0, MATCH("平台i", 拌客源数据备份!$1:$1,0)),'大厂周报-练习版'!$H$5))</f>
        <v>0</v>
      </c>
      <c r="H16" s="105">
        <f t="shared" si="2"/>
        <v>58.067812500000002</v>
      </c>
      <c r="J16" t="s">
        <v>214</v>
      </c>
      <c r="K16" t="s">
        <v>218</v>
      </c>
    </row>
    <row r="17" spans="1:8">
      <c r="A17" s="103">
        <f t="shared" si="3"/>
        <v>44064</v>
      </c>
      <c r="B17" s="104" t="str">
        <f t="shared" si="0"/>
        <v>Friday</v>
      </c>
      <c r="C17" s="93">
        <f>IF($H$5="All", SUMIFS(INDEX(拌客源数据备份!$A:$X, 0, MATCH('大厂周报-练习版'!C$12,拌客源数据备份!$1:$1,0)), INDEX(拌客源数据备份!$A:$X, 0, MATCH($A$12, 拌客源数据备份!$A$1:$X$1,0)), $A17),SUMIFS(INDEX(拌客源数据备份!$A:$X, 0, MATCH('大厂周报-练习版'!C$12,拌客源数据备份!$1:$1,0)),INDEX(拌客源数据备份!$A:$X, 0, MATCH($A$12, 拌客源数据备份!$A$1:$X$1,0)),'大厂周报-练习版'!$A17,INDEX(拌客源数据备份!$A:$X, 0, MATCH("平台i", 拌客源数据备份!$1:$1,0)),'大厂周报-练习版'!$H$5))</f>
        <v>2118.79</v>
      </c>
      <c r="D17" s="93">
        <f>IF($H$5="All", SUMIFS(INDEX(拌客源数据备份!$A:$X, 0, MATCH('大厂周报-练习版'!D$12,拌客源数据备份!$1:$1,0)), INDEX(拌客源数据备份!$A:$X, 0, MATCH($A$12, 拌客源数据备份!$A$1:$X$1,0)), $A17),SUMIFS(INDEX(拌客源数据备份!$A:$X, 0, MATCH('大厂周报-练习版'!D$12,拌客源数据备份!$1:$1,0)),INDEX(拌客源数据备份!$A:$X, 0, MATCH($A$12, 拌客源数据备份!$A$1:$X$1,0)),'大厂周报-练习版'!$A17,INDEX(拌客源数据备份!$A:$X, 0, MATCH("平台i", 拌客源数据备份!$1:$1,0)),'大厂周报-练习版'!$H$5))</f>
        <v>748.69999999999993</v>
      </c>
      <c r="E17" s="94">
        <f t="shared" si="1"/>
        <v>0.35336206042127816</v>
      </c>
      <c r="F17" s="93">
        <f>IF($H$5="All", SUMIFS(INDEX(拌客源数据备份!$A:$X, 0, MATCH('大厂周报-练习版'!F$12,拌客源数据备份!$1:$1,0)), INDEX(拌客源数据备份!$A:$X, 0, MATCH($A$12, 拌客源数据备份!$A$1:$X$1,0)), $A17),SUMIFS(INDEX(拌客源数据备份!$A:$X, 0, MATCH('大厂周报-练习版'!F$12,拌客源数据备份!$1:$1,0)),INDEX(拌客源数据备份!$A:$X, 0, MATCH($A$12, 拌客源数据备份!$A$1:$X$1,0)),'大厂周报-练习版'!$A17,INDEX(拌客源数据备份!$A:$X, 0, MATCH("平台i", 拌客源数据备份!$1:$1,0)),'大厂周报-练习版'!$H$5))</f>
        <v>38</v>
      </c>
      <c r="G17" s="93">
        <f>IF($H$5="All", SUMIFS(INDEX(拌客源数据备份!$A:$X, 0, MATCH('大厂周报-练习版'!G$12,拌客源数据备份!$1:$1,0)), INDEX(拌客源数据备份!$A:$X, 0, MATCH($A$12, 拌客源数据备份!$A$1:$X$1,0)), $A17),SUMIFS(INDEX(拌客源数据备份!$A:$X, 0, MATCH('大厂周报-练习版'!G$12,拌客源数据备份!$1:$1,0)),INDEX(拌客源数据备份!$A:$X, 0, MATCH($A$12, 拌客源数据备份!$A$1:$X$1,0)),'大厂周报-练习版'!$A17,INDEX(拌客源数据备份!$A:$X, 0, MATCH("平台i", 拌客源数据备份!$1:$1,0)),'大厂周报-练习版'!$H$5))</f>
        <v>1</v>
      </c>
      <c r="H17" s="105">
        <f t="shared" si="2"/>
        <v>55.757631578947368</v>
      </c>
    </row>
    <row r="18" spans="1:8">
      <c r="A18" s="103">
        <f t="shared" si="3"/>
        <v>44065</v>
      </c>
      <c r="B18" s="104" t="str">
        <f t="shared" si="0"/>
        <v>Saturday</v>
      </c>
      <c r="C18" s="93">
        <f>IF($H$5="All", SUMIFS(INDEX(拌客源数据备份!$A:$X, 0, MATCH('大厂周报-练习版'!C$12,拌客源数据备份!$1:$1,0)), INDEX(拌客源数据备份!$A:$X, 0, MATCH($A$12, 拌客源数据备份!$A$1:$X$1,0)), $A18),SUMIFS(INDEX(拌客源数据备份!$A:$X, 0, MATCH('大厂周报-练习版'!C$12,拌客源数据备份!$1:$1,0)),INDEX(拌客源数据备份!$A:$X, 0, MATCH($A$12, 拌客源数据备份!$A$1:$X$1,0)),'大厂周报-练习版'!$A18,INDEX(拌客源数据备份!$A:$X, 0, MATCH("平台i", 拌客源数据备份!$1:$1,0)),'大厂周报-练习版'!$H$5))</f>
        <v>1940.15</v>
      </c>
      <c r="D18" s="93">
        <f>IF($H$5="All", SUMIFS(INDEX(拌客源数据备份!$A:$X, 0, MATCH('大厂周报-练习版'!D$12,拌客源数据备份!$1:$1,0)), INDEX(拌客源数据备份!$A:$X, 0, MATCH($A$12, 拌客源数据备份!$A$1:$X$1,0)), $A18),SUMIFS(INDEX(拌客源数据备份!$A:$X, 0, MATCH('大厂周报-练习版'!D$12,拌客源数据备份!$1:$1,0)),INDEX(拌客源数据备份!$A:$X, 0, MATCH($A$12, 拌客源数据备份!$A$1:$X$1,0)),'大厂周报-练习版'!$A18,INDEX(拌客源数据备份!$A:$X, 0, MATCH("平台i", 拌客源数据备份!$1:$1,0)),'大厂周报-练习版'!$H$5))</f>
        <v>693.12</v>
      </c>
      <c r="E18" s="94">
        <f t="shared" si="1"/>
        <v>0.35725072803649199</v>
      </c>
      <c r="F18" s="93">
        <f>IF($H$5="All", SUMIFS(INDEX(拌客源数据备份!$A:$X, 0, MATCH('大厂周报-练习版'!F$12,拌客源数据备份!$1:$1,0)), INDEX(拌客源数据备份!$A:$X, 0, MATCH($A$12, 拌客源数据备份!$A$1:$X$1,0)), $A18),SUMIFS(INDEX(拌客源数据备份!$A:$X, 0, MATCH('大厂周报-练习版'!F$12,拌客源数据备份!$1:$1,0)),INDEX(拌客源数据备份!$A:$X, 0, MATCH($A$12, 拌客源数据备份!$A$1:$X$1,0)),'大厂周报-练习版'!$A18,INDEX(拌客源数据备份!$A:$X, 0, MATCH("平台i", 拌客源数据备份!$1:$1,0)),'大厂周报-练习版'!$H$5))</f>
        <v>35</v>
      </c>
      <c r="G18" s="93">
        <f>IF($H$5="All", SUMIFS(INDEX(拌客源数据备份!$A:$X, 0, MATCH('大厂周报-练习版'!G$12,拌客源数据备份!$1:$1,0)), INDEX(拌客源数据备份!$A:$X, 0, MATCH($A$12, 拌客源数据备份!$A$1:$X$1,0)), $A18),SUMIFS(INDEX(拌客源数据备份!$A:$X, 0, MATCH('大厂周报-练习版'!G$12,拌客源数据备份!$1:$1,0)),INDEX(拌客源数据备份!$A:$X, 0, MATCH($A$12, 拌客源数据备份!$A$1:$X$1,0)),'大厂周报-练习版'!$A18,INDEX(拌客源数据备份!$A:$X, 0, MATCH("平台i", 拌客源数据备份!$1:$1,0)),'大厂周报-练习版'!$H$5))</f>
        <v>0</v>
      </c>
      <c r="H18" s="105">
        <f t="shared" si="2"/>
        <v>55.432857142857145</v>
      </c>
    </row>
    <row r="19" spans="1:8" ht="16.8" thickBot="1">
      <c r="A19" s="106">
        <f t="shared" si="3"/>
        <v>44066</v>
      </c>
      <c r="B19" s="107" t="str">
        <f t="shared" si="0"/>
        <v>Sunday</v>
      </c>
      <c r="C19" s="108">
        <f>IF($H$5="All", SUMIFS(INDEX(拌客源数据备份!$A:$X, 0, MATCH('大厂周报-练习版'!C$12,拌客源数据备份!$1:$1,0)), INDEX(拌客源数据备份!$A:$X, 0, MATCH($A$12, 拌客源数据备份!$A$1:$X$1,0)), $A19),SUMIFS(INDEX(拌客源数据备份!$A:$X, 0, MATCH('大厂周报-练习版'!C$12,拌客源数据备份!$1:$1,0)),INDEX(拌客源数据备份!$A:$X, 0, MATCH($A$12, 拌客源数据备份!$A$1:$X$1,0)),'大厂周报-练习版'!$A19,INDEX(拌客源数据备份!$A:$X, 0, MATCH("平台i", 拌客源数据备份!$1:$1,0)),'大厂周报-练习版'!$H$5))</f>
        <v>1756.1</v>
      </c>
      <c r="D19" s="108">
        <f>IF($H$5="All", SUMIFS(INDEX(拌客源数据备份!$A:$X, 0, MATCH('大厂周报-练习版'!D$12,拌客源数据备份!$1:$1,0)), INDEX(拌客源数据备份!$A:$X, 0, MATCH($A$12, 拌客源数据备份!$A$1:$X$1,0)), $A19),SUMIFS(INDEX(拌客源数据备份!$A:$X, 0, MATCH('大厂周报-练习版'!D$12,拌客源数据备份!$1:$1,0)),INDEX(拌客源数据备份!$A:$X, 0, MATCH($A$12, 拌客源数据备份!$A$1:$X$1,0)),'大厂周报-练习版'!$A19,INDEX(拌客源数据备份!$A:$X, 0, MATCH("平台i", 拌客源数据备份!$1:$1,0)),'大厂周报-练习版'!$H$5))</f>
        <v>661.92000000000007</v>
      </c>
      <c r="E19" s="109">
        <f t="shared" si="1"/>
        <v>0.37692614315813455</v>
      </c>
      <c r="F19" s="108">
        <f>IF($H$5="All", SUMIFS(INDEX(拌客源数据备份!$A:$X, 0, MATCH('大厂周报-练习版'!F$12,拌客源数据备份!$1:$1,0)), INDEX(拌客源数据备份!$A:$X, 0, MATCH($A$12, 拌客源数据备份!$A$1:$X$1,0)), $A19),SUMIFS(INDEX(拌客源数据备份!$A:$X, 0, MATCH('大厂周报-练习版'!F$12,拌客源数据备份!$1:$1,0)),INDEX(拌客源数据备份!$A:$X, 0, MATCH($A$12, 拌客源数据备份!$A$1:$X$1,0)),'大厂周报-练习版'!$A19,INDEX(拌客源数据备份!$A:$X, 0, MATCH("平台i", 拌客源数据备份!$1:$1,0)),'大厂周报-练习版'!$H$5))</f>
        <v>29</v>
      </c>
      <c r="G19" s="108">
        <f>IF($H$5="All", SUMIFS(INDEX(拌客源数据备份!$A:$X, 0, MATCH('大厂周报-练习版'!G$12,拌客源数据备份!$1:$1,0)), INDEX(拌客源数据备份!$A:$X, 0, MATCH($A$12, 拌客源数据备份!$A$1:$X$1,0)), $A19),SUMIFS(INDEX(拌客源数据备份!$A:$X, 0, MATCH('大厂周报-练习版'!G$12,拌客源数据备份!$1:$1,0)),INDEX(拌客源数据备份!$A:$X, 0, MATCH($A$12, 拌客源数据备份!$A$1:$X$1,0)),'大厂周报-练习版'!$A19,INDEX(拌客源数据备份!$A:$X, 0, MATCH("平台i", 拌客源数据备份!$1:$1,0)),'大厂周报-练习版'!$H$5))</f>
        <v>1</v>
      </c>
      <c r="H19" s="110">
        <f t="shared" si="2"/>
        <v>60.555172413793102</v>
      </c>
    </row>
    <row r="20" spans="1:8">
      <c r="A20" s="66" t="s">
        <v>72</v>
      </c>
      <c r="C20" s="66">
        <f>SUM(C13:C19)</f>
        <v>14236.560000000001</v>
      </c>
      <c r="D20" s="66">
        <f t="shared" ref="D20:G20" si="4">SUM(D13:D19)</f>
        <v>5114.1500000000005</v>
      </c>
      <c r="E20" s="78">
        <f t="shared" si="1"/>
        <v>0.35922652663283827</v>
      </c>
      <c r="F20" s="66">
        <f t="shared" si="4"/>
        <v>246</v>
      </c>
      <c r="G20" s="66">
        <f t="shared" si="4"/>
        <v>2</v>
      </c>
      <c r="H20" s="87">
        <f t="shared" si="2"/>
        <v>57.872195121951222</v>
      </c>
    </row>
    <row r="22" spans="1:8" ht="16.8" thickBot="1"/>
    <row r="23" spans="1:8">
      <c r="A23" s="101" t="s">
        <v>73</v>
      </c>
      <c r="B23" s="102"/>
      <c r="C23" s="102" t="s">
        <v>68</v>
      </c>
      <c r="D23" s="102"/>
      <c r="E23" s="102"/>
      <c r="F23" s="102"/>
      <c r="G23" s="102"/>
      <c r="H23" s="96"/>
    </row>
    <row r="24" spans="1:8">
      <c r="A24" s="116" t="s">
        <v>3</v>
      </c>
      <c r="B24" s="117" t="s">
        <v>70</v>
      </c>
      <c r="C24" s="117" t="s">
        <v>211</v>
      </c>
      <c r="D24" s="117" t="s">
        <v>9</v>
      </c>
      <c r="E24" s="117" t="s">
        <v>212</v>
      </c>
      <c r="F24" s="117" t="s">
        <v>6</v>
      </c>
      <c r="G24" s="117" t="s">
        <v>221</v>
      </c>
      <c r="H24" s="119" t="s">
        <v>222</v>
      </c>
    </row>
    <row r="25" spans="1:8">
      <c r="A25" s="103">
        <f>A13</f>
        <v>44060</v>
      </c>
      <c r="B25" s="104" t="str">
        <f>B13</f>
        <v>Monday</v>
      </c>
      <c r="C25" s="93">
        <f>IF($H$5="All", SUMIFS(INDEX(拌客源数据备份!$A:$X, 0, MATCH('大厂周报-练习版'!C$24,拌客源数据备份!$1:$1,0)), INDEX(拌客源数据备份!$A:$X, 0, MATCH($A$12, 拌客源数据备份!$A$1:$X$1,0)), $A13),SUMIFS(INDEX(拌客源数据备份!$A:$X, 0, MATCH('大厂周报-练习版'!C$24,拌客源数据备份!$1:$1,0)),INDEX(拌客源数据备份!$A:$X, 0, MATCH($A$12, 拌客源数据备份!$A$1:$X$1,0)),'大厂周报-练习版'!$A13,INDEX(拌客源数据备份!$A:$X, 0, MATCH("平台i", 拌客源数据备份!$1:$1,0)),'大厂周报-练习版'!$H$5))</f>
        <v>2057</v>
      </c>
      <c r="D25" s="93">
        <f>IF($H$5="All", SUMIFS(INDEX(拌客源数据备份!$A:$X, 0, MATCH('大厂周报-练习版'!D$24,拌客源数据备份!$1:$1,0)), INDEX(拌客源数据备份!$A:$X, 0, MATCH($A$12, 拌客源数据备份!$A$1:$X$1,0)), $A13),SUMIFS(INDEX(拌客源数据备份!$A:$X, 0, MATCH('大厂周报-练习版'!D$24,拌客源数据备份!$1:$1,0)),INDEX(拌客源数据备份!$A:$X, 0, MATCH($A$12, 拌客源数据备份!$A$1:$X$1,0)),'大厂周报-练习版'!$A13,INDEX(拌客源数据备份!$A:$X, 0, MATCH("平台i", 拌客源数据备份!$1:$1,0)),'大厂周报-练习版'!$H$5))</f>
        <v>146</v>
      </c>
      <c r="E25" s="94">
        <f>D25/C25</f>
        <v>7.0977151191054938E-2</v>
      </c>
      <c r="F25" s="93">
        <f>IF($H$5="All", SUMIFS(INDEX(拌客源数据备份!$A:$X, 0, MATCH('大厂周报-练习版'!F$24,拌客源数据备份!$1:$1,0)), INDEX(拌客源数据备份!$A:$X, 0, MATCH($A$12, 拌客源数据备份!$A$1:$X$1,0)), $A13),SUMIFS(INDEX(拌客源数据备份!$A:$X, 0, MATCH('大厂周报-练习版'!F$24,拌客源数据备份!$1:$1,0)),INDEX(拌客源数据备份!$A:$X, 0, MATCH($A$12, 拌客源数据备份!$A$1:$X$1,0)),'大厂周报-练习版'!$A13,INDEX(拌客源数据备份!$A:$X, 0, MATCH("平台i", 拌客源数据备份!$1:$1,0)),'大厂周报-练习版'!$H$5))</f>
        <v>36</v>
      </c>
      <c r="G25" s="94">
        <f>F25/D25</f>
        <v>0.24657534246575341</v>
      </c>
      <c r="H25" s="98">
        <f>IF($H$5="All", SUMIFS(INDEX(拌客源数据备份!$A:$X, 0, MATCH("cpc总费用",拌客源数据备份!$1:$1,0)), INDEX(拌客源数据备份!$A:$X, 0, MATCH($A$12, 拌客源数据备份!$A$1:$X$1,0)), $A13),SUMIFS(INDEX(拌客源数据备份!$A:$X, 0, MATCH("cpc总费用",拌客源数据备份!$1:$1,0)),INDEX(拌客源数据备份!$A:$X, 0, MATCH($A$12, 拌客源数据备份!$A$1:$X$1,0)),'大厂周报-练习版'!$A13,INDEX(拌客源数据备份!$A:$X, 0, MATCH("平台i", 拌客源数据备份!$1:$1,0)),'大厂周报-练习版'!$H$5))/C13</f>
        <v>5.3624930821930886E-2</v>
      </c>
    </row>
    <row r="26" spans="1:8">
      <c r="A26" s="103">
        <f t="shared" ref="A26:B31" si="5">A14</f>
        <v>44061</v>
      </c>
      <c r="B26" s="104" t="str">
        <f t="shared" si="5"/>
        <v>Tuesday</v>
      </c>
      <c r="C26" s="93">
        <f>IF($H$5="All", SUMIFS(INDEX(拌客源数据备份!$A:$X, 0, MATCH('大厂周报-练习版'!C$24,拌客源数据备份!$1:$1,0)), INDEX(拌客源数据备份!$A:$X, 0, MATCH($A$12, 拌客源数据备份!$A$1:$X$1,0)), $A14),SUMIFS(INDEX(拌客源数据备份!$A:$X, 0, MATCH('大厂周报-练习版'!C$24,拌客源数据备份!$1:$1,0)),INDEX(拌客源数据备份!$A:$X, 0, MATCH($A$12, 拌客源数据备份!$A$1:$X$1,0)),'大厂周报-练习版'!$A14,INDEX(拌客源数据备份!$A:$X, 0, MATCH("平台i", 拌客源数据备份!$1:$1,0)),'大厂周报-练习版'!$H$5))</f>
        <v>1850</v>
      </c>
      <c r="D26" s="93">
        <f>IF($H$5="All", SUMIFS(INDEX(拌客源数据备份!$A:$X, 0, MATCH('大厂周报-练习版'!D$24,拌客源数据备份!$1:$1,0)), INDEX(拌客源数据备份!$A:$X, 0, MATCH($A$12, 拌客源数据备份!$A$1:$X$1,0)), $A14),SUMIFS(INDEX(拌客源数据备份!$A:$X, 0, MATCH('大厂周报-练习版'!D$24,拌客源数据备份!$1:$1,0)),INDEX(拌客源数据备份!$A:$X, 0, MATCH($A$12, 拌客源数据备份!$A$1:$X$1,0)),'大厂周报-练习版'!$A14,INDEX(拌客源数据备份!$A:$X, 0, MATCH("平台i", 拌客源数据备份!$1:$1,0)),'大厂周报-练习版'!$H$5))</f>
        <v>145</v>
      </c>
      <c r="E26" s="94">
        <f t="shared" ref="E26:E32" si="6">D26/C26</f>
        <v>7.8378378378378383E-2</v>
      </c>
      <c r="F26" s="93">
        <f>IF($H$5="All", SUMIFS(INDEX(拌客源数据备份!$A:$X, 0, MATCH('大厂周报-练习版'!F$24,拌客源数据备份!$1:$1,0)), INDEX(拌客源数据备份!$A:$X, 0, MATCH($A$12, 拌客源数据备份!$A$1:$X$1,0)), $A14),SUMIFS(INDEX(拌客源数据备份!$A:$X, 0, MATCH('大厂周报-练习版'!F$24,拌客源数据备份!$1:$1,0)),INDEX(拌客源数据备份!$A:$X, 0, MATCH($A$12, 拌客源数据备份!$A$1:$X$1,0)),'大厂周报-练习版'!$A14,INDEX(拌客源数据备份!$A:$X, 0, MATCH("平台i", 拌客源数据备份!$1:$1,0)),'大厂周报-练习版'!$H$5))</f>
        <v>32</v>
      </c>
      <c r="G26" s="94">
        <f t="shared" ref="G26:G32" si="7">F26/D26</f>
        <v>0.22068965517241379</v>
      </c>
      <c r="H26" s="98">
        <f>IF($H$5="All", SUMIFS(INDEX(拌客源数据备份!$A:$X, 0, MATCH("cpc总费用",拌客源数据备份!$1:$1,0)), INDEX(拌客源数据备份!$A:$X, 0, MATCH($A$12, 拌客源数据备份!$A$1:$X$1,0)), $A14),SUMIFS(INDEX(拌客源数据备份!$A:$X, 0, MATCH("cpc总费用",拌客源数据备份!$1:$1,0)),INDEX(拌客源数据备份!$A:$X, 0, MATCH($A$12, 拌客源数据备份!$A$1:$X$1,0)),'大厂周报-练习版'!$A14,INDEX(拌客源数据备份!$A:$X, 0, MATCH("平台i", 拌客源数据备份!$1:$1,0)),'大厂周报-练习版'!$H$5))/C14</f>
        <v>4.8514334990578195E-2</v>
      </c>
    </row>
    <row r="27" spans="1:8">
      <c r="A27" s="103">
        <f t="shared" si="5"/>
        <v>44062</v>
      </c>
      <c r="B27" s="104" t="str">
        <f t="shared" si="5"/>
        <v>Wednesday</v>
      </c>
      <c r="C27" s="93">
        <f>IF($H$5="All", SUMIFS(INDEX(拌客源数据备份!$A:$X, 0, MATCH('大厂周报-练习版'!C$24,拌客源数据备份!$1:$1,0)), INDEX(拌客源数据备份!$A:$X, 0, MATCH($A$12, 拌客源数据备份!$A$1:$X$1,0)), $A15),SUMIFS(INDEX(拌客源数据备份!$A:$X, 0, MATCH('大厂周报-练习版'!C$24,拌客源数据备份!$1:$1,0)),INDEX(拌客源数据备份!$A:$X, 0, MATCH($A$12, 拌客源数据备份!$A$1:$X$1,0)),'大厂周报-练习版'!$A15,INDEX(拌客源数据备份!$A:$X, 0, MATCH("平台i", 拌客源数据备份!$1:$1,0)),'大厂周报-练习版'!$H$5))</f>
        <v>2072</v>
      </c>
      <c r="D27" s="93">
        <f>IF($H$5="All", SUMIFS(INDEX(拌客源数据备份!$A:$X, 0, MATCH('大厂周报-练习版'!D$24,拌客源数据备份!$1:$1,0)), INDEX(拌客源数据备份!$A:$X, 0, MATCH($A$12, 拌客源数据备份!$A$1:$X$1,0)), $A15),SUMIFS(INDEX(拌客源数据备份!$A:$X, 0, MATCH('大厂周报-练习版'!D$24,拌客源数据备份!$1:$1,0)),INDEX(拌客源数据备份!$A:$X, 0, MATCH($A$12, 拌客源数据备份!$A$1:$X$1,0)),'大厂周报-练习版'!$A15,INDEX(拌客源数据备份!$A:$X, 0, MATCH("平台i", 拌客源数据备份!$1:$1,0)),'大厂周报-练习版'!$H$5))</f>
        <v>193</v>
      </c>
      <c r="E27" s="94">
        <f t="shared" si="6"/>
        <v>9.3146718146718141E-2</v>
      </c>
      <c r="F27" s="93">
        <f>IF($H$5="All", SUMIFS(INDEX(拌客源数据备份!$A:$X, 0, MATCH('大厂周报-练习版'!F$24,拌客源数据备份!$1:$1,0)), INDEX(拌客源数据备份!$A:$X, 0, MATCH($A$12, 拌客源数据备份!$A$1:$X$1,0)), $A15),SUMIFS(INDEX(拌客源数据备份!$A:$X, 0, MATCH('大厂周报-练习版'!F$24,拌客源数据备份!$1:$1,0)),INDEX(拌客源数据备份!$A:$X, 0, MATCH($A$12, 拌客源数据备份!$A$1:$X$1,0)),'大厂周报-练习版'!$A15,INDEX(拌客源数据备份!$A:$X, 0, MATCH("平台i", 拌客源数据备份!$1:$1,0)),'大厂周报-练习版'!$H$5))</f>
        <v>44</v>
      </c>
      <c r="G27" s="94">
        <f t="shared" si="7"/>
        <v>0.22797927461139897</v>
      </c>
      <c r="H27" s="98">
        <f>IF($H$5="All", SUMIFS(INDEX(拌客源数据备份!$A:$X, 0, MATCH("cpc总费用",拌客源数据备份!$1:$1,0)), INDEX(拌客源数据备份!$A:$X, 0, MATCH($A$12, 拌客源数据备份!$A$1:$X$1,0)), $A15),SUMIFS(INDEX(拌客源数据备份!$A:$X, 0, MATCH("cpc总费用",拌客源数据备份!$1:$1,0)),INDEX(拌客源数据备份!$A:$X, 0, MATCH($A$12, 拌客源数据备份!$A$1:$X$1,0)),'大厂周报-练习版'!$A15,INDEX(拌客源数据备份!$A:$X, 0, MATCH("平台i", 拌客源数据备份!$1:$1,0)),'大厂周报-练习版'!$H$5))/C15</f>
        <v>4.7997249574108912E-2</v>
      </c>
    </row>
    <row r="28" spans="1:8">
      <c r="A28" s="103">
        <f t="shared" si="5"/>
        <v>44063</v>
      </c>
      <c r="B28" s="104" t="str">
        <f t="shared" si="5"/>
        <v>Thursday</v>
      </c>
      <c r="C28" s="93">
        <f>IF($H$5="All", SUMIFS(INDEX(拌客源数据备份!$A:$X, 0, MATCH('大厂周报-练习版'!C$24,拌客源数据备份!$1:$1,0)), INDEX(拌客源数据备份!$A:$X, 0, MATCH($A$12, 拌客源数据备份!$A$1:$X$1,0)), $A16),SUMIFS(INDEX(拌客源数据备份!$A:$X, 0, MATCH('大厂周报-练习版'!C$24,拌客源数据备份!$1:$1,0)),INDEX(拌客源数据备份!$A:$X, 0, MATCH($A$12, 拌客源数据备份!$A$1:$X$1,0)),'大厂周报-练习版'!$A16,INDEX(拌客源数据备份!$A:$X, 0, MATCH("平台i", 拌客源数据备份!$1:$1,0)),'大厂周报-练习版'!$H$5))</f>
        <v>2129</v>
      </c>
      <c r="D28" s="93">
        <f>IF($H$5="All", SUMIFS(INDEX(拌客源数据备份!$A:$X, 0, MATCH('大厂周报-练习版'!D$24,拌客源数据备份!$1:$1,0)), INDEX(拌客源数据备份!$A:$X, 0, MATCH($A$12, 拌客源数据备份!$A$1:$X$1,0)), $A16),SUMIFS(INDEX(拌客源数据备份!$A:$X, 0, MATCH('大厂周报-练习版'!D$24,拌客源数据备份!$1:$1,0)),INDEX(拌客源数据备份!$A:$X, 0, MATCH($A$12, 拌客源数据备份!$A$1:$X$1,0)),'大厂周报-练习版'!$A16,INDEX(拌客源数据备份!$A:$X, 0, MATCH("平台i", 拌客源数据备份!$1:$1,0)),'大厂周报-练习版'!$H$5))</f>
        <v>161</v>
      </c>
      <c r="E28" s="94">
        <f t="shared" si="6"/>
        <v>7.5622357914513855E-2</v>
      </c>
      <c r="F28" s="93">
        <f>IF($H$5="All", SUMIFS(INDEX(拌客源数据备份!$A:$X, 0, MATCH('大厂周报-练习版'!F$24,拌客源数据备份!$1:$1,0)), INDEX(拌客源数据备份!$A:$X, 0, MATCH($A$12, 拌客源数据备份!$A$1:$X$1,0)), $A16),SUMIFS(INDEX(拌客源数据备份!$A:$X, 0, MATCH('大厂周报-练习版'!F$24,拌客源数据备份!$1:$1,0)),INDEX(拌客源数据备份!$A:$X, 0, MATCH($A$12, 拌客源数据备份!$A$1:$X$1,0)),'大厂周报-练习版'!$A16,INDEX(拌客源数据备份!$A:$X, 0, MATCH("平台i", 拌客源数据备份!$1:$1,0)),'大厂周报-练习版'!$H$5))</f>
        <v>32</v>
      </c>
      <c r="G28" s="94">
        <f t="shared" si="7"/>
        <v>0.19875776397515527</v>
      </c>
      <c r="H28" s="98">
        <f>IF($H$5="All", SUMIFS(INDEX(拌客源数据备份!$A:$X, 0, MATCH("cpc总费用",拌客源数据备份!$1:$1,0)), INDEX(拌客源数据备份!$A:$X, 0, MATCH($A$12, 拌客源数据备份!$A$1:$X$1,0)), $A16),SUMIFS(INDEX(拌客源数据备份!$A:$X, 0, MATCH("cpc总费用",拌客源数据备份!$1:$1,0)),INDEX(拌客源数据备份!$A:$X, 0, MATCH($A$12, 拌客源数据备份!$A$1:$X$1,0)),'大厂周报-练习版'!$A16,INDEX(拌客源数据备份!$A:$X, 0, MATCH("平台i", 拌客源数据备份!$1:$1,0)),'大厂周报-练习版'!$H$5))/C16</f>
        <v>5.8180898410802026E-2</v>
      </c>
    </row>
    <row r="29" spans="1:8">
      <c r="A29" s="103">
        <f t="shared" si="5"/>
        <v>44064</v>
      </c>
      <c r="B29" s="104" t="str">
        <f t="shared" si="5"/>
        <v>Friday</v>
      </c>
      <c r="C29" s="93">
        <f>IF($H$5="All", SUMIFS(INDEX(拌客源数据备份!$A:$X, 0, MATCH('大厂周报-练习版'!C$24,拌客源数据备份!$1:$1,0)), INDEX(拌客源数据备份!$A:$X, 0, MATCH($A$12, 拌客源数据备份!$A$1:$X$1,0)), $A17),SUMIFS(INDEX(拌客源数据备份!$A:$X, 0, MATCH('大厂周报-练习版'!C$24,拌客源数据备份!$1:$1,0)),INDEX(拌客源数据备份!$A:$X, 0, MATCH($A$12, 拌客源数据备份!$A$1:$X$1,0)),'大厂周报-练习版'!$A17,INDEX(拌客源数据备份!$A:$X, 0, MATCH("平台i", 拌客源数据备份!$1:$1,0)),'大厂周报-练习版'!$H$5))</f>
        <v>2120</v>
      </c>
      <c r="D29" s="93">
        <f>IF($H$5="All", SUMIFS(INDEX(拌客源数据备份!$A:$X, 0, MATCH('大厂周报-练习版'!D$24,拌客源数据备份!$1:$1,0)), INDEX(拌客源数据备份!$A:$X, 0, MATCH($A$12, 拌客源数据备份!$A$1:$X$1,0)), $A17),SUMIFS(INDEX(拌客源数据备份!$A:$X, 0, MATCH('大厂周报-练习版'!D$24,拌客源数据备份!$1:$1,0)),INDEX(拌客源数据备份!$A:$X, 0, MATCH($A$12, 拌客源数据备份!$A$1:$X$1,0)),'大厂周报-练习版'!$A17,INDEX(拌客源数据备份!$A:$X, 0, MATCH("平台i", 拌客源数据备份!$1:$1,0)),'大厂周报-练习版'!$H$5))</f>
        <v>159</v>
      </c>
      <c r="E29" s="94">
        <f t="shared" si="6"/>
        <v>7.4999999999999997E-2</v>
      </c>
      <c r="F29" s="93">
        <f>IF($H$5="All", SUMIFS(INDEX(拌客源数据备份!$A:$X, 0, MATCH('大厂周报-练习版'!F$24,拌客源数据备份!$1:$1,0)), INDEX(拌客源数据备份!$A:$X, 0, MATCH($A$12, 拌客源数据备份!$A$1:$X$1,0)), $A17),SUMIFS(INDEX(拌客源数据备份!$A:$X, 0, MATCH('大厂周报-练习版'!F$24,拌客源数据备份!$1:$1,0)),INDEX(拌客源数据备份!$A:$X, 0, MATCH($A$12, 拌客源数据备份!$A$1:$X$1,0)),'大厂周报-练习版'!$A17,INDEX(拌客源数据备份!$A:$X, 0, MATCH("平台i", 拌客源数据备份!$1:$1,0)),'大厂周报-练习版'!$H$5))</f>
        <v>39</v>
      </c>
      <c r="G29" s="94">
        <f t="shared" si="7"/>
        <v>0.24528301886792453</v>
      </c>
      <c r="H29" s="98">
        <f>IF($H$5="All", SUMIFS(INDEX(拌客源数据备份!$A:$X, 0, MATCH("cpc总费用",拌客源数据备份!$1:$1,0)), INDEX(拌客源数据备份!$A:$X, 0, MATCH($A$12, 拌客源数据备份!$A$1:$X$1,0)), $A17),SUMIFS(INDEX(拌客源数据备份!$A:$X, 0, MATCH("cpc总费用",拌客源数据备份!$1:$1,0)),INDEX(拌客源数据备份!$A:$X, 0, MATCH($A$12, 拌客源数据备份!$A$1:$X$1,0)),'大厂周报-练习版'!$A17,INDEX(拌客源数据备份!$A:$X, 0, MATCH("平台i", 拌客源数据备份!$1:$1,0)),'大厂周报-练习版'!$H$5))/C17</f>
        <v>3.5718499709739997E-2</v>
      </c>
    </row>
    <row r="30" spans="1:8">
      <c r="A30" s="103">
        <f t="shared" si="5"/>
        <v>44065</v>
      </c>
      <c r="B30" s="104" t="str">
        <f t="shared" si="5"/>
        <v>Saturday</v>
      </c>
      <c r="C30" s="93">
        <f>IF($H$5="All", SUMIFS(INDEX(拌客源数据备份!$A:$X, 0, MATCH('大厂周报-练习版'!C$24,拌客源数据备份!$1:$1,0)), INDEX(拌客源数据备份!$A:$X, 0, MATCH($A$12, 拌客源数据备份!$A$1:$X$1,0)), $A18),SUMIFS(INDEX(拌客源数据备份!$A:$X, 0, MATCH('大厂周报-练习版'!C$24,拌客源数据备份!$1:$1,0)),INDEX(拌客源数据备份!$A:$X, 0, MATCH($A$12, 拌客源数据备份!$A$1:$X$1,0)),'大厂周报-练习版'!$A18,INDEX(拌客源数据备份!$A:$X, 0, MATCH("平台i", 拌客源数据备份!$1:$1,0)),'大厂周报-练习版'!$H$5))</f>
        <v>2557</v>
      </c>
      <c r="D30" s="93">
        <f>IF($H$5="All", SUMIFS(INDEX(拌客源数据备份!$A:$X, 0, MATCH('大厂周报-练习版'!D$24,拌客源数据备份!$1:$1,0)), INDEX(拌客源数据备份!$A:$X, 0, MATCH($A$12, 拌客源数据备份!$A$1:$X$1,0)), $A18),SUMIFS(INDEX(拌客源数据备份!$A:$X, 0, MATCH('大厂周报-练习版'!D$24,拌客源数据备份!$1:$1,0)),INDEX(拌客源数据备份!$A:$X, 0, MATCH($A$12, 拌客源数据备份!$A$1:$X$1,0)),'大厂周报-练习版'!$A18,INDEX(拌客源数据备份!$A:$X, 0, MATCH("平台i", 拌客源数据备份!$1:$1,0)),'大厂周报-练习版'!$H$5))</f>
        <v>195</v>
      </c>
      <c r="E30" s="94">
        <f t="shared" si="6"/>
        <v>7.6261243644896365E-2</v>
      </c>
      <c r="F30" s="93">
        <f>IF($H$5="All", SUMIFS(INDEX(拌客源数据备份!$A:$X, 0, MATCH('大厂周报-练习版'!F$24,拌客源数据备份!$1:$1,0)), INDEX(拌客源数据备份!$A:$X, 0, MATCH($A$12, 拌客源数据备份!$A$1:$X$1,0)), $A18),SUMIFS(INDEX(拌客源数据备份!$A:$X, 0, MATCH('大厂周报-练习版'!F$24,拌客源数据备份!$1:$1,0)),INDEX(拌客源数据备份!$A:$X, 0, MATCH($A$12, 拌客源数据备份!$A$1:$X$1,0)),'大厂周报-练习版'!$A18,INDEX(拌客源数据备份!$A:$X, 0, MATCH("平台i", 拌客源数据备份!$1:$1,0)),'大厂周报-练习版'!$H$5))</f>
        <v>34</v>
      </c>
      <c r="G30" s="94">
        <f t="shared" si="7"/>
        <v>0.17435897435897435</v>
      </c>
      <c r="H30" s="98">
        <f>IF($H$5="All", SUMIFS(INDEX(拌客源数据备份!$A:$X, 0, MATCH("cpc总费用",拌客源数据备份!$1:$1,0)), INDEX(拌客源数据备份!$A:$X, 0, MATCH($A$12, 拌客源数据备份!$A$1:$X$1,0)), $A18),SUMIFS(INDEX(拌客源数据备份!$A:$X, 0, MATCH("cpc总费用",拌客源数据备份!$1:$1,0)),INDEX(拌客源数据备份!$A:$X, 0, MATCH($A$12, 拌客源数据备份!$A$1:$X$1,0)),'大厂周报-练习版'!$A18,INDEX(拌客源数据备份!$A:$X, 0, MATCH("平台i", 拌客源数据备份!$1:$1,0)),'大厂周报-练习版'!$H$5))/C18</f>
        <v>5.305259902584851E-2</v>
      </c>
    </row>
    <row r="31" spans="1:8" ht="16.8" thickBot="1">
      <c r="A31" s="106">
        <f t="shared" si="5"/>
        <v>44066</v>
      </c>
      <c r="B31" s="107" t="str">
        <f t="shared" si="5"/>
        <v>Sunday</v>
      </c>
      <c r="C31" s="108">
        <f>IF($H$5="All", SUMIFS(INDEX(拌客源数据备份!$A:$X, 0, MATCH('大厂周报-练习版'!C$24,拌客源数据备份!$1:$1,0)), INDEX(拌客源数据备份!$A:$X, 0, MATCH($A$12, 拌客源数据备份!$A$1:$X$1,0)), $A19),SUMIFS(INDEX(拌客源数据备份!$A:$X, 0, MATCH('大厂周报-练习版'!C$24,拌客源数据备份!$1:$1,0)),INDEX(拌客源数据备份!$A:$X, 0, MATCH($A$12, 拌客源数据备份!$A$1:$X$1,0)),'大厂周报-练习版'!$A19,INDEX(拌客源数据备份!$A:$X, 0, MATCH("平台i", 拌客源数据备份!$1:$1,0)),'大厂周报-练习版'!$H$5))</f>
        <v>2824</v>
      </c>
      <c r="D31" s="108">
        <f>IF($H$5="All", SUMIFS(INDEX(拌客源数据备份!$A:$X, 0, MATCH('大厂周报-练习版'!D$24,拌客源数据备份!$1:$1,0)), INDEX(拌客源数据备份!$A:$X, 0, MATCH($A$12, 拌客源数据备份!$A$1:$X$1,0)), $A19),SUMIFS(INDEX(拌客源数据备份!$A:$X, 0, MATCH('大厂周报-练习版'!D$24,拌客源数据备份!$1:$1,0)),INDEX(拌客源数据备份!$A:$X, 0, MATCH($A$12, 拌客源数据备份!$A$1:$X$1,0)),'大厂周报-练习版'!$A19,INDEX(拌客源数据备份!$A:$X, 0, MATCH("平台i", 拌客源数据备份!$1:$1,0)),'大厂周报-练习版'!$H$5))</f>
        <v>213</v>
      </c>
      <c r="E31" s="109">
        <f t="shared" si="6"/>
        <v>7.5424929178470254E-2</v>
      </c>
      <c r="F31" s="108">
        <f>IF($H$5="All", SUMIFS(INDEX(拌客源数据备份!$A:$X, 0, MATCH('大厂周报-练习版'!F$24,拌客源数据备份!$1:$1,0)), INDEX(拌客源数据备份!$A:$X, 0, MATCH($A$12, 拌客源数据备份!$A$1:$X$1,0)), $A19),SUMIFS(INDEX(拌客源数据备份!$A:$X, 0, MATCH('大厂周报-练习版'!F$24,拌客源数据备份!$1:$1,0)),INDEX(拌客源数据备份!$A:$X, 0, MATCH($A$12, 拌客源数据备份!$A$1:$X$1,0)),'大厂周报-练习版'!$A19,INDEX(拌客源数据备份!$A:$X, 0, MATCH("平台i", 拌客源数据备份!$1:$1,0)),'大厂周报-练习版'!$H$5))</f>
        <v>29</v>
      </c>
      <c r="G31" s="109">
        <f t="shared" si="7"/>
        <v>0.13615023474178403</v>
      </c>
      <c r="H31" s="111">
        <f>IF($H$5="All", SUMIFS(INDEX(拌客源数据备份!$A:$X, 0, MATCH("cpc总费用",拌客源数据备份!$1:$1,0)), INDEX(拌客源数据备份!$A:$X, 0, MATCH($A$12, 拌客源数据备份!$A$1:$X$1,0)), $A19),SUMIFS(INDEX(拌客源数据备份!$A:$X, 0, MATCH("cpc总费用",拌客源数据备份!$1:$1,0)),INDEX(拌客源数据备份!$A:$X, 0, MATCH($A$12, 拌客源数据备份!$A$1:$X$1,0)),'大厂周报-练习版'!$A19,INDEX(拌客源数据备份!$A:$X, 0, MATCH("平台i", 拌客源数据备份!$1:$1,0)),'大厂周报-练习版'!$H$5))/C19</f>
        <v>7.1408234155230343E-2</v>
      </c>
    </row>
    <row r="32" spans="1:8">
      <c r="A32" s="66" t="s">
        <v>72</v>
      </c>
      <c r="C32" s="66">
        <f>SUM(C25:C31)</f>
        <v>15609</v>
      </c>
      <c r="D32" s="66">
        <f t="shared" ref="D32:F32" si="8">SUM(D25:D31)</f>
        <v>1212</v>
      </c>
      <c r="E32" s="78">
        <f t="shared" si="6"/>
        <v>7.7647511051316551E-2</v>
      </c>
      <c r="F32" s="66">
        <f t="shared" si="8"/>
        <v>246</v>
      </c>
      <c r="G32" s="78">
        <f t="shared" si="7"/>
        <v>0.20297029702970298</v>
      </c>
      <c r="H32" s="78">
        <f>IF($H$5="All", SUMIFS(INDEX(拌客源数据备份!$A:$X, 0, MATCH("cpc总费用",拌客源数据备份!$1:$1,0)), INDEX(拌客源数据备份!$A:$X, 0, MATCH($A$12, 拌客源数据备份!$A$1:$X$1,0)), "&gt;="&amp;$A$13,INDEX(拌客源数据备份!$A:$X, 0, MATCH($A$12, 拌客源数据备份!$A$1:$X$1,0)), "&lt;="&amp;$A$19),SUMIFS(INDEX(拌客源数据备份!$A:$X, 0, MATCH("cpc总费用",拌客源数据备份!$1:$1,0)),INDEX(拌客源数据备份!$A:$X, 0, MATCH($A$12, 拌客源数据备份!$A$1:$X$1,0)), "&gt;="&amp;$A$13,INDEX(拌客源数据备份!$A:$X, 0, MATCH($A$12, 拌客源数据备份!$A$1:$X$1,0)), "&lt;="&amp;$A$19,INDEX(拌客源数据备份!$A:$X, 0, MATCH("平台i", 拌客源数据备份!$1:$1,0)),$H$5))/$C20</f>
        <v>5.1972527071146392E-2</v>
      </c>
    </row>
  </sheetData>
  <mergeCells count="2">
    <mergeCell ref="G7:H7"/>
    <mergeCell ref="A2:H3"/>
  </mergeCells>
  <phoneticPr fontId="18" type="noConversion"/>
  <conditionalFormatting sqref="H6">
    <cfRule type="dataBar" priority="28">
      <dataBar>
        <cfvo type="num" val="0"/>
        <cfvo type="num" val="100"/>
        <color theme="5"/>
      </dataBar>
      <extLst>
        <ext xmlns:x14="http://schemas.microsoft.com/office/spreadsheetml/2009/9/main" uri="{B025F937-C7B1-47D3-B67F-A62EFF666E3E}">
          <x14:id>{85B47F2C-1CE3-4907-8F97-E65A3A92A228}</x14:id>
        </ext>
      </extLst>
    </cfRule>
    <cfRule type="dataBar" priority="27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{6D526747-26DD-4A67-9503-466DF15A331C}</x14:id>
        </ext>
      </extLst>
    </cfRule>
  </conditionalFormatting>
  <conditionalFormatting sqref="G7">
    <cfRule type="dataBar" priority="26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{2E66C24D-2537-4E0F-BE79-3B3F578A3334}</x14:id>
        </ext>
      </extLst>
    </cfRule>
  </conditionalFormatting>
  <conditionalFormatting sqref="A13:H19">
    <cfRule type="expression" dxfId="8" priority="13">
      <formula>$C13&lt;=AVERAGE($C$13:$C$19)</formula>
    </cfRule>
  </conditionalFormatting>
  <conditionalFormatting sqref="B9">
    <cfRule type="cellIs" dxfId="4" priority="8" operator="lessThanOrEqual">
      <formula>0</formula>
    </cfRule>
    <cfRule type="cellIs" dxfId="5" priority="9" operator="greaterThan">
      <formula>0</formula>
    </cfRule>
  </conditionalFormatting>
  <conditionalFormatting sqref="D9">
    <cfRule type="cellIs" dxfId="2" priority="5" operator="lessThanOrEqual">
      <formula>0</formula>
    </cfRule>
    <cfRule type="cellIs" dxfId="3" priority="6" operator="greaterThan">
      <formula>0</formula>
    </cfRule>
  </conditionalFormatting>
  <conditionalFormatting sqref="F9">
    <cfRule type="cellIs" dxfId="0" priority="2" operator="lessThanOrEqual">
      <formula>0</formula>
    </cfRule>
    <cfRule type="cellIs" dxfId="1" priority="3" operator="greaterThan">
      <formula>0</formula>
    </cfRule>
  </conditionalFormatting>
  <dataValidations count="1">
    <dataValidation type="list" allowBlank="1" showInputMessage="1" showErrorMessage="1" sqref="H5" xr:uid="{509AEBB7-9032-4AA9-BC38-C359BC528227}">
      <formula1>"All,美团,饿了么"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B47F2C-1CE3-4907-8F97-E65A3A92A228}">
            <x14:dataBar minLength="0" maxLength="10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6D526747-26DD-4A67-9503-466DF15A331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2E66C24D-2537-4E0F-BE79-3B3F578A333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iconSet" priority="7" id="{AF7D6D4E-7922-456A-9993-C6C8B4A0F50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</xm:sqref>
        </x14:conditionalFormatting>
        <x14:conditionalFormatting xmlns:xm="http://schemas.microsoft.com/office/excel/2006/main">
          <x14:cfRule type="iconSet" priority="4" id="{585D2939-D17E-4CCA-BA17-994D75E9B9B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D9</xm:sqref>
        </x14:conditionalFormatting>
        <x14:conditionalFormatting xmlns:xm="http://schemas.microsoft.com/office/excel/2006/main">
          <x14:cfRule type="iconSet" priority="1" id="{B8D9A841-1368-47BD-A7CA-74818C4D3A7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37A6C69F-48AD-4BCB-B006-0626871BA1D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'大厂周报-练习版'!C25:C31</xm:f>
              <xm:sqref>B6</xm:sqref>
            </x14:sparkline>
          </x14:sparklines>
        </x14:sparklineGroup>
        <x14:sparklineGroup displayEmptyCellsAs="gap" markers="1" xr2:uid="{74E3049C-DB3F-4A02-9149-88CBFC6633C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'大厂周报-练习版'!E25:E31</xm:f>
              <xm:sqref>D6</xm:sqref>
            </x14:sparkline>
          </x14:sparklines>
        </x14:sparklineGroup>
        <x14:sparklineGroup displayEmptyCellsAs="gap" markers="1" xr2:uid="{C5B69B10-3F4B-4DC9-9EB3-8FEB0901399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'大厂周报-练习版'!G25:G31</xm:f>
              <xm:sqref>F6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8AAC9-3DC3-4694-BE40-E66137BFFEA5}">
  <sheetPr>
    <tabColor theme="9" tint="0.39997558519241921"/>
  </sheetPr>
  <dimension ref="A1:X562"/>
  <sheetViews>
    <sheetView zoomScale="70" zoomScaleNormal="70" workbookViewId="0">
      <pane xSplit="1" topLeftCell="P1" activePane="topRight" state="frozen"/>
      <selection pane="topRight" activeCell="T1" sqref="T1:T1048576"/>
    </sheetView>
  </sheetViews>
  <sheetFormatPr defaultRowHeight="14.4"/>
  <cols>
    <col min="1" max="1" width="10.47265625" style="1" bestFit="1" customWidth="1"/>
    <col min="3" max="3" width="23.47265625" bestFit="1" customWidth="1"/>
    <col min="4" max="4" width="11.62890625" bestFit="1" customWidth="1"/>
    <col min="5" max="5" width="24.47265625" bestFit="1" customWidth="1"/>
    <col min="9" max="9" width="30.1015625" customWidth="1"/>
    <col min="10" max="10" width="9.1015625" customWidth="1"/>
    <col min="11" max="11" width="10.26171875" customWidth="1"/>
    <col min="12" max="14" width="12.1015625" customWidth="1"/>
    <col min="15" max="16" width="11" bestFit="1" customWidth="1"/>
    <col min="17" max="19" width="10.26171875" customWidth="1"/>
    <col min="20" max="22" width="11.26171875" customWidth="1"/>
    <col min="23" max="24" width="10.26171875" customWidth="1"/>
  </cols>
  <sheetData>
    <row r="1" spans="1:24">
      <c r="A1" s="1" t="s">
        <v>3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60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60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60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60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60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60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60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1">
        <v>43832</v>
      </c>
      <c r="B9">
        <v>4636</v>
      </c>
      <c r="C9" t="s">
        <v>161</v>
      </c>
      <c r="D9" t="s">
        <v>45</v>
      </c>
      <c r="E9" t="s">
        <v>21</v>
      </c>
      <c r="F9" s="60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ht="16.5" customHeight="1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autoFilter ref="A1:X562" xr:uid="{5378AAC9-3DC3-4694-BE40-E66137BFFEA5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E87D-7A06-4CB5-8372-BA26F5AB84FC}">
  <sheetPr>
    <tabColor theme="9" tint="0.39997558519241921"/>
  </sheetPr>
  <dimension ref="A1:X562"/>
  <sheetViews>
    <sheetView workbookViewId="0"/>
  </sheetViews>
  <sheetFormatPr defaultRowHeight="14.4"/>
  <cols>
    <col min="1" max="1" width="10.47265625" style="1" bestFit="1" customWidth="1"/>
    <col min="3" max="3" width="23.47265625" bestFit="1" customWidth="1"/>
    <col min="4" max="4" width="11.62890625" bestFit="1" customWidth="1"/>
    <col min="5" max="5" width="24.47265625" bestFit="1" customWidth="1"/>
    <col min="9" max="9" width="30.1015625" customWidth="1"/>
    <col min="10" max="10" width="8.89453125" customWidth="1"/>
    <col min="11" max="11" width="10.26171875" customWidth="1"/>
    <col min="12" max="14" width="12.1015625" customWidth="1"/>
    <col min="15" max="16" width="11" bestFit="1" customWidth="1"/>
    <col min="17" max="19" width="10.26171875" customWidth="1"/>
    <col min="20" max="22" width="11.26171875" customWidth="1"/>
    <col min="23" max="24" width="10.26171875" customWidth="1"/>
  </cols>
  <sheetData>
    <row r="1" spans="1:24">
      <c r="A1" s="1" t="s">
        <v>3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>
      <c r="A2" s="1">
        <v>43831</v>
      </c>
      <c r="B2">
        <v>4636</v>
      </c>
      <c r="C2" t="s">
        <v>18</v>
      </c>
      <c r="D2" t="s">
        <v>46</v>
      </c>
      <c r="E2" t="s">
        <v>28</v>
      </c>
      <c r="F2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1">
        <v>43831</v>
      </c>
      <c r="B3">
        <v>4636</v>
      </c>
      <c r="C3" t="s">
        <v>18</v>
      </c>
      <c r="D3" t="s">
        <v>47</v>
      </c>
      <c r="E3" t="s">
        <v>21</v>
      </c>
      <c r="F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1">
        <v>43831</v>
      </c>
      <c r="B4">
        <v>4636</v>
      </c>
      <c r="C4" t="s">
        <v>18</v>
      </c>
      <c r="D4" t="s">
        <v>44</v>
      </c>
      <c r="E4" t="s">
        <v>31</v>
      </c>
      <c r="F4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1">
        <v>43831</v>
      </c>
      <c r="B5">
        <v>4636</v>
      </c>
      <c r="C5" t="s">
        <v>18</v>
      </c>
      <c r="D5" t="s">
        <v>45</v>
      </c>
      <c r="E5" t="s">
        <v>21</v>
      </c>
      <c r="F5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1">
        <v>43832</v>
      </c>
      <c r="B6">
        <v>4636</v>
      </c>
      <c r="C6" t="s">
        <v>18</v>
      </c>
      <c r="D6" t="s">
        <v>46</v>
      </c>
      <c r="E6" t="s">
        <v>28</v>
      </c>
      <c r="F6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1">
        <v>43832</v>
      </c>
      <c r="B7">
        <v>4636</v>
      </c>
      <c r="C7" t="s">
        <v>18</v>
      </c>
      <c r="D7" t="s">
        <v>47</v>
      </c>
      <c r="E7" t="s">
        <v>21</v>
      </c>
      <c r="F7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1">
        <v>43832</v>
      </c>
      <c r="B8">
        <v>4636</v>
      </c>
      <c r="C8" t="s">
        <v>18</v>
      </c>
      <c r="D8" t="s">
        <v>44</v>
      </c>
      <c r="E8" t="s">
        <v>31</v>
      </c>
      <c r="F8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1">
        <v>43832</v>
      </c>
      <c r="B9">
        <v>4636</v>
      </c>
      <c r="C9" t="s">
        <v>18</v>
      </c>
      <c r="D9" t="s">
        <v>45</v>
      </c>
      <c r="E9" t="s">
        <v>21</v>
      </c>
      <c r="F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1">
        <v>43961</v>
      </c>
      <c r="B237">
        <v>4636</v>
      </c>
      <c r="C237" t="s">
        <v>18</v>
      </c>
      <c r="D237" t="s">
        <v>46</v>
      </c>
      <c r="E237" t="s">
        <v>28</v>
      </c>
      <c r="F237" t="s">
        <v>19</v>
      </c>
      <c r="G237" t="s">
        <v>26</v>
      </c>
      <c r="H237" t="s">
        <v>27</v>
      </c>
      <c r="I237" t="s">
        <v>37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>
      <c r="A238" s="1">
        <v>43961</v>
      </c>
      <c r="B238">
        <v>4636</v>
      </c>
      <c r="C238" t="s">
        <v>18</v>
      </c>
      <c r="D238" t="s">
        <v>49</v>
      </c>
      <c r="E238" t="s">
        <v>28</v>
      </c>
      <c r="F238" t="s">
        <v>19</v>
      </c>
      <c r="G238" t="s">
        <v>20</v>
      </c>
      <c r="H238" t="s">
        <v>22</v>
      </c>
      <c r="I238" t="s">
        <v>34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>
      <c r="A239" s="1">
        <v>43961</v>
      </c>
      <c r="B239">
        <v>6108</v>
      </c>
      <c r="C239" t="s">
        <v>40</v>
      </c>
      <c r="D239" t="s">
        <v>50</v>
      </c>
      <c r="E239" t="s">
        <v>41</v>
      </c>
      <c r="F239" t="s">
        <v>19</v>
      </c>
      <c r="G239" t="s">
        <v>26</v>
      </c>
      <c r="H239" t="s">
        <v>27</v>
      </c>
      <c r="I239" t="s">
        <v>41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>
      <c r="A240" s="1">
        <v>43962</v>
      </c>
      <c r="B240">
        <v>4636</v>
      </c>
      <c r="C240" t="s">
        <v>18</v>
      </c>
      <c r="D240" t="s">
        <v>46</v>
      </c>
      <c r="E240" t="s">
        <v>28</v>
      </c>
      <c r="F240" t="s">
        <v>19</v>
      </c>
      <c r="G240" t="s">
        <v>26</v>
      </c>
      <c r="H240" t="s">
        <v>27</v>
      </c>
      <c r="I240" t="s">
        <v>37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>
      <c r="A241" s="1">
        <v>43962</v>
      </c>
      <c r="B241">
        <v>4636</v>
      </c>
      <c r="C241" t="s">
        <v>18</v>
      </c>
      <c r="D241" t="s">
        <v>49</v>
      </c>
      <c r="E241" t="s">
        <v>28</v>
      </c>
      <c r="F241" t="s">
        <v>19</v>
      </c>
      <c r="G241" t="s">
        <v>20</v>
      </c>
      <c r="H241" t="s">
        <v>22</v>
      </c>
      <c r="I241" t="s">
        <v>34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>
      <c r="A242" s="1">
        <v>43962</v>
      </c>
      <c r="B242">
        <v>6108</v>
      </c>
      <c r="C242" t="s">
        <v>40</v>
      </c>
      <c r="D242" t="s">
        <v>50</v>
      </c>
      <c r="E242" t="s">
        <v>41</v>
      </c>
      <c r="F242" t="s">
        <v>19</v>
      </c>
      <c r="G242" t="s">
        <v>26</v>
      </c>
      <c r="H242" t="s">
        <v>27</v>
      </c>
      <c r="I242" t="s">
        <v>41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>
      <c r="A243" s="1">
        <v>43963</v>
      </c>
      <c r="B243">
        <v>4636</v>
      </c>
      <c r="C243" t="s">
        <v>18</v>
      </c>
      <c r="D243" t="s">
        <v>46</v>
      </c>
      <c r="E243" t="s">
        <v>28</v>
      </c>
      <c r="F243" t="s">
        <v>19</v>
      </c>
      <c r="G243" t="s">
        <v>26</v>
      </c>
      <c r="H243" t="s">
        <v>27</v>
      </c>
      <c r="I243" t="s">
        <v>37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>
      <c r="A244" s="1">
        <v>43963</v>
      </c>
      <c r="B244">
        <v>4636</v>
      </c>
      <c r="C244" t="s">
        <v>18</v>
      </c>
      <c r="D244" t="s">
        <v>49</v>
      </c>
      <c r="E244" t="s">
        <v>28</v>
      </c>
      <c r="F244" t="s">
        <v>19</v>
      </c>
      <c r="G244" t="s">
        <v>20</v>
      </c>
      <c r="H244" t="s">
        <v>22</v>
      </c>
      <c r="I244" t="s">
        <v>34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>
      <c r="A245" s="1">
        <v>43963</v>
      </c>
      <c r="B245">
        <v>6108</v>
      </c>
      <c r="C245" t="s">
        <v>40</v>
      </c>
      <c r="D245" t="s">
        <v>50</v>
      </c>
      <c r="E245" t="s">
        <v>41</v>
      </c>
      <c r="F245" t="s">
        <v>19</v>
      </c>
      <c r="G245" t="s">
        <v>26</v>
      </c>
      <c r="H245" t="s">
        <v>27</v>
      </c>
      <c r="I245" t="s">
        <v>42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>
      <c r="A246" s="1">
        <v>43964</v>
      </c>
      <c r="B246">
        <v>4636</v>
      </c>
      <c r="C246" t="s">
        <v>18</v>
      </c>
      <c r="D246" t="s">
        <v>46</v>
      </c>
      <c r="E246" t="s">
        <v>28</v>
      </c>
      <c r="F246" t="s">
        <v>19</v>
      </c>
      <c r="G246" t="s">
        <v>26</v>
      </c>
      <c r="H246" t="s">
        <v>27</v>
      </c>
      <c r="I246" t="s">
        <v>37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>
      <c r="A247" s="1">
        <v>43964</v>
      </c>
      <c r="B247">
        <v>4636</v>
      </c>
      <c r="C247" t="s">
        <v>18</v>
      </c>
      <c r="D247" t="s">
        <v>49</v>
      </c>
      <c r="E247" t="s">
        <v>28</v>
      </c>
      <c r="F247" t="s">
        <v>19</v>
      </c>
      <c r="G247" t="s">
        <v>20</v>
      </c>
      <c r="H247" t="s">
        <v>22</v>
      </c>
      <c r="I247" t="s">
        <v>34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>
      <c r="A248" s="1">
        <v>43964</v>
      </c>
      <c r="B248">
        <v>6108</v>
      </c>
      <c r="C248" t="s">
        <v>40</v>
      </c>
      <c r="D248" t="s">
        <v>50</v>
      </c>
      <c r="E248" t="s">
        <v>41</v>
      </c>
      <c r="F248" t="s">
        <v>19</v>
      </c>
      <c r="G248" t="s">
        <v>26</v>
      </c>
      <c r="H248" t="s">
        <v>27</v>
      </c>
      <c r="I248" t="s">
        <v>42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>
      <c r="A249" s="1">
        <v>43965</v>
      </c>
      <c r="B249">
        <v>4636</v>
      </c>
      <c r="C249" t="s">
        <v>18</v>
      </c>
      <c r="D249" t="s">
        <v>46</v>
      </c>
      <c r="E249" t="s">
        <v>28</v>
      </c>
      <c r="F249" t="s">
        <v>19</v>
      </c>
      <c r="G249" t="s">
        <v>26</v>
      </c>
      <c r="H249" t="s">
        <v>27</v>
      </c>
      <c r="I249" t="s">
        <v>37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>
      <c r="A250" s="1">
        <v>43965</v>
      </c>
      <c r="B250">
        <v>4636</v>
      </c>
      <c r="C250" t="s">
        <v>18</v>
      </c>
      <c r="D250" t="s">
        <v>49</v>
      </c>
      <c r="E250" t="s">
        <v>28</v>
      </c>
      <c r="F250" t="s">
        <v>19</v>
      </c>
      <c r="G250" t="s">
        <v>20</v>
      </c>
      <c r="H250" t="s">
        <v>22</v>
      </c>
      <c r="I250" t="s">
        <v>34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>
      <c r="A251" s="1">
        <v>43965</v>
      </c>
      <c r="B251">
        <v>6108</v>
      </c>
      <c r="C251" t="s">
        <v>40</v>
      </c>
      <c r="D251" t="s">
        <v>50</v>
      </c>
      <c r="E251" t="s">
        <v>41</v>
      </c>
      <c r="F251" t="s">
        <v>19</v>
      </c>
      <c r="G251" t="s">
        <v>26</v>
      </c>
      <c r="H251" t="s">
        <v>27</v>
      </c>
      <c r="I251" t="s">
        <v>42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>
      <c r="A252" s="1">
        <v>43966</v>
      </c>
      <c r="B252">
        <v>4636</v>
      </c>
      <c r="C252" t="s">
        <v>18</v>
      </c>
      <c r="D252" t="s">
        <v>46</v>
      </c>
      <c r="E252" t="s">
        <v>28</v>
      </c>
      <c r="F252" t="s">
        <v>19</v>
      </c>
      <c r="G252" t="s">
        <v>26</v>
      </c>
      <c r="H252" t="s">
        <v>27</v>
      </c>
      <c r="I252" t="s">
        <v>37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>
      <c r="A253" s="1">
        <v>43966</v>
      </c>
      <c r="B253">
        <v>4636</v>
      </c>
      <c r="C253" t="s">
        <v>18</v>
      </c>
      <c r="D253" t="s">
        <v>49</v>
      </c>
      <c r="E253" t="s">
        <v>28</v>
      </c>
      <c r="F253" t="s">
        <v>19</v>
      </c>
      <c r="G253" t="s">
        <v>20</v>
      </c>
      <c r="H253" t="s">
        <v>22</v>
      </c>
      <c r="I253" t="s">
        <v>34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>
      <c r="A254" s="1">
        <v>43966</v>
      </c>
      <c r="B254">
        <v>6108</v>
      </c>
      <c r="C254" t="s">
        <v>40</v>
      </c>
      <c r="D254" t="s">
        <v>50</v>
      </c>
      <c r="E254" t="s">
        <v>41</v>
      </c>
      <c r="F254" t="s">
        <v>19</v>
      </c>
      <c r="G254" t="s">
        <v>26</v>
      </c>
      <c r="H254" t="s">
        <v>27</v>
      </c>
      <c r="I254" t="s">
        <v>42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>
      <c r="A255" s="1">
        <v>43967</v>
      </c>
      <c r="B255">
        <v>4636</v>
      </c>
      <c r="C255" t="s">
        <v>18</v>
      </c>
      <c r="D255" t="s">
        <v>46</v>
      </c>
      <c r="E255" t="s">
        <v>28</v>
      </c>
      <c r="F255" t="s">
        <v>19</v>
      </c>
      <c r="G255" t="s">
        <v>26</v>
      </c>
      <c r="H255" t="s">
        <v>27</v>
      </c>
      <c r="I255" t="s">
        <v>37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>
      <c r="A256" s="1">
        <v>43967</v>
      </c>
      <c r="B256">
        <v>4636</v>
      </c>
      <c r="C256" t="s">
        <v>18</v>
      </c>
      <c r="D256" t="s">
        <v>49</v>
      </c>
      <c r="E256" t="s">
        <v>28</v>
      </c>
      <c r="F256" t="s">
        <v>19</v>
      </c>
      <c r="G256" t="s">
        <v>20</v>
      </c>
      <c r="H256" t="s">
        <v>22</v>
      </c>
      <c r="I256" t="s">
        <v>34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>
      <c r="A257" s="1">
        <v>43967</v>
      </c>
      <c r="B257">
        <v>6108</v>
      </c>
      <c r="C257" t="s">
        <v>40</v>
      </c>
      <c r="D257" t="s">
        <v>50</v>
      </c>
      <c r="E257" t="s">
        <v>41</v>
      </c>
      <c r="F257" t="s">
        <v>19</v>
      </c>
      <c r="G257" t="s">
        <v>26</v>
      </c>
      <c r="H257" t="s">
        <v>27</v>
      </c>
      <c r="I257" t="s">
        <v>42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>
      <c r="A258" s="1">
        <v>43968</v>
      </c>
      <c r="B258">
        <v>4636</v>
      </c>
      <c r="C258" t="s">
        <v>18</v>
      </c>
      <c r="D258" t="s">
        <v>46</v>
      </c>
      <c r="E258" t="s">
        <v>28</v>
      </c>
      <c r="F258" t="s">
        <v>19</v>
      </c>
      <c r="G258" t="s">
        <v>26</v>
      </c>
      <c r="H258" t="s">
        <v>27</v>
      </c>
      <c r="I258" t="s">
        <v>37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>
      <c r="A259" s="1">
        <v>43968</v>
      </c>
      <c r="B259">
        <v>4636</v>
      </c>
      <c r="C259" t="s">
        <v>18</v>
      </c>
      <c r="D259" t="s">
        <v>49</v>
      </c>
      <c r="E259" t="s">
        <v>28</v>
      </c>
      <c r="F259" t="s">
        <v>19</v>
      </c>
      <c r="G259" t="s">
        <v>20</v>
      </c>
      <c r="H259" t="s">
        <v>22</v>
      </c>
      <c r="I259" t="s">
        <v>34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>
      <c r="A260" s="1">
        <v>43968</v>
      </c>
      <c r="B260">
        <v>6108</v>
      </c>
      <c r="C260" t="s">
        <v>40</v>
      </c>
      <c r="D260" t="s">
        <v>50</v>
      </c>
      <c r="E260" t="s">
        <v>41</v>
      </c>
      <c r="F260" t="s">
        <v>19</v>
      </c>
      <c r="G260" t="s">
        <v>26</v>
      </c>
      <c r="H260" t="s">
        <v>27</v>
      </c>
      <c r="I260" t="s">
        <v>42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>
      <c r="A261" s="1">
        <v>43969</v>
      </c>
      <c r="B261">
        <v>4636</v>
      </c>
      <c r="C261" t="s">
        <v>18</v>
      </c>
      <c r="D261" t="s">
        <v>46</v>
      </c>
      <c r="E261" t="s">
        <v>28</v>
      </c>
      <c r="F261" t="s">
        <v>19</v>
      </c>
      <c r="G261" t="s">
        <v>26</v>
      </c>
      <c r="H261" t="s">
        <v>27</v>
      </c>
      <c r="I261" t="s">
        <v>37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>
      <c r="A262" s="1">
        <v>43969</v>
      </c>
      <c r="B262">
        <v>4636</v>
      </c>
      <c r="C262" t="s">
        <v>18</v>
      </c>
      <c r="D262" t="s">
        <v>49</v>
      </c>
      <c r="E262" t="s">
        <v>28</v>
      </c>
      <c r="F262" t="s">
        <v>19</v>
      </c>
      <c r="G262" t="s">
        <v>20</v>
      </c>
      <c r="H262" t="s">
        <v>22</v>
      </c>
      <c r="I262" t="s">
        <v>34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>
      <c r="A263" s="1">
        <v>43969</v>
      </c>
      <c r="B263">
        <v>6108</v>
      </c>
      <c r="C263" t="s">
        <v>40</v>
      </c>
      <c r="D263" t="s">
        <v>50</v>
      </c>
      <c r="E263" t="s">
        <v>41</v>
      </c>
      <c r="F263" t="s">
        <v>19</v>
      </c>
      <c r="G263" t="s">
        <v>26</v>
      </c>
      <c r="H263" t="s">
        <v>27</v>
      </c>
      <c r="I263" t="s">
        <v>42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>
      <c r="A264" s="1">
        <v>43970</v>
      </c>
      <c r="B264">
        <v>4636</v>
      </c>
      <c r="C264" t="s">
        <v>18</v>
      </c>
      <c r="D264" t="s">
        <v>46</v>
      </c>
      <c r="E264" t="s">
        <v>28</v>
      </c>
      <c r="F264" t="s">
        <v>19</v>
      </c>
      <c r="G264" t="s">
        <v>26</v>
      </c>
      <c r="H264" t="s">
        <v>27</v>
      </c>
      <c r="I264" t="s">
        <v>37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>
      <c r="A265" s="1">
        <v>43970</v>
      </c>
      <c r="B265">
        <v>4636</v>
      </c>
      <c r="C265" t="s">
        <v>18</v>
      </c>
      <c r="D265" t="s">
        <v>49</v>
      </c>
      <c r="E265" t="s">
        <v>28</v>
      </c>
      <c r="F265" t="s">
        <v>19</v>
      </c>
      <c r="G265" t="s">
        <v>20</v>
      </c>
      <c r="H265" t="s">
        <v>22</v>
      </c>
      <c r="I265" t="s">
        <v>34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>
      <c r="A266" s="1">
        <v>43970</v>
      </c>
      <c r="B266">
        <v>6108</v>
      </c>
      <c r="C266" t="s">
        <v>40</v>
      </c>
      <c r="D266" t="s">
        <v>50</v>
      </c>
      <c r="E266" t="s">
        <v>41</v>
      </c>
      <c r="F266" t="s">
        <v>19</v>
      </c>
      <c r="G266" t="s">
        <v>26</v>
      </c>
      <c r="H266" t="s">
        <v>27</v>
      </c>
      <c r="I266" t="s">
        <v>42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>
      <c r="A267" s="1">
        <v>43971</v>
      </c>
      <c r="B267">
        <v>4636</v>
      </c>
      <c r="C267" t="s">
        <v>18</v>
      </c>
      <c r="D267" t="s">
        <v>46</v>
      </c>
      <c r="E267" t="s">
        <v>28</v>
      </c>
      <c r="F267" t="s">
        <v>19</v>
      </c>
      <c r="G267" t="s">
        <v>26</v>
      </c>
      <c r="H267" t="s">
        <v>27</v>
      </c>
      <c r="I267" t="s">
        <v>37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>
      <c r="A268" s="1">
        <v>43971</v>
      </c>
      <c r="B268">
        <v>4636</v>
      </c>
      <c r="C268" t="s">
        <v>18</v>
      </c>
      <c r="D268" t="s">
        <v>49</v>
      </c>
      <c r="E268" t="s">
        <v>28</v>
      </c>
      <c r="F268" t="s">
        <v>19</v>
      </c>
      <c r="G268" t="s">
        <v>20</v>
      </c>
      <c r="H268" t="s">
        <v>22</v>
      </c>
      <c r="I268" t="s">
        <v>34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>
      <c r="A269" s="1">
        <v>43971</v>
      </c>
      <c r="B269">
        <v>6108</v>
      </c>
      <c r="C269" t="s">
        <v>40</v>
      </c>
      <c r="D269" t="s">
        <v>50</v>
      </c>
      <c r="E269" t="s">
        <v>41</v>
      </c>
      <c r="F269" t="s">
        <v>19</v>
      </c>
      <c r="G269" t="s">
        <v>26</v>
      </c>
      <c r="H269" t="s">
        <v>27</v>
      </c>
      <c r="I269" t="s">
        <v>42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>
      <c r="A270" s="1">
        <v>43972</v>
      </c>
      <c r="B270">
        <v>4636</v>
      </c>
      <c r="C270" t="s">
        <v>18</v>
      </c>
      <c r="D270" t="s">
        <v>46</v>
      </c>
      <c r="E270" t="s">
        <v>28</v>
      </c>
      <c r="F270" t="s">
        <v>19</v>
      </c>
      <c r="G270" t="s">
        <v>26</v>
      </c>
      <c r="H270" t="s">
        <v>27</v>
      </c>
      <c r="I270" t="s">
        <v>37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>
      <c r="A271" s="1">
        <v>43972</v>
      </c>
      <c r="B271">
        <v>4636</v>
      </c>
      <c r="C271" t="s">
        <v>18</v>
      </c>
      <c r="D271" t="s">
        <v>49</v>
      </c>
      <c r="E271" t="s">
        <v>28</v>
      </c>
      <c r="F271" t="s">
        <v>19</v>
      </c>
      <c r="G271" t="s">
        <v>20</v>
      </c>
      <c r="H271" t="s">
        <v>22</v>
      </c>
      <c r="I271" t="s">
        <v>34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>
      <c r="A272" s="1">
        <v>43972</v>
      </c>
      <c r="B272">
        <v>6108</v>
      </c>
      <c r="C272" t="s">
        <v>40</v>
      </c>
      <c r="D272" t="s">
        <v>50</v>
      </c>
      <c r="E272" t="s">
        <v>41</v>
      </c>
      <c r="F272" t="s">
        <v>19</v>
      </c>
      <c r="G272" t="s">
        <v>26</v>
      </c>
      <c r="H272" t="s">
        <v>27</v>
      </c>
      <c r="I272" t="s">
        <v>42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>
      <c r="A273" s="1">
        <v>43973</v>
      </c>
      <c r="B273">
        <v>4636</v>
      </c>
      <c r="C273" t="s">
        <v>18</v>
      </c>
      <c r="D273" t="s">
        <v>46</v>
      </c>
      <c r="E273" t="s">
        <v>28</v>
      </c>
      <c r="F273" t="s">
        <v>19</v>
      </c>
      <c r="G273" t="s">
        <v>26</v>
      </c>
      <c r="H273" t="s">
        <v>27</v>
      </c>
      <c r="I273" t="s">
        <v>37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>
      <c r="A274" s="1">
        <v>43973</v>
      </c>
      <c r="B274">
        <v>4636</v>
      </c>
      <c r="C274" t="s">
        <v>18</v>
      </c>
      <c r="D274" t="s">
        <v>49</v>
      </c>
      <c r="E274" t="s">
        <v>28</v>
      </c>
      <c r="F274" t="s">
        <v>19</v>
      </c>
      <c r="G274" t="s">
        <v>20</v>
      </c>
      <c r="H274" t="s">
        <v>22</v>
      </c>
      <c r="I274" t="s">
        <v>34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>
      <c r="A275" s="1">
        <v>43973</v>
      </c>
      <c r="B275">
        <v>6108</v>
      </c>
      <c r="C275" t="s">
        <v>40</v>
      </c>
      <c r="D275" t="s">
        <v>50</v>
      </c>
      <c r="E275" t="s">
        <v>41</v>
      </c>
      <c r="F275" t="s">
        <v>19</v>
      </c>
      <c r="G275" t="s">
        <v>26</v>
      </c>
      <c r="H275" t="s">
        <v>27</v>
      </c>
      <c r="I275" t="s">
        <v>42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>
      <c r="A276" s="1">
        <v>43974</v>
      </c>
      <c r="B276">
        <v>4636</v>
      </c>
      <c r="C276" t="s">
        <v>18</v>
      </c>
      <c r="D276" t="s">
        <v>46</v>
      </c>
      <c r="E276" t="s">
        <v>28</v>
      </c>
      <c r="F276" t="s">
        <v>19</v>
      </c>
      <c r="G276" t="s">
        <v>26</v>
      </c>
      <c r="H276" t="s">
        <v>27</v>
      </c>
      <c r="I276" t="s">
        <v>37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>
      <c r="A277" s="1">
        <v>43974</v>
      </c>
      <c r="B277">
        <v>4636</v>
      </c>
      <c r="C277" t="s">
        <v>18</v>
      </c>
      <c r="D277" t="s">
        <v>49</v>
      </c>
      <c r="E277" t="s">
        <v>28</v>
      </c>
      <c r="F277" t="s">
        <v>19</v>
      </c>
      <c r="G277" t="s">
        <v>20</v>
      </c>
      <c r="H277" t="s">
        <v>22</v>
      </c>
      <c r="I277" t="s">
        <v>34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>
      <c r="A278" s="1">
        <v>43974</v>
      </c>
      <c r="B278">
        <v>6108</v>
      </c>
      <c r="C278" t="s">
        <v>40</v>
      </c>
      <c r="D278" t="s">
        <v>50</v>
      </c>
      <c r="E278" t="s">
        <v>41</v>
      </c>
      <c r="F278" t="s">
        <v>19</v>
      </c>
      <c r="G278" t="s">
        <v>26</v>
      </c>
      <c r="H278" t="s">
        <v>27</v>
      </c>
      <c r="I278" t="s">
        <v>42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>
      <c r="A279" s="1">
        <v>43975</v>
      </c>
      <c r="B279">
        <v>4636</v>
      </c>
      <c r="C279" t="s">
        <v>18</v>
      </c>
      <c r="D279" t="s">
        <v>46</v>
      </c>
      <c r="E279" t="s">
        <v>28</v>
      </c>
      <c r="F279" t="s">
        <v>19</v>
      </c>
      <c r="G279" t="s">
        <v>26</v>
      </c>
      <c r="H279" t="s">
        <v>27</v>
      </c>
      <c r="I279" t="s">
        <v>37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>
      <c r="A280" s="1">
        <v>43975</v>
      </c>
      <c r="B280">
        <v>4636</v>
      </c>
      <c r="C280" t="s">
        <v>18</v>
      </c>
      <c r="D280" t="s">
        <v>49</v>
      </c>
      <c r="E280" t="s">
        <v>28</v>
      </c>
      <c r="F280" t="s">
        <v>19</v>
      </c>
      <c r="G280" t="s">
        <v>20</v>
      </c>
      <c r="H280" t="s">
        <v>22</v>
      </c>
      <c r="I280" t="s">
        <v>34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>
      <c r="A281" s="1">
        <v>43975</v>
      </c>
      <c r="B281">
        <v>6108</v>
      </c>
      <c r="C281" t="s">
        <v>40</v>
      </c>
      <c r="D281" t="s">
        <v>50</v>
      </c>
      <c r="E281" t="s">
        <v>41</v>
      </c>
      <c r="F281" t="s">
        <v>19</v>
      </c>
      <c r="G281" t="s">
        <v>26</v>
      </c>
      <c r="H281" t="s">
        <v>27</v>
      </c>
      <c r="I281" t="s">
        <v>42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>
      <c r="A282" s="1">
        <v>43976</v>
      </c>
      <c r="B282">
        <v>4636</v>
      </c>
      <c r="C282" t="s">
        <v>18</v>
      </c>
      <c r="D282" t="s">
        <v>46</v>
      </c>
      <c r="E282" t="s">
        <v>28</v>
      </c>
      <c r="F282" t="s">
        <v>19</v>
      </c>
      <c r="G282" t="s">
        <v>26</v>
      </c>
      <c r="H282" t="s">
        <v>27</v>
      </c>
      <c r="I282" t="s">
        <v>37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>
      <c r="A283" s="1">
        <v>43976</v>
      </c>
      <c r="B283">
        <v>4636</v>
      </c>
      <c r="C283" t="s">
        <v>18</v>
      </c>
      <c r="D283" t="s">
        <v>49</v>
      </c>
      <c r="E283" t="s">
        <v>28</v>
      </c>
      <c r="F283" t="s">
        <v>19</v>
      </c>
      <c r="G283" t="s">
        <v>20</v>
      </c>
      <c r="H283" t="s">
        <v>22</v>
      </c>
      <c r="I283" t="s">
        <v>34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>
      <c r="A284" s="1">
        <v>43976</v>
      </c>
      <c r="B284">
        <v>6108</v>
      </c>
      <c r="C284" t="s">
        <v>40</v>
      </c>
      <c r="D284" t="s">
        <v>50</v>
      </c>
      <c r="E284" t="s">
        <v>41</v>
      </c>
      <c r="F284" t="s">
        <v>19</v>
      </c>
      <c r="G284" t="s">
        <v>26</v>
      </c>
      <c r="H284" t="s">
        <v>27</v>
      </c>
      <c r="I284" t="s">
        <v>42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>
      <c r="A285" s="1">
        <v>43977</v>
      </c>
      <c r="B285">
        <v>4636</v>
      </c>
      <c r="C285" t="s">
        <v>18</v>
      </c>
      <c r="D285" t="s">
        <v>46</v>
      </c>
      <c r="E285" t="s">
        <v>28</v>
      </c>
      <c r="F285" t="s">
        <v>19</v>
      </c>
      <c r="G285" t="s">
        <v>26</v>
      </c>
      <c r="H285" t="s">
        <v>27</v>
      </c>
      <c r="I285" t="s">
        <v>37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>
      <c r="A286" s="1">
        <v>43977</v>
      </c>
      <c r="B286">
        <v>4636</v>
      </c>
      <c r="C286" t="s">
        <v>18</v>
      </c>
      <c r="D286" t="s">
        <v>49</v>
      </c>
      <c r="E286" t="s">
        <v>28</v>
      </c>
      <c r="F286" t="s">
        <v>19</v>
      </c>
      <c r="G286" t="s">
        <v>20</v>
      </c>
      <c r="H286" t="s">
        <v>22</v>
      </c>
      <c r="I286" t="s">
        <v>34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>
      <c r="A287" s="1">
        <v>43977</v>
      </c>
      <c r="B287">
        <v>6108</v>
      </c>
      <c r="C287" t="s">
        <v>40</v>
      </c>
      <c r="D287" t="s">
        <v>50</v>
      </c>
      <c r="E287" t="s">
        <v>41</v>
      </c>
      <c r="F287" t="s">
        <v>19</v>
      </c>
      <c r="G287" t="s">
        <v>26</v>
      </c>
      <c r="H287" t="s">
        <v>27</v>
      </c>
      <c r="I287" t="s">
        <v>42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>
      <c r="A288" s="1">
        <v>43978</v>
      </c>
      <c r="B288">
        <v>4636</v>
      </c>
      <c r="C288" t="s">
        <v>18</v>
      </c>
      <c r="D288" t="s">
        <v>46</v>
      </c>
      <c r="E288" t="s">
        <v>28</v>
      </c>
      <c r="F288" t="s">
        <v>19</v>
      </c>
      <c r="G288" t="s">
        <v>26</v>
      </c>
      <c r="H288" t="s">
        <v>27</v>
      </c>
      <c r="I288" t="s">
        <v>37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>
      <c r="A289" s="1">
        <v>43978</v>
      </c>
      <c r="B289">
        <v>4636</v>
      </c>
      <c r="C289" t="s">
        <v>18</v>
      </c>
      <c r="D289" t="s">
        <v>49</v>
      </c>
      <c r="E289" t="s">
        <v>28</v>
      </c>
      <c r="F289" t="s">
        <v>19</v>
      </c>
      <c r="G289" t="s">
        <v>20</v>
      </c>
      <c r="H289" t="s">
        <v>22</v>
      </c>
      <c r="I289" t="s">
        <v>34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>
      <c r="A290" s="1">
        <v>43978</v>
      </c>
      <c r="B290">
        <v>6108</v>
      </c>
      <c r="C290" t="s">
        <v>40</v>
      </c>
      <c r="D290" t="s">
        <v>50</v>
      </c>
      <c r="E290" t="s">
        <v>41</v>
      </c>
      <c r="F290" t="s">
        <v>19</v>
      </c>
      <c r="G290" t="s">
        <v>26</v>
      </c>
      <c r="H290" t="s">
        <v>27</v>
      </c>
      <c r="I290" t="s">
        <v>42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>
      <c r="A291" s="1">
        <v>43979</v>
      </c>
      <c r="B291">
        <v>4636</v>
      </c>
      <c r="C291" t="s">
        <v>18</v>
      </c>
      <c r="D291" t="s">
        <v>46</v>
      </c>
      <c r="E291" t="s">
        <v>28</v>
      </c>
      <c r="F291" t="s">
        <v>19</v>
      </c>
      <c r="G291" t="s">
        <v>26</v>
      </c>
      <c r="H291" t="s">
        <v>27</v>
      </c>
      <c r="I291" t="s">
        <v>37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>
      <c r="A292" s="1">
        <v>43979</v>
      </c>
      <c r="B292">
        <v>4636</v>
      </c>
      <c r="C292" t="s">
        <v>18</v>
      </c>
      <c r="D292" t="s">
        <v>49</v>
      </c>
      <c r="E292" t="s">
        <v>28</v>
      </c>
      <c r="F292" t="s">
        <v>19</v>
      </c>
      <c r="G292" t="s">
        <v>20</v>
      </c>
      <c r="H292" t="s">
        <v>22</v>
      </c>
      <c r="I292" t="s">
        <v>34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>
      <c r="A293" s="1">
        <v>43979</v>
      </c>
      <c r="B293">
        <v>6108</v>
      </c>
      <c r="C293" t="s">
        <v>40</v>
      </c>
      <c r="D293" t="s">
        <v>50</v>
      </c>
      <c r="E293" t="s">
        <v>41</v>
      </c>
      <c r="F293" t="s">
        <v>19</v>
      </c>
      <c r="G293" t="s">
        <v>26</v>
      </c>
      <c r="H293" t="s">
        <v>27</v>
      </c>
      <c r="I293" t="s">
        <v>42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>
      <c r="A294" s="1">
        <v>43980</v>
      </c>
      <c r="B294">
        <v>4636</v>
      </c>
      <c r="C294" t="s">
        <v>18</v>
      </c>
      <c r="D294" t="s">
        <v>46</v>
      </c>
      <c r="E294" t="s">
        <v>28</v>
      </c>
      <c r="F294" t="s">
        <v>19</v>
      </c>
      <c r="G294" t="s">
        <v>26</v>
      </c>
      <c r="H294" t="s">
        <v>27</v>
      </c>
      <c r="I294" t="s">
        <v>37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>
      <c r="A295" s="1">
        <v>43980</v>
      </c>
      <c r="B295">
        <v>4636</v>
      </c>
      <c r="C295" t="s">
        <v>18</v>
      </c>
      <c r="D295" t="s">
        <v>49</v>
      </c>
      <c r="E295" t="s">
        <v>28</v>
      </c>
      <c r="F295" t="s">
        <v>19</v>
      </c>
      <c r="G295" t="s">
        <v>20</v>
      </c>
      <c r="H295" t="s">
        <v>22</v>
      </c>
      <c r="I295" t="s">
        <v>34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>
      <c r="A296" s="1">
        <v>43980</v>
      </c>
      <c r="B296">
        <v>6108</v>
      </c>
      <c r="C296" t="s">
        <v>40</v>
      </c>
      <c r="D296" t="s">
        <v>50</v>
      </c>
      <c r="E296" t="s">
        <v>41</v>
      </c>
      <c r="F296" t="s">
        <v>19</v>
      </c>
      <c r="G296" t="s">
        <v>26</v>
      </c>
      <c r="H296" t="s">
        <v>27</v>
      </c>
      <c r="I296" t="s">
        <v>42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>
      <c r="A297" s="1">
        <v>43981</v>
      </c>
      <c r="B297">
        <v>4636</v>
      </c>
      <c r="C297" t="s">
        <v>18</v>
      </c>
      <c r="D297" t="s">
        <v>46</v>
      </c>
      <c r="E297" t="s">
        <v>28</v>
      </c>
      <c r="F297" t="s">
        <v>19</v>
      </c>
      <c r="G297" t="s">
        <v>26</v>
      </c>
      <c r="H297" t="s">
        <v>27</v>
      </c>
      <c r="I297" t="s">
        <v>37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>
      <c r="A298" s="1">
        <v>43981</v>
      </c>
      <c r="B298">
        <v>4636</v>
      </c>
      <c r="C298" t="s">
        <v>18</v>
      </c>
      <c r="D298" t="s">
        <v>49</v>
      </c>
      <c r="E298" t="s">
        <v>28</v>
      </c>
      <c r="F298" t="s">
        <v>19</v>
      </c>
      <c r="G298" t="s">
        <v>20</v>
      </c>
      <c r="H298" t="s">
        <v>22</v>
      </c>
      <c r="I298" t="s">
        <v>34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>
      <c r="A299" s="1">
        <v>43981</v>
      </c>
      <c r="B299">
        <v>6108</v>
      </c>
      <c r="C299" t="s">
        <v>40</v>
      </c>
      <c r="D299" t="s">
        <v>50</v>
      </c>
      <c r="E299" t="s">
        <v>41</v>
      </c>
      <c r="F299" t="s">
        <v>19</v>
      </c>
      <c r="G299" t="s">
        <v>26</v>
      </c>
      <c r="H299" t="s">
        <v>27</v>
      </c>
      <c r="I299" t="s">
        <v>42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>
      <c r="A300" s="1">
        <v>43982</v>
      </c>
      <c r="B300">
        <v>4636</v>
      </c>
      <c r="C300" t="s">
        <v>18</v>
      </c>
      <c r="D300" t="s">
        <v>46</v>
      </c>
      <c r="E300" t="s">
        <v>28</v>
      </c>
      <c r="F300" t="s">
        <v>19</v>
      </c>
      <c r="G300" t="s">
        <v>26</v>
      </c>
      <c r="H300" t="s">
        <v>27</v>
      </c>
      <c r="I300" t="s">
        <v>37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>
      <c r="A301" s="1">
        <v>43982</v>
      </c>
      <c r="B301">
        <v>4636</v>
      </c>
      <c r="C301" t="s">
        <v>18</v>
      </c>
      <c r="D301" t="s">
        <v>49</v>
      </c>
      <c r="E301" t="s">
        <v>28</v>
      </c>
      <c r="F301" t="s">
        <v>19</v>
      </c>
      <c r="G301" t="s">
        <v>20</v>
      </c>
      <c r="H301" t="s">
        <v>22</v>
      </c>
      <c r="I301" t="s">
        <v>34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>
      <c r="A302" s="1">
        <v>43982</v>
      </c>
      <c r="B302">
        <v>6108</v>
      </c>
      <c r="C302" t="s">
        <v>40</v>
      </c>
      <c r="D302" t="s">
        <v>50</v>
      </c>
      <c r="E302" t="s">
        <v>41</v>
      </c>
      <c r="F302" t="s">
        <v>19</v>
      </c>
      <c r="G302" t="s">
        <v>26</v>
      </c>
      <c r="H302" t="s">
        <v>27</v>
      </c>
      <c r="I302" t="s">
        <v>42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>
      <c r="A303" s="1">
        <v>43983</v>
      </c>
      <c r="B303">
        <v>4636</v>
      </c>
      <c r="C303" t="s">
        <v>18</v>
      </c>
      <c r="D303" t="s">
        <v>46</v>
      </c>
      <c r="E303" t="s">
        <v>28</v>
      </c>
      <c r="F303" t="s">
        <v>19</v>
      </c>
      <c r="G303" t="s">
        <v>26</v>
      </c>
      <c r="H303" t="s">
        <v>27</v>
      </c>
      <c r="I303" t="s">
        <v>37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>
      <c r="A304" s="1">
        <v>43983</v>
      </c>
      <c r="B304">
        <v>4636</v>
      </c>
      <c r="C304" t="s">
        <v>18</v>
      </c>
      <c r="D304" t="s">
        <v>49</v>
      </c>
      <c r="E304" t="s">
        <v>28</v>
      </c>
      <c r="F304" t="s">
        <v>19</v>
      </c>
      <c r="G304" t="s">
        <v>20</v>
      </c>
      <c r="H304" t="s">
        <v>22</v>
      </c>
      <c r="I304" t="s">
        <v>34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>
      <c r="A305" s="1">
        <v>43983</v>
      </c>
      <c r="B305">
        <v>6108</v>
      </c>
      <c r="C305" t="s">
        <v>40</v>
      </c>
      <c r="D305" t="s">
        <v>50</v>
      </c>
      <c r="E305" t="s">
        <v>41</v>
      </c>
      <c r="F305" t="s">
        <v>19</v>
      </c>
      <c r="G305" t="s">
        <v>26</v>
      </c>
      <c r="H305" t="s">
        <v>27</v>
      </c>
      <c r="I305" t="s">
        <v>42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>
      <c r="A306" s="1">
        <v>43984</v>
      </c>
      <c r="B306">
        <v>4636</v>
      </c>
      <c r="C306" t="s">
        <v>18</v>
      </c>
      <c r="D306" t="s">
        <v>46</v>
      </c>
      <c r="E306" t="s">
        <v>28</v>
      </c>
      <c r="F306" t="s">
        <v>19</v>
      </c>
      <c r="G306" t="s">
        <v>26</v>
      </c>
      <c r="H306" t="s">
        <v>27</v>
      </c>
      <c r="I306" t="s">
        <v>37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>
      <c r="A307" s="1">
        <v>43984</v>
      </c>
      <c r="B307">
        <v>4636</v>
      </c>
      <c r="C307" t="s">
        <v>18</v>
      </c>
      <c r="D307" t="s">
        <v>49</v>
      </c>
      <c r="E307" t="s">
        <v>28</v>
      </c>
      <c r="F307" t="s">
        <v>19</v>
      </c>
      <c r="G307" t="s">
        <v>20</v>
      </c>
      <c r="H307" t="s">
        <v>22</v>
      </c>
      <c r="I307" t="s">
        <v>34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>
      <c r="A308" s="1">
        <v>43984</v>
      </c>
      <c r="B308">
        <v>6108</v>
      </c>
      <c r="C308" t="s">
        <v>40</v>
      </c>
      <c r="D308" t="s">
        <v>50</v>
      </c>
      <c r="E308" t="s">
        <v>41</v>
      </c>
      <c r="F308" t="s">
        <v>19</v>
      </c>
      <c r="G308" t="s">
        <v>26</v>
      </c>
      <c r="H308" t="s">
        <v>27</v>
      </c>
      <c r="I308" t="s">
        <v>42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>
      <c r="A309" s="1">
        <v>43985</v>
      </c>
      <c r="B309">
        <v>4636</v>
      </c>
      <c r="C309" t="s">
        <v>18</v>
      </c>
      <c r="D309" t="s">
        <v>46</v>
      </c>
      <c r="E309" t="s">
        <v>28</v>
      </c>
      <c r="F309" t="s">
        <v>19</v>
      </c>
      <c r="G309" t="s">
        <v>26</v>
      </c>
      <c r="H309" t="s">
        <v>27</v>
      </c>
      <c r="I309" t="s">
        <v>37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>
      <c r="A310" s="1">
        <v>43985</v>
      </c>
      <c r="B310">
        <v>4636</v>
      </c>
      <c r="C310" t="s">
        <v>18</v>
      </c>
      <c r="D310" t="s">
        <v>49</v>
      </c>
      <c r="E310" t="s">
        <v>28</v>
      </c>
      <c r="F310" t="s">
        <v>19</v>
      </c>
      <c r="G310" t="s">
        <v>20</v>
      </c>
      <c r="H310" t="s">
        <v>22</v>
      </c>
      <c r="I310" t="s">
        <v>34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>
      <c r="A311" s="1">
        <v>43985</v>
      </c>
      <c r="B311">
        <v>6108</v>
      </c>
      <c r="C311" t="s">
        <v>40</v>
      </c>
      <c r="D311" t="s">
        <v>50</v>
      </c>
      <c r="E311" t="s">
        <v>41</v>
      </c>
      <c r="F311" t="s">
        <v>19</v>
      </c>
      <c r="G311" t="s">
        <v>26</v>
      </c>
      <c r="H311" t="s">
        <v>27</v>
      </c>
      <c r="I311" t="s">
        <v>42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>
      <c r="A312" s="1">
        <v>43986</v>
      </c>
      <c r="B312">
        <v>4636</v>
      </c>
      <c r="C312" t="s">
        <v>18</v>
      </c>
      <c r="D312" t="s">
        <v>46</v>
      </c>
      <c r="E312" t="s">
        <v>28</v>
      </c>
      <c r="F312" t="s">
        <v>19</v>
      </c>
      <c r="G312" t="s">
        <v>26</v>
      </c>
      <c r="H312" t="s">
        <v>27</v>
      </c>
      <c r="I312" t="s">
        <v>37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>
      <c r="A313" s="1">
        <v>43986</v>
      </c>
      <c r="B313">
        <v>4636</v>
      </c>
      <c r="C313" t="s">
        <v>18</v>
      </c>
      <c r="D313" t="s">
        <v>49</v>
      </c>
      <c r="E313" t="s">
        <v>28</v>
      </c>
      <c r="F313" t="s">
        <v>19</v>
      </c>
      <c r="G313" t="s">
        <v>20</v>
      </c>
      <c r="H313" t="s">
        <v>22</v>
      </c>
      <c r="I313" t="s">
        <v>34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>
      <c r="A314" s="1">
        <v>43986</v>
      </c>
      <c r="B314">
        <v>6108</v>
      </c>
      <c r="C314" t="s">
        <v>40</v>
      </c>
      <c r="D314" t="s">
        <v>50</v>
      </c>
      <c r="E314" t="s">
        <v>41</v>
      </c>
      <c r="F314" t="s">
        <v>19</v>
      </c>
      <c r="G314" t="s">
        <v>26</v>
      </c>
      <c r="H314" t="s">
        <v>27</v>
      </c>
      <c r="I314" t="s">
        <v>42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>
      <c r="A315" s="1">
        <v>43987</v>
      </c>
      <c r="B315">
        <v>4636</v>
      </c>
      <c r="C315" t="s">
        <v>18</v>
      </c>
      <c r="D315" t="s">
        <v>46</v>
      </c>
      <c r="E315" t="s">
        <v>28</v>
      </c>
      <c r="F315" t="s">
        <v>19</v>
      </c>
      <c r="G315" t="s">
        <v>26</v>
      </c>
      <c r="H315" t="s">
        <v>27</v>
      </c>
      <c r="I315" t="s">
        <v>37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>
      <c r="A316" s="1">
        <v>43987</v>
      </c>
      <c r="B316">
        <v>4636</v>
      </c>
      <c r="C316" t="s">
        <v>18</v>
      </c>
      <c r="D316" t="s">
        <v>49</v>
      </c>
      <c r="E316" t="s">
        <v>28</v>
      </c>
      <c r="F316" t="s">
        <v>19</v>
      </c>
      <c r="G316" t="s">
        <v>20</v>
      </c>
      <c r="H316" t="s">
        <v>22</v>
      </c>
      <c r="I316" t="s">
        <v>34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>
      <c r="A317" s="1">
        <v>43987</v>
      </c>
      <c r="B317">
        <v>6108</v>
      </c>
      <c r="C317" t="s">
        <v>40</v>
      </c>
      <c r="D317" t="s">
        <v>50</v>
      </c>
      <c r="E317" t="s">
        <v>41</v>
      </c>
      <c r="F317" t="s">
        <v>19</v>
      </c>
      <c r="G317" t="s">
        <v>26</v>
      </c>
      <c r="H317" t="s">
        <v>27</v>
      </c>
      <c r="I317" t="s">
        <v>42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>
      <c r="A318" s="1">
        <v>43988</v>
      </c>
      <c r="B318">
        <v>4636</v>
      </c>
      <c r="C318" t="s">
        <v>18</v>
      </c>
      <c r="D318" t="s">
        <v>46</v>
      </c>
      <c r="E318" t="s">
        <v>28</v>
      </c>
      <c r="F318" t="s">
        <v>19</v>
      </c>
      <c r="G318" t="s">
        <v>26</v>
      </c>
      <c r="H318" t="s">
        <v>27</v>
      </c>
      <c r="I318" t="s">
        <v>37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>
      <c r="A319" s="1">
        <v>43988</v>
      </c>
      <c r="B319">
        <v>4636</v>
      </c>
      <c r="C319" t="s">
        <v>18</v>
      </c>
      <c r="D319" t="s">
        <v>49</v>
      </c>
      <c r="E319" t="s">
        <v>28</v>
      </c>
      <c r="F319" t="s">
        <v>19</v>
      </c>
      <c r="G319" t="s">
        <v>20</v>
      </c>
      <c r="H319" t="s">
        <v>22</v>
      </c>
      <c r="I319" t="s">
        <v>34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>
      <c r="A320" s="1">
        <v>43988</v>
      </c>
      <c r="B320">
        <v>6108</v>
      </c>
      <c r="C320" t="s">
        <v>40</v>
      </c>
      <c r="D320" t="s">
        <v>50</v>
      </c>
      <c r="E320" t="s">
        <v>41</v>
      </c>
      <c r="F320" t="s">
        <v>19</v>
      </c>
      <c r="G320" t="s">
        <v>26</v>
      </c>
      <c r="H320" t="s">
        <v>27</v>
      </c>
      <c r="I320" t="s">
        <v>42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>
      <c r="A321" s="1">
        <v>43989</v>
      </c>
      <c r="B321">
        <v>4636</v>
      </c>
      <c r="C321" t="s">
        <v>18</v>
      </c>
      <c r="D321" t="s">
        <v>46</v>
      </c>
      <c r="E321" t="s">
        <v>28</v>
      </c>
      <c r="F321" t="s">
        <v>19</v>
      </c>
      <c r="G321" t="s">
        <v>26</v>
      </c>
      <c r="H321" t="s">
        <v>27</v>
      </c>
      <c r="I321" t="s">
        <v>37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>
      <c r="A322" s="1">
        <v>43989</v>
      </c>
      <c r="B322">
        <v>4636</v>
      </c>
      <c r="C322" t="s">
        <v>18</v>
      </c>
      <c r="D322" t="s">
        <v>49</v>
      </c>
      <c r="E322" t="s">
        <v>28</v>
      </c>
      <c r="F322" t="s">
        <v>19</v>
      </c>
      <c r="G322" t="s">
        <v>20</v>
      </c>
      <c r="H322" t="s">
        <v>22</v>
      </c>
      <c r="I322" t="s">
        <v>34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>
      <c r="A323" s="1">
        <v>43989</v>
      </c>
      <c r="B323">
        <v>6108</v>
      </c>
      <c r="C323" t="s">
        <v>40</v>
      </c>
      <c r="D323" t="s">
        <v>50</v>
      </c>
      <c r="E323" t="s">
        <v>41</v>
      </c>
      <c r="F323" t="s">
        <v>19</v>
      </c>
      <c r="G323" t="s">
        <v>26</v>
      </c>
      <c r="H323" t="s">
        <v>27</v>
      </c>
      <c r="I323" t="s">
        <v>42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>
      <c r="A324" s="1">
        <v>43990</v>
      </c>
      <c r="B324">
        <v>4636</v>
      </c>
      <c r="C324" t="s">
        <v>18</v>
      </c>
      <c r="D324" t="s">
        <v>46</v>
      </c>
      <c r="E324" t="s">
        <v>28</v>
      </c>
      <c r="F324" t="s">
        <v>19</v>
      </c>
      <c r="G324" t="s">
        <v>26</v>
      </c>
      <c r="H324" t="s">
        <v>27</v>
      </c>
      <c r="I324" t="s">
        <v>37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>
      <c r="A325" s="1">
        <v>43990</v>
      </c>
      <c r="B325">
        <v>4636</v>
      </c>
      <c r="C325" t="s">
        <v>18</v>
      </c>
      <c r="D325" t="s">
        <v>49</v>
      </c>
      <c r="E325" t="s">
        <v>28</v>
      </c>
      <c r="F325" t="s">
        <v>19</v>
      </c>
      <c r="G325" t="s">
        <v>20</v>
      </c>
      <c r="H325" t="s">
        <v>22</v>
      </c>
      <c r="I325" t="s">
        <v>34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>
      <c r="A326" s="1">
        <v>43990</v>
      </c>
      <c r="B326">
        <v>6108</v>
      </c>
      <c r="C326" t="s">
        <v>40</v>
      </c>
      <c r="D326" t="s">
        <v>50</v>
      </c>
      <c r="E326" t="s">
        <v>41</v>
      </c>
      <c r="F326" t="s">
        <v>19</v>
      </c>
      <c r="G326" t="s">
        <v>26</v>
      </c>
      <c r="H326" t="s">
        <v>27</v>
      </c>
      <c r="I326" t="s">
        <v>42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>
      <c r="A327" s="1">
        <v>43991</v>
      </c>
      <c r="B327">
        <v>4636</v>
      </c>
      <c r="C327" t="s">
        <v>18</v>
      </c>
      <c r="D327" t="s">
        <v>46</v>
      </c>
      <c r="E327" t="s">
        <v>28</v>
      </c>
      <c r="F327" t="s">
        <v>19</v>
      </c>
      <c r="G327" t="s">
        <v>26</v>
      </c>
      <c r="H327" t="s">
        <v>27</v>
      </c>
      <c r="I327" t="s">
        <v>37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>
      <c r="A328" s="1">
        <v>43991</v>
      </c>
      <c r="B328">
        <v>4636</v>
      </c>
      <c r="C328" t="s">
        <v>18</v>
      </c>
      <c r="D328" t="s">
        <v>49</v>
      </c>
      <c r="E328" t="s">
        <v>28</v>
      </c>
      <c r="F328" t="s">
        <v>19</v>
      </c>
      <c r="G328" t="s">
        <v>20</v>
      </c>
      <c r="H328" t="s">
        <v>22</v>
      </c>
      <c r="I328" t="s">
        <v>34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>
      <c r="A329" s="1">
        <v>43991</v>
      </c>
      <c r="B329">
        <v>6108</v>
      </c>
      <c r="C329" t="s">
        <v>40</v>
      </c>
      <c r="D329" t="s">
        <v>50</v>
      </c>
      <c r="E329" t="s">
        <v>41</v>
      </c>
      <c r="F329" t="s">
        <v>19</v>
      </c>
      <c r="G329" t="s">
        <v>26</v>
      </c>
      <c r="H329" t="s">
        <v>27</v>
      </c>
      <c r="I329" t="s">
        <v>42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>
      <c r="A330" s="1">
        <v>43992</v>
      </c>
      <c r="B330">
        <v>4636</v>
      </c>
      <c r="C330" t="s">
        <v>18</v>
      </c>
      <c r="D330" t="s">
        <v>46</v>
      </c>
      <c r="E330" t="s">
        <v>28</v>
      </c>
      <c r="F330" t="s">
        <v>19</v>
      </c>
      <c r="G330" t="s">
        <v>26</v>
      </c>
      <c r="H330" t="s">
        <v>27</v>
      </c>
      <c r="I330" t="s">
        <v>37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>
      <c r="A331" s="1">
        <v>43992</v>
      </c>
      <c r="B331">
        <v>6108</v>
      </c>
      <c r="C331" t="s">
        <v>40</v>
      </c>
      <c r="D331" t="s">
        <v>50</v>
      </c>
      <c r="E331" t="s">
        <v>41</v>
      </c>
      <c r="F331" t="s">
        <v>19</v>
      </c>
      <c r="G331" t="s">
        <v>26</v>
      </c>
      <c r="H331" t="s">
        <v>27</v>
      </c>
      <c r="I331" t="s">
        <v>42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>
      <c r="A332" s="1">
        <v>43993</v>
      </c>
      <c r="B332">
        <v>4636</v>
      </c>
      <c r="C332" t="s">
        <v>18</v>
      </c>
      <c r="D332" t="s">
        <v>46</v>
      </c>
      <c r="E332" t="s">
        <v>28</v>
      </c>
      <c r="F332" t="s">
        <v>19</v>
      </c>
      <c r="G332" t="s">
        <v>26</v>
      </c>
      <c r="H332" t="s">
        <v>27</v>
      </c>
      <c r="I332" t="s">
        <v>37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>
      <c r="A333" s="1">
        <v>43993</v>
      </c>
      <c r="B333">
        <v>6108</v>
      </c>
      <c r="C333" t="s">
        <v>40</v>
      </c>
      <c r="D333" t="s">
        <v>50</v>
      </c>
      <c r="E333" t="s">
        <v>41</v>
      </c>
      <c r="F333" t="s">
        <v>19</v>
      </c>
      <c r="G333" t="s">
        <v>26</v>
      </c>
      <c r="H333" t="s">
        <v>27</v>
      </c>
      <c r="I333" t="s">
        <v>42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>
      <c r="A334" s="1">
        <v>43994</v>
      </c>
      <c r="B334">
        <v>4636</v>
      </c>
      <c r="C334" t="s">
        <v>18</v>
      </c>
      <c r="D334" t="s">
        <v>46</v>
      </c>
      <c r="E334" t="s">
        <v>28</v>
      </c>
      <c r="F334" t="s">
        <v>19</v>
      </c>
      <c r="G334" t="s">
        <v>26</v>
      </c>
      <c r="H334" t="s">
        <v>27</v>
      </c>
      <c r="I334" t="s">
        <v>37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>
      <c r="A335" s="1">
        <v>43994</v>
      </c>
      <c r="B335">
        <v>4636</v>
      </c>
      <c r="C335" t="s">
        <v>18</v>
      </c>
      <c r="D335" t="s">
        <v>49</v>
      </c>
      <c r="E335" t="s">
        <v>28</v>
      </c>
      <c r="F335" t="s">
        <v>19</v>
      </c>
      <c r="G335" t="s">
        <v>20</v>
      </c>
      <c r="H335" t="s">
        <v>22</v>
      </c>
      <c r="I335" t="s">
        <v>34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>
      <c r="A336" s="1">
        <v>43994</v>
      </c>
      <c r="B336">
        <v>6108</v>
      </c>
      <c r="C336" t="s">
        <v>40</v>
      </c>
      <c r="D336" t="s">
        <v>50</v>
      </c>
      <c r="E336" t="s">
        <v>41</v>
      </c>
      <c r="F336" t="s">
        <v>19</v>
      </c>
      <c r="G336" t="s">
        <v>26</v>
      </c>
      <c r="H336" t="s">
        <v>27</v>
      </c>
      <c r="I336" t="s">
        <v>42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>
      <c r="A337" s="1">
        <v>43995</v>
      </c>
      <c r="B337">
        <v>4636</v>
      </c>
      <c r="C337" t="s">
        <v>18</v>
      </c>
      <c r="D337" t="s">
        <v>46</v>
      </c>
      <c r="E337" t="s">
        <v>28</v>
      </c>
      <c r="F337" t="s">
        <v>19</v>
      </c>
      <c r="G337" t="s">
        <v>26</v>
      </c>
      <c r="H337" t="s">
        <v>27</v>
      </c>
      <c r="I337" t="s">
        <v>37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>
      <c r="A338" s="1">
        <v>43995</v>
      </c>
      <c r="B338">
        <v>4636</v>
      </c>
      <c r="C338" t="s">
        <v>18</v>
      </c>
      <c r="D338" t="s">
        <v>49</v>
      </c>
      <c r="E338" t="s">
        <v>28</v>
      </c>
      <c r="F338" t="s">
        <v>19</v>
      </c>
      <c r="G338" t="s">
        <v>20</v>
      </c>
      <c r="H338" t="s">
        <v>22</v>
      </c>
      <c r="I338" t="s">
        <v>34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>
      <c r="A339" s="1">
        <v>43995</v>
      </c>
      <c r="B339">
        <v>6108</v>
      </c>
      <c r="C339" t="s">
        <v>40</v>
      </c>
      <c r="D339" t="s">
        <v>50</v>
      </c>
      <c r="E339" t="s">
        <v>41</v>
      </c>
      <c r="F339" t="s">
        <v>19</v>
      </c>
      <c r="G339" t="s">
        <v>26</v>
      </c>
      <c r="H339" t="s">
        <v>27</v>
      </c>
      <c r="I339" t="s">
        <v>42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>
      <c r="A340" s="1">
        <v>43996</v>
      </c>
      <c r="B340">
        <v>4636</v>
      </c>
      <c r="C340" t="s">
        <v>18</v>
      </c>
      <c r="D340" t="s">
        <v>46</v>
      </c>
      <c r="E340" t="s">
        <v>28</v>
      </c>
      <c r="F340" t="s">
        <v>19</v>
      </c>
      <c r="G340" t="s">
        <v>26</v>
      </c>
      <c r="H340" t="s">
        <v>27</v>
      </c>
      <c r="I340" t="s">
        <v>37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>
      <c r="A341" s="1">
        <v>43996</v>
      </c>
      <c r="B341">
        <v>4636</v>
      </c>
      <c r="C341" t="s">
        <v>18</v>
      </c>
      <c r="D341" t="s">
        <v>49</v>
      </c>
      <c r="E341" t="s">
        <v>28</v>
      </c>
      <c r="F341" t="s">
        <v>19</v>
      </c>
      <c r="G341" t="s">
        <v>20</v>
      </c>
      <c r="H341" t="s">
        <v>22</v>
      </c>
      <c r="I341" t="s">
        <v>34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>
      <c r="A342" s="1">
        <v>43996</v>
      </c>
      <c r="B342">
        <v>6108</v>
      </c>
      <c r="C342" t="s">
        <v>40</v>
      </c>
      <c r="D342" t="s">
        <v>50</v>
      </c>
      <c r="E342" t="s">
        <v>41</v>
      </c>
      <c r="F342" t="s">
        <v>19</v>
      </c>
      <c r="G342" t="s">
        <v>26</v>
      </c>
      <c r="H342" t="s">
        <v>27</v>
      </c>
      <c r="I342" t="s">
        <v>42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>
      <c r="A343" s="1">
        <v>43997</v>
      </c>
      <c r="B343">
        <v>4636</v>
      </c>
      <c r="C343" t="s">
        <v>18</v>
      </c>
      <c r="D343" t="s">
        <v>46</v>
      </c>
      <c r="E343" t="s">
        <v>28</v>
      </c>
      <c r="F343" t="s">
        <v>19</v>
      </c>
      <c r="G343" t="s">
        <v>26</v>
      </c>
      <c r="H343" t="s">
        <v>27</v>
      </c>
      <c r="I343" t="s">
        <v>37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>
      <c r="A344" s="1">
        <v>43997</v>
      </c>
      <c r="B344">
        <v>4636</v>
      </c>
      <c r="C344" t="s">
        <v>18</v>
      </c>
      <c r="D344" t="s">
        <v>49</v>
      </c>
      <c r="E344" t="s">
        <v>28</v>
      </c>
      <c r="F344" t="s">
        <v>19</v>
      </c>
      <c r="G344" t="s">
        <v>20</v>
      </c>
      <c r="H344" t="s">
        <v>22</v>
      </c>
      <c r="I344" t="s">
        <v>34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>
      <c r="A345" s="1">
        <v>43997</v>
      </c>
      <c r="B345">
        <v>6108</v>
      </c>
      <c r="C345" t="s">
        <v>40</v>
      </c>
      <c r="D345" t="s">
        <v>50</v>
      </c>
      <c r="E345" t="s">
        <v>41</v>
      </c>
      <c r="F345" t="s">
        <v>19</v>
      </c>
      <c r="G345" t="s">
        <v>26</v>
      </c>
      <c r="H345" t="s">
        <v>27</v>
      </c>
      <c r="I345" t="s">
        <v>42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>
      <c r="A346" s="1">
        <v>43998</v>
      </c>
      <c r="B346">
        <v>4636</v>
      </c>
      <c r="C346" t="s">
        <v>18</v>
      </c>
      <c r="D346" t="s">
        <v>46</v>
      </c>
      <c r="E346" t="s">
        <v>28</v>
      </c>
      <c r="F346" t="s">
        <v>19</v>
      </c>
      <c r="G346" t="s">
        <v>26</v>
      </c>
      <c r="H346" t="s">
        <v>27</v>
      </c>
      <c r="I346" t="s">
        <v>37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>
      <c r="A347" s="1">
        <v>43998</v>
      </c>
      <c r="B347">
        <v>4636</v>
      </c>
      <c r="C347" t="s">
        <v>18</v>
      </c>
      <c r="D347" t="s">
        <v>49</v>
      </c>
      <c r="E347" t="s">
        <v>28</v>
      </c>
      <c r="F347" t="s">
        <v>19</v>
      </c>
      <c r="G347" t="s">
        <v>20</v>
      </c>
      <c r="H347" t="s">
        <v>22</v>
      </c>
      <c r="I347" t="s">
        <v>34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>
      <c r="A348" s="1">
        <v>43998</v>
      </c>
      <c r="B348">
        <v>6108</v>
      </c>
      <c r="C348" t="s">
        <v>40</v>
      </c>
      <c r="D348" t="s">
        <v>50</v>
      </c>
      <c r="E348" t="s">
        <v>41</v>
      </c>
      <c r="F348" t="s">
        <v>19</v>
      </c>
      <c r="G348" t="s">
        <v>26</v>
      </c>
      <c r="H348" t="s">
        <v>27</v>
      </c>
      <c r="I348" t="s">
        <v>42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>
      <c r="A349" s="1">
        <v>43999</v>
      </c>
      <c r="B349">
        <v>4636</v>
      </c>
      <c r="C349" t="s">
        <v>18</v>
      </c>
      <c r="D349" t="s">
        <v>46</v>
      </c>
      <c r="E349" t="s">
        <v>28</v>
      </c>
      <c r="F349" t="s">
        <v>19</v>
      </c>
      <c r="G349" t="s">
        <v>26</v>
      </c>
      <c r="H349" t="s">
        <v>27</v>
      </c>
      <c r="I349" t="s">
        <v>37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>
      <c r="A350" s="1">
        <v>43999</v>
      </c>
      <c r="B350">
        <v>4636</v>
      </c>
      <c r="C350" t="s">
        <v>18</v>
      </c>
      <c r="D350" t="s">
        <v>49</v>
      </c>
      <c r="E350" t="s">
        <v>28</v>
      </c>
      <c r="F350" t="s">
        <v>19</v>
      </c>
      <c r="G350" t="s">
        <v>20</v>
      </c>
      <c r="H350" t="s">
        <v>22</v>
      </c>
      <c r="I350" t="s">
        <v>34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>
      <c r="A351" s="1">
        <v>43999</v>
      </c>
      <c r="B351">
        <v>6108</v>
      </c>
      <c r="C351" t="s">
        <v>40</v>
      </c>
      <c r="D351" t="s">
        <v>50</v>
      </c>
      <c r="E351" t="s">
        <v>41</v>
      </c>
      <c r="F351" t="s">
        <v>19</v>
      </c>
      <c r="G351" t="s">
        <v>26</v>
      </c>
      <c r="H351" t="s">
        <v>27</v>
      </c>
      <c r="I351" t="s">
        <v>42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>
      <c r="A352" s="1">
        <v>44000</v>
      </c>
      <c r="B352">
        <v>4636</v>
      </c>
      <c r="C352" t="s">
        <v>18</v>
      </c>
      <c r="D352" t="s">
        <v>46</v>
      </c>
      <c r="E352" t="s">
        <v>28</v>
      </c>
      <c r="F352" t="s">
        <v>19</v>
      </c>
      <c r="G352" t="s">
        <v>26</v>
      </c>
      <c r="H352" t="s">
        <v>27</v>
      </c>
      <c r="I352" t="s">
        <v>37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>
      <c r="A353" s="1">
        <v>44000</v>
      </c>
      <c r="B353">
        <v>4636</v>
      </c>
      <c r="C353" t="s">
        <v>18</v>
      </c>
      <c r="D353" t="s">
        <v>49</v>
      </c>
      <c r="E353" t="s">
        <v>28</v>
      </c>
      <c r="F353" t="s">
        <v>19</v>
      </c>
      <c r="G353" t="s">
        <v>20</v>
      </c>
      <c r="H353" t="s">
        <v>22</v>
      </c>
      <c r="I353" t="s">
        <v>34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>
      <c r="A354" s="1">
        <v>44000</v>
      </c>
      <c r="B354">
        <v>6108</v>
      </c>
      <c r="C354" t="s">
        <v>40</v>
      </c>
      <c r="D354" t="s">
        <v>50</v>
      </c>
      <c r="E354" t="s">
        <v>41</v>
      </c>
      <c r="F354" t="s">
        <v>19</v>
      </c>
      <c r="G354" t="s">
        <v>26</v>
      </c>
      <c r="H354" t="s">
        <v>27</v>
      </c>
      <c r="I354" t="s">
        <v>42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>
      <c r="A355" s="1">
        <v>44001</v>
      </c>
      <c r="B355">
        <v>4636</v>
      </c>
      <c r="C355" t="s">
        <v>18</v>
      </c>
      <c r="D355" t="s">
        <v>46</v>
      </c>
      <c r="E355" t="s">
        <v>28</v>
      </c>
      <c r="F355" t="s">
        <v>19</v>
      </c>
      <c r="G355" t="s">
        <v>26</v>
      </c>
      <c r="H355" t="s">
        <v>27</v>
      </c>
      <c r="I355" t="s">
        <v>37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>
      <c r="A356" s="1">
        <v>44001</v>
      </c>
      <c r="B356">
        <v>4636</v>
      </c>
      <c r="C356" t="s">
        <v>18</v>
      </c>
      <c r="D356" t="s">
        <v>49</v>
      </c>
      <c r="E356" t="s">
        <v>28</v>
      </c>
      <c r="F356" t="s">
        <v>19</v>
      </c>
      <c r="G356" t="s">
        <v>20</v>
      </c>
      <c r="H356" t="s">
        <v>22</v>
      </c>
      <c r="I356" t="s">
        <v>34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>
      <c r="A357" s="1">
        <v>44001</v>
      </c>
      <c r="B357">
        <v>6108</v>
      </c>
      <c r="C357" t="s">
        <v>40</v>
      </c>
      <c r="D357" t="s">
        <v>50</v>
      </c>
      <c r="E357" t="s">
        <v>41</v>
      </c>
      <c r="F357" t="s">
        <v>19</v>
      </c>
      <c r="G357" t="s">
        <v>26</v>
      </c>
      <c r="H357" t="s">
        <v>27</v>
      </c>
      <c r="I357" t="s">
        <v>42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>
      <c r="A358" s="1">
        <v>44002</v>
      </c>
      <c r="B358">
        <v>4636</v>
      </c>
      <c r="C358" t="s">
        <v>18</v>
      </c>
      <c r="D358" t="s">
        <v>46</v>
      </c>
      <c r="E358" t="s">
        <v>28</v>
      </c>
      <c r="F358" t="s">
        <v>19</v>
      </c>
      <c r="G358" t="s">
        <v>26</v>
      </c>
      <c r="H358" t="s">
        <v>27</v>
      </c>
      <c r="I358" t="s">
        <v>37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>
      <c r="A359" s="1">
        <v>44002</v>
      </c>
      <c r="B359">
        <v>4636</v>
      </c>
      <c r="C359" t="s">
        <v>18</v>
      </c>
      <c r="D359" t="s">
        <v>49</v>
      </c>
      <c r="E359" t="s">
        <v>28</v>
      </c>
      <c r="F359" t="s">
        <v>19</v>
      </c>
      <c r="G359" t="s">
        <v>20</v>
      </c>
      <c r="H359" t="s">
        <v>22</v>
      </c>
      <c r="I359" t="s">
        <v>34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>
      <c r="A360" s="1">
        <v>44002</v>
      </c>
      <c r="B360">
        <v>6108</v>
      </c>
      <c r="C360" t="s">
        <v>40</v>
      </c>
      <c r="D360" t="s">
        <v>50</v>
      </c>
      <c r="E360" t="s">
        <v>41</v>
      </c>
      <c r="F360" t="s">
        <v>19</v>
      </c>
      <c r="G360" t="s">
        <v>26</v>
      </c>
      <c r="H360" t="s">
        <v>27</v>
      </c>
      <c r="I360" t="s">
        <v>42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>
      <c r="A361" s="1">
        <v>44003</v>
      </c>
      <c r="B361">
        <v>4636</v>
      </c>
      <c r="C361" t="s">
        <v>18</v>
      </c>
      <c r="D361" t="s">
        <v>46</v>
      </c>
      <c r="E361" t="s">
        <v>28</v>
      </c>
      <c r="F361" t="s">
        <v>19</v>
      </c>
      <c r="G361" t="s">
        <v>26</v>
      </c>
      <c r="H361" t="s">
        <v>27</v>
      </c>
      <c r="I361" t="s">
        <v>37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>
      <c r="A362" s="1">
        <v>44003</v>
      </c>
      <c r="B362">
        <v>4636</v>
      </c>
      <c r="C362" t="s">
        <v>18</v>
      </c>
      <c r="D362" t="s">
        <v>49</v>
      </c>
      <c r="E362" t="s">
        <v>28</v>
      </c>
      <c r="F362" t="s">
        <v>19</v>
      </c>
      <c r="G362" t="s">
        <v>20</v>
      </c>
      <c r="H362" t="s">
        <v>22</v>
      </c>
      <c r="I362" t="s">
        <v>34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>
      <c r="A363" s="1">
        <v>44003</v>
      </c>
      <c r="B363">
        <v>6108</v>
      </c>
      <c r="C363" t="s">
        <v>40</v>
      </c>
      <c r="D363" t="s">
        <v>50</v>
      </c>
      <c r="E363" t="s">
        <v>41</v>
      </c>
      <c r="F363" t="s">
        <v>19</v>
      </c>
      <c r="G363" t="s">
        <v>26</v>
      </c>
      <c r="H363" t="s">
        <v>27</v>
      </c>
      <c r="I363" t="s">
        <v>42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>
      <c r="A364" s="1">
        <v>44004</v>
      </c>
      <c r="B364">
        <v>4636</v>
      </c>
      <c r="C364" t="s">
        <v>18</v>
      </c>
      <c r="D364" t="s">
        <v>46</v>
      </c>
      <c r="E364" t="s">
        <v>28</v>
      </c>
      <c r="F364" t="s">
        <v>19</v>
      </c>
      <c r="G364" t="s">
        <v>26</v>
      </c>
      <c r="H364" t="s">
        <v>27</v>
      </c>
      <c r="I364" t="s">
        <v>37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>
      <c r="A365" s="1">
        <v>44004</v>
      </c>
      <c r="B365">
        <v>4636</v>
      </c>
      <c r="C365" t="s">
        <v>18</v>
      </c>
      <c r="D365" t="s">
        <v>49</v>
      </c>
      <c r="E365" t="s">
        <v>28</v>
      </c>
      <c r="F365" t="s">
        <v>19</v>
      </c>
      <c r="G365" t="s">
        <v>20</v>
      </c>
      <c r="H365" t="s">
        <v>22</v>
      </c>
      <c r="I365" t="s">
        <v>34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>
      <c r="A366" s="1">
        <v>44004</v>
      </c>
      <c r="B366">
        <v>6108</v>
      </c>
      <c r="C366" t="s">
        <v>40</v>
      </c>
      <c r="D366" t="s">
        <v>50</v>
      </c>
      <c r="E366" t="s">
        <v>41</v>
      </c>
      <c r="F366" t="s">
        <v>19</v>
      </c>
      <c r="G366" t="s">
        <v>26</v>
      </c>
      <c r="H366" t="s">
        <v>27</v>
      </c>
      <c r="I366" t="s">
        <v>42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>
      <c r="A367" s="1">
        <v>44005</v>
      </c>
      <c r="B367">
        <v>4636</v>
      </c>
      <c r="C367" t="s">
        <v>18</v>
      </c>
      <c r="D367" t="s">
        <v>46</v>
      </c>
      <c r="E367" t="s">
        <v>28</v>
      </c>
      <c r="F367" t="s">
        <v>19</v>
      </c>
      <c r="G367" t="s">
        <v>26</v>
      </c>
      <c r="H367" t="s">
        <v>27</v>
      </c>
      <c r="I367" t="s">
        <v>37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>
      <c r="A368" s="1">
        <v>44005</v>
      </c>
      <c r="B368">
        <v>4636</v>
      </c>
      <c r="C368" t="s">
        <v>18</v>
      </c>
      <c r="D368" t="s">
        <v>49</v>
      </c>
      <c r="E368" t="s">
        <v>28</v>
      </c>
      <c r="F368" t="s">
        <v>19</v>
      </c>
      <c r="G368" t="s">
        <v>20</v>
      </c>
      <c r="H368" t="s">
        <v>22</v>
      </c>
      <c r="I368" t="s">
        <v>34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>
      <c r="A369" s="1">
        <v>44005</v>
      </c>
      <c r="B369">
        <v>6108</v>
      </c>
      <c r="C369" t="s">
        <v>40</v>
      </c>
      <c r="D369" t="s">
        <v>50</v>
      </c>
      <c r="E369" t="s">
        <v>41</v>
      </c>
      <c r="F369" t="s">
        <v>19</v>
      </c>
      <c r="G369" t="s">
        <v>26</v>
      </c>
      <c r="H369" t="s">
        <v>27</v>
      </c>
      <c r="I369" t="s">
        <v>42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>
      <c r="A370" s="1">
        <v>44006</v>
      </c>
      <c r="B370">
        <v>4636</v>
      </c>
      <c r="C370" t="s">
        <v>18</v>
      </c>
      <c r="D370" t="s">
        <v>46</v>
      </c>
      <c r="E370" t="s">
        <v>28</v>
      </c>
      <c r="F370" t="s">
        <v>19</v>
      </c>
      <c r="G370" t="s">
        <v>26</v>
      </c>
      <c r="H370" t="s">
        <v>27</v>
      </c>
      <c r="I370" t="s">
        <v>37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>
      <c r="A371" s="1">
        <v>44006</v>
      </c>
      <c r="B371">
        <v>4636</v>
      </c>
      <c r="C371" t="s">
        <v>18</v>
      </c>
      <c r="D371" t="s">
        <v>49</v>
      </c>
      <c r="E371" t="s">
        <v>28</v>
      </c>
      <c r="F371" t="s">
        <v>19</v>
      </c>
      <c r="G371" t="s">
        <v>20</v>
      </c>
      <c r="H371" t="s">
        <v>22</v>
      </c>
      <c r="I371" t="s">
        <v>34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>
      <c r="A372" s="1">
        <v>44006</v>
      </c>
      <c r="B372">
        <v>6108</v>
      </c>
      <c r="C372" t="s">
        <v>40</v>
      </c>
      <c r="D372" t="s">
        <v>50</v>
      </c>
      <c r="E372" t="s">
        <v>41</v>
      </c>
      <c r="F372" t="s">
        <v>19</v>
      </c>
      <c r="G372" t="s">
        <v>26</v>
      </c>
      <c r="H372" t="s">
        <v>27</v>
      </c>
      <c r="I372" t="s">
        <v>42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>
      <c r="A373" s="1">
        <v>44007</v>
      </c>
      <c r="B373">
        <v>4636</v>
      </c>
      <c r="C373" t="s">
        <v>18</v>
      </c>
      <c r="D373" t="s">
        <v>46</v>
      </c>
      <c r="E373" t="s">
        <v>28</v>
      </c>
      <c r="F373" t="s">
        <v>19</v>
      </c>
      <c r="G373" t="s">
        <v>26</v>
      </c>
      <c r="H373" t="s">
        <v>27</v>
      </c>
      <c r="I373" t="s">
        <v>37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>
      <c r="A374" s="1">
        <v>44007</v>
      </c>
      <c r="B374">
        <v>4636</v>
      </c>
      <c r="C374" t="s">
        <v>18</v>
      </c>
      <c r="D374" t="s">
        <v>49</v>
      </c>
      <c r="E374" t="s">
        <v>28</v>
      </c>
      <c r="F374" t="s">
        <v>19</v>
      </c>
      <c r="G374" t="s">
        <v>20</v>
      </c>
      <c r="H374" t="s">
        <v>22</v>
      </c>
      <c r="I374" t="s">
        <v>34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>
      <c r="A375" s="1">
        <v>44007</v>
      </c>
      <c r="B375">
        <v>6108</v>
      </c>
      <c r="C375" t="s">
        <v>40</v>
      </c>
      <c r="D375" t="s">
        <v>50</v>
      </c>
      <c r="E375" t="s">
        <v>41</v>
      </c>
      <c r="F375" t="s">
        <v>19</v>
      </c>
      <c r="G375" t="s">
        <v>26</v>
      </c>
      <c r="H375" t="s">
        <v>27</v>
      </c>
      <c r="I375" t="s">
        <v>42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>
      <c r="A376" s="1">
        <v>44008</v>
      </c>
      <c r="B376">
        <v>4636</v>
      </c>
      <c r="C376" t="s">
        <v>18</v>
      </c>
      <c r="D376" t="s">
        <v>46</v>
      </c>
      <c r="E376" t="s">
        <v>28</v>
      </c>
      <c r="F376" t="s">
        <v>19</v>
      </c>
      <c r="G376" t="s">
        <v>26</v>
      </c>
      <c r="H376" t="s">
        <v>27</v>
      </c>
      <c r="I376" t="s">
        <v>37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>
      <c r="A377" s="1">
        <v>44008</v>
      </c>
      <c r="B377">
        <v>4636</v>
      </c>
      <c r="C377" t="s">
        <v>18</v>
      </c>
      <c r="D377" t="s">
        <v>49</v>
      </c>
      <c r="E377" t="s">
        <v>28</v>
      </c>
      <c r="F377" t="s">
        <v>19</v>
      </c>
      <c r="G377" t="s">
        <v>20</v>
      </c>
      <c r="H377" t="s">
        <v>22</v>
      </c>
      <c r="I377" t="s">
        <v>34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>
      <c r="A378" s="1">
        <v>44008</v>
      </c>
      <c r="B378">
        <v>6108</v>
      </c>
      <c r="C378" t="s">
        <v>40</v>
      </c>
      <c r="D378" t="s">
        <v>50</v>
      </c>
      <c r="E378" t="s">
        <v>41</v>
      </c>
      <c r="F378" t="s">
        <v>19</v>
      </c>
      <c r="G378" t="s">
        <v>26</v>
      </c>
      <c r="H378" t="s">
        <v>27</v>
      </c>
      <c r="I378" t="s">
        <v>42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>
      <c r="A379" s="1">
        <v>44009</v>
      </c>
      <c r="B379">
        <v>4636</v>
      </c>
      <c r="C379" t="s">
        <v>18</v>
      </c>
      <c r="D379" t="s">
        <v>46</v>
      </c>
      <c r="E379" t="s">
        <v>28</v>
      </c>
      <c r="F379" t="s">
        <v>19</v>
      </c>
      <c r="G379" t="s">
        <v>26</v>
      </c>
      <c r="H379" t="s">
        <v>27</v>
      </c>
      <c r="I379" t="s">
        <v>37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>
      <c r="A380" s="1">
        <v>44009</v>
      </c>
      <c r="B380">
        <v>4636</v>
      </c>
      <c r="C380" t="s">
        <v>18</v>
      </c>
      <c r="D380" t="s">
        <v>49</v>
      </c>
      <c r="E380" t="s">
        <v>28</v>
      </c>
      <c r="F380" t="s">
        <v>19</v>
      </c>
      <c r="G380" t="s">
        <v>20</v>
      </c>
      <c r="H380" t="s">
        <v>22</v>
      </c>
      <c r="I380" t="s">
        <v>34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>
      <c r="A381" s="1">
        <v>44009</v>
      </c>
      <c r="B381">
        <v>6108</v>
      </c>
      <c r="C381" t="s">
        <v>40</v>
      </c>
      <c r="D381" t="s">
        <v>50</v>
      </c>
      <c r="E381" t="s">
        <v>41</v>
      </c>
      <c r="F381" t="s">
        <v>19</v>
      </c>
      <c r="G381" t="s">
        <v>26</v>
      </c>
      <c r="H381" t="s">
        <v>27</v>
      </c>
      <c r="I381" t="s">
        <v>42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>
      <c r="A382" s="1">
        <v>44010</v>
      </c>
      <c r="B382">
        <v>4636</v>
      </c>
      <c r="C382" t="s">
        <v>18</v>
      </c>
      <c r="D382" t="s">
        <v>46</v>
      </c>
      <c r="E382" t="s">
        <v>28</v>
      </c>
      <c r="F382" t="s">
        <v>19</v>
      </c>
      <c r="G382" t="s">
        <v>26</v>
      </c>
      <c r="H382" t="s">
        <v>27</v>
      </c>
      <c r="I382" t="s">
        <v>37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>
      <c r="A383" s="1">
        <v>44010</v>
      </c>
      <c r="B383">
        <v>4636</v>
      </c>
      <c r="C383" t="s">
        <v>18</v>
      </c>
      <c r="D383" t="s">
        <v>49</v>
      </c>
      <c r="E383" t="s">
        <v>28</v>
      </c>
      <c r="F383" t="s">
        <v>19</v>
      </c>
      <c r="G383" t="s">
        <v>20</v>
      </c>
      <c r="H383" t="s">
        <v>22</v>
      </c>
      <c r="I383" t="s">
        <v>34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>
      <c r="A384" s="1">
        <v>44010</v>
      </c>
      <c r="B384">
        <v>6108</v>
      </c>
      <c r="C384" t="s">
        <v>40</v>
      </c>
      <c r="D384" t="s">
        <v>50</v>
      </c>
      <c r="E384" t="s">
        <v>41</v>
      </c>
      <c r="F384" t="s">
        <v>19</v>
      </c>
      <c r="G384" t="s">
        <v>26</v>
      </c>
      <c r="H384" t="s">
        <v>27</v>
      </c>
      <c r="I384" t="s">
        <v>42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>
      <c r="A385" s="1">
        <v>44011</v>
      </c>
      <c r="B385">
        <v>4636</v>
      </c>
      <c r="C385" t="s">
        <v>18</v>
      </c>
      <c r="D385" t="s">
        <v>46</v>
      </c>
      <c r="E385" t="s">
        <v>28</v>
      </c>
      <c r="F385" t="s">
        <v>19</v>
      </c>
      <c r="G385" t="s">
        <v>26</v>
      </c>
      <c r="H385" t="s">
        <v>27</v>
      </c>
      <c r="I385" t="s">
        <v>37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>
      <c r="A386" s="1">
        <v>44011</v>
      </c>
      <c r="B386">
        <v>4636</v>
      </c>
      <c r="C386" t="s">
        <v>18</v>
      </c>
      <c r="D386" t="s">
        <v>49</v>
      </c>
      <c r="E386" t="s">
        <v>28</v>
      </c>
      <c r="F386" t="s">
        <v>19</v>
      </c>
      <c r="G386" t="s">
        <v>20</v>
      </c>
      <c r="H386" t="s">
        <v>22</v>
      </c>
      <c r="I386" t="s">
        <v>34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>
      <c r="A387" s="1">
        <v>44011</v>
      </c>
      <c r="B387">
        <v>6108</v>
      </c>
      <c r="C387" t="s">
        <v>40</v>
      </c>
      <c r="D387" t="s">
        <v>50</v>
      </c>
      <c r="E387" t="s">
        <v>41</v>
      </c>
      <c r="F387" t="s">
        <v>19</v>
      </c>
      <c r="G387" t="s">
        <v>26</v>
      </c>
      <c r="H387" t="s">
        <v>27</v>
      </c>
      <c r="I387" t="s">
        <v>42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>
      <c r="A388" s="1">
        <v>44012</v>
      </c>
      <c r="B388">
        <v>4636</v>
      </c>
      <c r="C388" t="s">
        <v>18</v>
      </c>
      <c r="D388" t="s">
        <v>46</v>
      </c>
      <c r="E388" t="s">
        <v>28</v>
      </c>
      <c r="F388" t="s">
        <v>19</v>
      </c>
      <c r="G388" t="s">
        <v>26</v>
      </c>
      <c r="H388" t="s">
        <v>27</v>
      </c>
      <c r="I388" t="s">
        <v>37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>
      <c r="A389" s="1">
        <v>44012</v>
      </c>
      <c r="B389">
        <v>4636</v>
      </c>
      <c r="C389" t="s">
        <v>18</v>
      </c>
      <c r="D389" t="s">
        <v>49</v>
      </c>
      <c r="E389" t="s">
        <v>28</v>
      </c>
      <c r="F389" t="s">
        <v>19</v>
      </c>
      <c r="G389" t="s">
        <v>20</v>
      </c>
      <c r="H389" t="s">
        <v>22</v>
      </c>
      <c r="I389" t="s">
        <v>34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>
      <c r="A390" s="1">
        <v>44012</v>
      </c>
      <c r="B390">
        <v>6108</v>
      </c>
      <c r="C390" t="s">
        <v>40</v>
      </c>
      <c r="D390" t="s">
        <v>50</v>
      </c>
      <c r="E390" t="s">
        <v>41</v>
      </c>
      <c r="F390" t="s">
        <v>19</v>
      </c>
      <c r="G390" t="s">
        <v>26</v>
      </c>
      <c r="H390" t="s">
        <v>27</v>
      </c>
      <c r="I390" t="s">
        <v>42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>
      <c r="A391" s="1">
        <v>44013</v>
      </c>
      <c r="B391">
        <v>4636</v>
      </c>
      <c r="C391" t="s">
        <v>18</v>
      </c>
      <c r="D391" t="s">
        <v>46</v>
      </c>
      <c r="E391" t="s">
        <v>28</v>
      </c>
      <c r="F391" t="s">
        <v>19</v>
      </c>
      <c r="G391" t="s">
        <v>26</v>
      </c>
      <c r="H391" t="s">
        <v>27</v>
      </c>
      <c r="I391" t="s">
        <v>37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>
      <c r="A392" s="1">
        <v>44013</v>
      </c>
      <c r="B392">
        <v>4636</v>
      </c>
      <c r="C392" t="s">
        <v>18</v>
      </c>
      <c r="D392" t="s">
        <v>49</v>
      </c>
      <c r="E392" t="s">
        <v>28</v>
      </c>
      <c r="F392" t="s">
        <v>19</v>
      </c>
      <c r="G392" t="s">
        <v>20</v>
      </c>
      <c r="H392" t="s">
        <v>22</v>
      </c>
      <c r="I392" t="s">
        <v>34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>
      <c r="A393" s="1">
        <v>44013</v>
      </c>
      <c r="B393">
        <v>6108</v>
      </c>
      <c r="C393" t="s">
        <v>40</v>
      </c>
      <c r="D393" t="s">
        <v>50</v>
      </c>
      <c r="E393" t="s">
        <v>41</v>
      </c>
      <c r="F393" t="s">
        <v>19</v>
      </c>
      <c r="G393" t="s">
        <v>26</v>
      </c>
      <c r="H393" t="s">
        <v>27</v>
      </c>
      <c r="I393" t="s">
        <v>42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>
      <c r="A394" s="1">
        <v>44014</v>
      </c>
      <c r="B394">
        <v>4636</v>
      </c>
      <c r="C394" t="s">
        <v>18</v>
      </c>
      <c r="D394" t="s">
        <v>46</v>
      </c>
      <c r="E394" t="s">
        <v>28</v>
      </c>
      <c r="F394" t="s">
        <v>19</v>
      </c>
      <c r="G394" t="s">
        <v>26</v>
      </c>
      <c r="H394" t="s">
        <v>27</v>
      </c>
      <c r="I394" t="s">
        <v>37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>
      <c r="A395" s="1">
        <v>44014</v>
      </c>
      <c r="B395">
        <v>4636</v>
      </c>
      <c r="C395" t="s">
        <v>18</v>
      </c>
      <c r="D395" t="s">
        <v>49</v>
      </c>
      <c r="E395" t="s">
        <v>28</v>
      </c>
      <c r="F395" t="s">
        <v>19</v>
      </c>
      <c r="G395" t="s">
        <v>20</v>
      </c>
      <c r="H395" t="s">
        <v>22</v>
      </c>
      <c r="I395" t="s">
        <v>34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>
      <c r="A396" s="1">
        <v>44014</v>
      </c>
      <c r="B396">
        <v>6108</v>
      </c>
      <c r="C396" t="s">
        <v>40</v>
      </c>
      <c r="D396" t="s">
        <v>50</v>
      </c>
      <c r="E396" t="s">
        <v>41</v>
      </c>
      <c r="F396" t="s">
        <v>19</v>
      </c>
      <c r="G396" t="s">
        <v>26</v>
      </c>
      <c r="H396" t="s">
        <v>27</v>
      </c>
      <c r="I396" t="s">
        <v>42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>
      <c r="A397" s="1">
        <v>44015</v>
      </c>
      <c r="B397">
        <v>4636</v>
      </c>
      <c r="C397" t="s">
        <v>18</v>
      </c>
      <c r="D397" t="s">
        <v>46</v>
      </c>
      <c r="E397" t="s">
        <v>28</v>
      </c>
      <c r="F397" t="s">
        <v>19</v>
      </c>
      <c r="G397" t="s">
        <v>26</v>
      </c>
      <c r="H397" t="s">
        <v>27</v>
      </c>
      <c r="I397" t="s">
        <v>37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>
      <c r="A398" s="1">
        <v>44015</v>
      </c>
      <c r="B398">
        <v>4636</v>
      </c>
      <c r="C398" t="s">
        <v>18</v>
      </c>
      <c r="D398" t="s">
        <v>49</v>
      </c>
      <c r="E398" t="s">
        <v>28</v>
      </c>
      <c r="F398" t="s">
        <v>19</v>
      </c>
      <c r="G398" t="s">
        <v>20</v>
      </c>
      <c r="H398" t="s">
        <v>22</v>
      </c>
      <c r="I398" t="s">
        <v>34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>
      <c r="A399" s="1">
        <v>44015</v>
      </c>
      <c r="B399">
        <v>6108</v>
      </c>
      <c r="C399" t="s">
        <v>40</v>
      </c>
      <c r="D399" t="s">
        <v>50</v>
      </c>
      <c r="E399" t="s">
        <v>41</v>
      </c>
      <c r="F399" t="s">
        <v>19</v>
      </c>
      <c r="G399" t="s">
        <v>26</v>
      </c>
      <c r="H399" t="s">
        <v>27</v>
      </c>
      <c r="I399" t="s">
        <v>42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>
      <c r="A400" s="1">
        <v>44016</v>
      </c>
      <c r="B400">
        <v>4636</v>
      </c>
      <c r="C400" t="s">
        <v>18</v>
      </c>
      <c r="D400" t="s">
        <v>46</v>
      </c>
      <c r="E400" t="s">
        <v>28</v>
      </c>
      <c r="F400" t="s">
        <v>19</v>
      </c>
      <c r="G400" t="s">
        <v>26</v>
      </c>
      <c r="H400" t="s">
        <v>27</v>
      </c>
      <c r="I400" t="s">
        <v>37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>
      <c r="A401" s="1">
        <v>44016</v>
      </c>
      <c r="B401">
        <v>4636</v>
      </c>
      <c r="C401" t="s">
        <v>18</v>
      </c>
      <c r="D401" t="s">
        <v>49</v>
      </c>
      <c r="E401" t="s">
        <v>28</v>
      </c>
      <c r="F401" t="s">
        <v>19</v>
      </c>
      <c r="G401" t="s">
        <v>20</v>
      </c>
      <c r="H401" t="s">
        <v>22</v>
      </c>
      <c r="I401" t="s">
        <v>34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>
      <c r="A402" s="1">
        <v>44016</v>
      </c>
      <c r="B402">
        <v>6108</v>
      </c>
      <c r="C402" t="s">
        <v>40</v>
      </c>
      <c r="D402" t="s">
        <v>50</v>
      </c>
      <c r="E402" t="s">
        <v>41</v>
      </c>
      <c r="F402" t="s">
        <v>19</v>
      </c>
      <c r="G402" t="s">
        <v>26</v>
      </c>
      <c r="H402" t="s">
        <v>27</v>
      </c>
      <c r="I402" t="s">
        <v>42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>
      <c r="A403" s="1">
        <v>44017</v>
      </c>
      <c r="B403">
        <v>4636</v>
      </c>
      <c r="C403" t="s">
        <v>18</v>
      </c>
      <c r="D403" t="s">
        <v>46</v>
      </c>
      <c r="E403" t="s">
        <v>28</v>
      </c>
      <c r="F403" t="s">
        <v>19</v>
      </c>
      <c r="G403" t="s">
        <v>26</v>
      </c>
      <c r="H403" t="s">
        <v>27</v>
      </c>
      <c r="I403" t="s">
        <v>37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>
      <c r="A404" s="1">
        <v>44017</v>
      </c>
      <c r="B404">
        <v>4636</v>
      </c>
      <c r="C404" t="s">
        <v>18</v>
      </c>
      <c r="D404" t="s">
        <v>49</v>
      </c>
      <c r="E404" t="s">
        <v>28</v>
      </c>
      <c r="F404" t="s">
        <v>19</v>
      </c>
      <c r="G404" t="s">
        <v>20</v>
      </c>
      <c r="H404" t="s">
        <v>22</v>
      </c>
      <c r="I404" t="s">
        <v>34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>
      <c r="A405" s="1">
        <v>44017</v>
      </c>
      <c r="B405">
        <v>6108</v>
      </c>
      <c r="C405" t="s">
        <v>40</v>
      </c>
      <c r="D405" t="s">
        <v>50</v>
      </c>
      <c r="E405" t="s">
        <v>41</v>
      </c>
      <c r="F405" t="s">
        <v>19</v>
      </c>
      <c r="G405" t="s">
        <v>26</v>
      </c>
      <c r="H405" t="s">
        <v>27</v>
      </c>
      <c r="I405" t="s">
        <v>42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1">
        <v>44019</v>
      </c>
      <c r="B408">
        <v>4636</v>
      </c>
      <c r="C408" t="s">
        <v>18</v>
      </c>
      <c r="D408" t="s">
        <v>46</v>
      </c>
      <c r="E408" t="s">
        <v>28</v>
      </c>
      <c r="F408" t="s">
        <v>19</v>
      </c>
      <c r="G408" t="s">
        <v>26</v>
      </c>
      <c r="H408" t="s">
        <v>27</v>
      </c>
      <c r="I408" t="s">
        <v>37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>
      <c r="A409" s="1">
        <v>44019</v>
      </c>
      <c r="B409">
        <v>4636</v>
      </c>
      <c r="C409" t="s">
        <v>18</v>
      </c>
      <c r="D409" t="s">
        <v>49</v>
      </c>
      <c r="E409" t="s">
        <v>28</v>
      </c>
      <c r="F409" t="s">
        <v>19</v>
      </c>
      <c r="G409" t="s">
        <v>20</v>
      </c>
      <c r="H409" t="s">
        <v>22</v>
      </c>
      <c r="I409" t="s">
        <v>34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>
      <c r="A410" s="1">
        <v>44019</v>
      </c>
      <c r="B410">
        <v>6108</v>
      </c>
      <c r="C410" t="s">
        <v>40</v>
      </c>
      <c r="D410" t="s">
        <v>50</v>
      </c>
      <c r="E410" t="s">
        <v>41</v>
      </c>
      <c r="F410" t="s">
        <v>19</v>
      </c>
      <c r="G410" t="s">
        <v>26</v>
      </c>
      <c r="H410" t="s">
        <v>27</v>
      </c>
      <c r="I410" t="s">
        <v>42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>
      <c r="A411" s="1">
        <v>44020</v>
      </c>
      <c r="B411">
        <v>4636</v>
      </c>
      <c r="C411" t="s">
        <v>18</v>
      </c>
      <c r="D411" t="s">
        <v>46</v>
      </c>
      <c r="E411" t="s">
        <v>28</v>
      </c>
      <c r="F411" t="s">
        <v>19</v>
      </c>
      <c r="G411" t="s">
        <v>26</v>
      </c>
      <c r="H411" t="s">
        <v>27</v>
      </c>
      <c r="I411" t="s">
        <v>37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>
      <c r="A412" s="1">
        <v>44020</v>
      </c>
      <c r="B412">
        <v>4636</v>
      </c>
      <c r="C412" t="s">
        <v>18</v>
      </c>
      <c r="D412" t="s">
        <v>49</v>
      </c>
      <c r="E412" t="s">
        <v>28</v>
      </c>
      <c r="F412" t="s">
        <v>19</v>
      </c>
      <c r="G412" t="s">
        <v>20</v>
      </c>
      <c r="H412" t="s">
        <v>22</v>
      </c>
      <c r="I412" t="s">
        <v>34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>
      <c r="A413" s="1">
        <v>44020</v>
      </c>
      <c r="B413">
        <v>6108</v>
      </c>
      <c r="C413" t="s">
        <v>40</v>
      </c>
      <c r="D413" t="s">
        <v>50</v>
      </c>
      <c r="E413" t="s">
        <v>41</v>
      </c>
      <c r="F413" t="s">
        <v>19</v>
      </c>
      <c r="G413" t="s">
        <v>26</v>
      </c>
      <c r="H413" t="s">
        <v>27</v>
      </c>
      <c r="I413" t="s">
        <v>42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>
      <c r="A414" s="1">
        <v>44020</v>
      </c>
      <c r="B414">
        <v>6108</v>
      </c>
      <c r="C414" t="s">
        <v>40</v>
      </c>
      <c r="D414" t="s">
        <v>51</v>
      </c>
      <c r="E414" t="s">
        <v>41</v>
      </c>
      <c r="F414" t="s">
        <v>19</v>
      </c>
      <c r="G414" t="s">
        <v>20</v>
      </c>
      <c r="H414" t="s">
        <v>22</v>
      </c>
      <c r="I414" t="s">
        <v>43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>
      <c r="A415" s="1">
        <v>44021</v>
      </c>
      <c r="B415">
        <v>4636</v>
      </c>
      <c r="C415" t="s">
        <v>18</v>
      </c>
      <c r="D415" t="s">
        <v>46</v>
      </c>
      <c r="E415" t="s">
        <v>28</v>
      </c>
      <c r="F415" t="s">
        <v>19</v>
      </c>
      <c r="G415" t="s">
        <v>26</v>
      </c>
      <c r="H415" t="s">
        <v>27</v>
      </c>
      <c r="I415" t="s">
        <v>37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>
      <c r="A416" s="1">
        <v>44021</v>
      </c>
      <c r="B416">
        <v>4636</v>
      </c>
      <c r="C416" t="s">
        <v>18</v>
      </c>
      <c r="D416" t="s">
        <v>49</v>
      </c>
      <c r="E416" t="s">
        <v>28</v>
      </c>
      <c r="F416" t="s">
        <v>19</v>
      </c>
      <c r="G416" t="s">
        <v>20</v>
      </c>
      <c r="H416" t="s">
        <v>22</v>
      </c>
      <c r="I416" t="s">
        <v>34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>
      <c r="A417" s="1">
        <v>44021</v>
      </c>
      <c r="B417">
        <v>6108</v>
      </c>
      <c r="C417" t="s">
        <v>40</v>
      </c>
      <c r="D417" t="s">
        <v>50</v>
      </c>
      <c r="E417" t="s">
        <v>41</v>
      </c>
      <c r="F417" t="s">
        <v>19</v>
      </c>
      <c r="G417" t="s">
        <v>26</v>
      </c>
      <c r="H417" t="s">
        <v>27</v>
      </c>
      <c r="I417" t="s">
        <v>42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>
      <c r="A418" s="1">
        <v>44021</v>
      </c>
      <c r="B418">
        <v>6108</v>
      </c>
      <c r="C418" t="s">
        <v>40</v>
      </c>
      <c r="D418" t="s">
        <v>51</v>
      </c>
      <c r="E418" t="s">
        <v>41</v>
      </c>
      <c r="F418" t="s">
        <v>19</v>
      </c>
      <c r="G418" t="s">
        <v>20</v>
      </c>
      <c r="H418" t="s">
        <v>22</v>
      </c>
      <c r="I418" t="s">
        <v>43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>
      <c r="A419" s="1">
        <v>44022</v>
      </c>
      <c r="B419">
        <v>4636</v>
      </c>
      <c r="C419" t="s">
        <v>18</v>
      </c>
      <c r="D419" t="s">
        <v>46</v>
      </c>
      <c r="E419" t="s">
        <v>28</v>
      </c>
      <c r="F419" t="s">
        <v>19</v>
      </c>
      <c r="G419" t="s">
        <v>26</v>
      </c>
      <c r="H419" t="s">
        <v>27</v>
      </c>
      <c r="I419" t="s">
        <v>37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>
      <c r="A420" s="1">
        <v>44022</v>
      </c>
      <c r="B420">
        <v>4636</v>
      </c>
      <c r="C420" t="s">
        <v>18</v>
      </c>
      <c r="D420" t="s">
        <v>49</v>
      </c>
      <c r="E420" t="s">
        <v>28</v>
      </c>
      <c r="F420" t="s">
        <v>19</v>
      </c>
      <c r="G420" t="s">
        <v>20</v>
      </c>
      <c r="H420" t="s">
        <v>22</v>
      </c>
      <c r="I420" t="s">
        <v>34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>
      <c r="A421" s="1">
        <v>44022</v>
      </c>
      <c r="B421">
        <v>6108</v>
      </c>
      <c r="C421" t="s">
        <v>40</v>
      </c>
      <c r="D421" t="s">
        <v>50</v>
      </c>
      <c r="E421" t="s">
        <v>41</v>
      </c>
      <c r="F421" t="s">
        <v>19</v>
      </c>
      <c r="G421" t="s">
        <v>26</v>
      </c>
      <c r="H421" t="s">
        <v>27</v>
      </c>
      <c r="I421" t="s">
        <v>42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>
      <c r="A422" s="1">
        <v>44022</v>
      </c>
      <c r="B422">
        <v>6108</v>
      </c>
      <c r="C422" t="s">
        <v>40</v>
      </c>
      <c r="D422" t="s">
        <v>51</v>
      </c>
      <c r="E422" t="s">
        <v>41</v>
      </c>
      <c r="F422" t="s">
        <v>19</v>
      </c>
      <c r="G422" t="s">
        <v>20</v>
      </c>
      <c r="H422" t="s">
        <v>22</v>
      </c>
      <c r="I422" t="s">
        <v>43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>
      <c r="A423" s="1">
        <v>44023</v>
      </c>
      <c r="B423">
        <v>4636</v>
      </c>
      <c r="C423" t="s">
        <v>18</v>
      </c>
      <c r="D423" t="s">
        <v>46</v>
      </c>
      <c r="E423" t="s">
        <v>28</v>
      </c>
      <c r="F423" t="s">
        <v>19</v>
      </c>
      <c r="G423" t="s">
        <v>26</v>
      </c>
      <c r="H423" t="s">
        <v>27</v>
      </c>
      <c r="I423" t="s">
        <v>37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>
      <c r="A424" s="1">
        <v>44023</v>
      </c>
      <c r="B424">
        <v>4636</v>
      </c>
      <c r="C424" t="s">
        <v>18</v>
      </c>
      <c r="D424" t="s">
        <v>49</v>
      </c>
      <c r="E424" t="s">
        <v>28</v>
      </c>
      <c r="F424" t="s">
        <v>19</v>
      </c>
      <c r="G424" t="s">
        <v>20</v>
      </c>
      <c r="H424" t="s">
        <v>22</v>
      </c>
      <c r="I424" t="s">
        <v>34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>
      <c r="A425" s="1">
        <v>44023</v>
      </c>
      <c r="B425">
        <v>6108</v>
      </c>
      <c r="C425" t="s">
        <v>40</v>
      </c>
      <c r="D425" t="s">
        <v>50</v>
      </c>
      <c r="E425" t="s">
        <v>41</v>
      </c>
      <c r="F425" t="s">
        <v>19</v>
      </c>
      <c r="G425" t="s">
        <v>26</v>
      </c>
      <c r="H425" t="s">
        <v>27</v>
      </c>
      <c r="I425" t="s">
        <v>42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>
      <c r="A426" s="1">
        <v>44023</v>
      </c>
      <c r="B426">
        <v>6108</v>
      </c>
      <c r="C426" t="s">
        <v>40</v>
      </c>
      <c r="D426" t="s">
        <v>51</v>
      </c>
      <c r="E426" t="s">
        <v>41</v>
      </c>
      <c r="F426" t="s">
        <v>19</v>
      </c>
      <c r="G426" t="s">
        <v>20</v>
      </c>
      <c r="H426" t="s">
        <v>22</v>
      </c>
      <c r="I426" t="s">
        <v>43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>
      <c r="A427" s="1">
        <v>44024</v>
      </c>
      <c r="B427">
        <v>4636</v>
      </c>
      <c r="C427" t="s">
        <v>18</v>
      </c>
      <c r="D427" t="s">
        <v>46</v>
      </c>
      <c r="E427" t="s">
        <v>28</v>
      </c>
      <c r="F427" t="s">
        <v>19</v>
      </c>
      <c r="G427" t="s">
        <v>26</v>
      </c>
      <c r="H427" t="s">
        <v>27</v>
      </c>
      <c r="I427" t="s">
        <v>37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>
      <c r="A428" s="1">
        <v>44024</v>
      </c>
      <c r="B428">
        <v>4636</v>
      </c>
      <c r="C428" t="s">
        <v>18</v>
      </c>
      <c r="D428" t="s">
        <v>49</v>
      </c>
      <c r="E428" t="s">
        <v>28</v>
      </c>
      <c r="F428" t="s">
        <v>19</v>
      </c>
      <c r="G428" t="s">
        <v>20</v>
      </c>
      <c r="H428" t="s">
        <v>22</v>
      </c>
      <c r="I428" t="s">
        <v>34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>
      <c r="A429" s="1">
        <v>44024</v>
      </c>
      <c r="B429">
        <v>6108</v>
      </c>
      <c r="C429" t="s">
        <v>40</v>
      </c>
      <c r="D429" t="s">
        <v>50</v>
      </c>
      <c r="E429" t="s">
        <v>41</v>
      </c>
      <c r="F429" t="s">
        <v>19</v>
      </c>
      <c r="G429" t="s">
        <v>26</v>
      </c>
      <c r="H429" t="s">
        <v>27</v>
      </c>
      <c r="I429" t="s">
        <v>42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>
      <c r="A430" s="1">
        <v>44024</v>
      </c>
      <c r="B430">
        <v>6108</v>
      </c>
      <c r="C430" t="s">
        <v>40</v>
      </c>
      <c r="D430" t="s">
        <v>51</v>
      </c>
      <c r="E430" t="s">
        <v>41</v>
      </c>
      <c r="F430" t="s">
        <v>19</v>
      </c>
      <c r="G430" t="s">
        <v>20</v>
      </c>
      <c r="H430" t="s">
        <v>22</v>
      </c>
      <c r="I430" t="s">
        <v>43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>
      <c r="A431" s="1">
        <v>44025</v>
      </c>
      <c r="B431">
        <v>4636</v>
      </c>
      <c r="C431" t="s">
        <v>18</v>
      </c>
      <c r="D431" t="s">
        <v>46</v>
      </c>
      <c r="E431" t="s">
        <v>28</v>
      </c>
      <c r="F431" t="s">
        <v>19</v>
      </c>
      <c r="G431" t="s">
        <v>26</v>
      </c>
      <c r="H431" t="s">
        <v>27</v>
      </c>
      <c r="I431" t="s">
        <v>37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>
      <c r="A432" s="1">
        <v>44025</v>
      </c>
      <c r="B432">
        <v>4636</v>
      </c>
      <c r="C432" t="s">
        <v>18</v>
      </c>
      <c r="D432" t="s">
        <v>49</v>
      </c>
      <c r="E432" t="s">
        <v>28</v>
      </c>
      <c r="F432" t="s">
        <v>19</v>
      </c>
      <c r="G432" t="s">
        <v>20</v>
      </c>
      <c r="H432" t="s">
        <v>22</v>
      </c>
      <c r="I432" t="s">
        <v>34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>
      <c r="A433" s="1">
        <v>44025</v>
      </c>
      <c r="B433">
        <v>6108</v>
      </c>
      <c r="C433" t="s">
        <v>40</v>
      </c>
      <c r="D433" t="s">
        <v>50</v>
      </c>
      <c r="E433" t="s">
        <v>41</v>
      </c>
      <c r="F433" t="s">
        <v>19</v>
      </c>
      <c r="G433" t="s">
        <v>26</v>
      </c>
      <c r="H433" t="s">
        <v>27</v>
      </c>
      <c r="I433" t="s">
        <v>42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>
      <c r="A434" s="1">
        <v>44025</v>
      </c>
      <c r="B434">
        <v>6108</v>
      </c>
      <c r="C434" t="s">
        <v>40</v>
      </c>
      <c r="D434" t="s">
        <v>51</v>
      </c>
      <c r="E434" t="s">
        <v>41</v>
      </c>
      <c r="F434" t="s">
        <v>19</v>
      </c>
      <c r="G434" t="s">
        <v>20</v>
      </c>
      <c r="H434" t="s">
        <v>22</v>
      </c>
      <c r="I434" t="s">
        <v>43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>
      <c r="A435" s="1">
        <v>44026</v>
      </c>
      <c r="B435">
        <v>4636</v>
      </c>
      <c r="C435" t="s">
        <v>18</v>
      </c>
      <c r="D435" t="s">
        <v>46</v>
      </c>
      <c r="E435" t="s">
        <v>28</v>
      </c>
      <c r="F435" t="s">
        <v>19</v>
      </c>
      <c r="G435" t="s">
        <v>26</v>
      </c>
      <c r="H435" t="s">
        <v>27</v>
      </c>
      <c r="I435" t="s">
        <v>37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>
      <c r="A436" s="1">
        <v>44026</v>
      </c>
      <c r="B436">
        <v>4636</v>
      </c>
      <c r="C436" t="s">
        <v>18</v>
      </c>
      <c r="D436" t="s">
        <v>49</v>
      </c>
      <c r="E436" t="s">
        <v>28</v>
      </c>
      <c r="F436" t="s">
        <v>19</v>
      </c>
      <c r="G436" t="s">
        <v>20</v>
      </c>
      <c r="H436" t="s">
        <v>22</v>
      </c>
      <c r="I436" t="s">
        <v>34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>
      <c r="A437" s="1">
        <v>44026</v>
      </c>
      <c r="B437">
        <v>6108</v>
      </c>
      <c r="C437" t="s">
        <v>40</v>
      </c>
      <c r="D437" t="s">
        <v>50</v>
      </c>
      <c r="E437" t="s">
        <v>41</v>
      </c>
      <c r="F437" t="s">
        <v>19</v>
      </c>
      <c r="G437" t="s">
        <v>26</v>
      </c>
      <c r="H437" t="s">
        <v>27</v>
      </c>
      <c r="I437" t="s">
        <v>42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>
      <c r="A438" s="1">
        <v>44026</v>
      </c>
      <c r="B438">
        <v>6108</v>
      </c>
      <c r="C438" t="s">
        <v>40</v>
      </c>
      <c r="D438" t="s">
        <v>51</v>
      </c>
      <c r="E438" t="s">
        <v>41</v>
      </c>
      <c r="F438" t="s">
        <v>19</v>
      </c>
      <c r="G438" t="s">
        <v>20</v>
      </c>
      <c r="H438" t="s">
        <v>22</v>
      </c>
      <c r="I438" t="s">
        <v>43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>
      <c r="A439" s="1">
        <v>44027</v>
      </c>
      <c r="B439">
        <v>4636</v>
      </c>
      <c r="C439" t="s">
        <v>18</v>
      </c>
      <c r="D439" t="s">
        <v>46</v>
      </c>
      <c r="E439" t="s">
        <v>28</v>
      </c>
      <c r="F439" t="s">
        <v>19</v>
      </c>
      <c r="G439" t="s">
        <v>26</v>
      </c>
      <c r="H439" t="s">
        <v>27</v>
      </c>
      <c r="I439" t="s">
        <v>37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>
      <c r="A440" s="1">
        <v>44027</v>
      </c>
      <c r="B440">
        <v>4636</v>
      </c>
      <c r="C440" t="s">
        <v>18</v>
      </c>
      <c r="D440" t="s">
        <v>49</v>
      </c>
      <c r="E440" t="s">
        <v>28</v>
      </c>
      <c r="F440" t="s">
        <v>19</v>
      </c>
      <c r="G440" t="s">
        <v>20</v>
      </c>
      <c r="H440" t="s">
        <v>22</v>
      </c>
      <c r="I440" t="s">
        <v>34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>
      <c r="A441" s="1">
        <v>44027</v>
      </c>
      <c r="B441">
        <v>6108</v>
      </c>
      <c r="C441" t="s">
        <v>40</v>
      </c>
      <c r="D441" t="s">
        <v>50</v>
      </c>
      <c r="E441" t="s">
        <v>41</v>
      </c>
      <c r="F441" t="s">
        <v>19</v>
      </c>
      <c r="G441" t="s">
        <v>26</v>
      </c>
      <c r="H441" t="s">
        <v>27</v>
      </c>
      <c r="I441" t="s">
        <v>42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>
      <c r="A442" s="1">
        <v>44027</v>
      </c>
      <c r="B442">
        <v>6108</v>
      </c>
      <c r="C442" t="s">
        <v>40</v>
      </c>
      <c r="D442" t="s">
        <v>51</v>
      </c>
      <c r="E442" t="s">
        <v>41</v>
      </c>
      <c r="F442" t="s">
        <v>19</v>
      </c>
      <c r="G442" t="s">
        <v>20</v>
      </c>
      <c r="H442" t="s">
        <v>22</v>
      </c>
      <c r="I442" t="s">
        <v>43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>
      <c r="A443" s="1">
        <v>44028</v>
      </c>
      <c r="B443">
        <v>4636</v>
      </c>
      <c r="C443" t="s">
        <v>18</v>
      </c>
      <c r="D443" t="s">
        <v>46</v>
      </c>
      <c r="E443" t="s">
        <v>28</v>
      </c>
      <c r="F443" t="s">
        <v>19</v>
      </c>
      <c r="G443" t="s">
        <v>26</v>
      </c>
      <c r="H443" t="s">
        <v>27</v>
      </c>
      <c r="I443" t="s">
        <v>37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>
      <c r="A444" s="1">
        <v>44028</v>
      </c>
      <c r="B444">
        <v>6108</v>
      </c>
      <c r="C444" t="s">
        <v>40</v>
      </c>
      <c r="D444" t="s">
        <v>50</v>
      </c>
      <c r="E444" t="s">
        <v>41</v>
      </c>
      <c r="F444" t="s">
        <v>19</v>
      </c>
      <c r="G444" t="s">
        <v>26</v>
      </c>
      <c r="H444" t="s">
        <v>27</v>
      </c>
      <c r="I444" t="s">
        <v>42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>
      <c r="A445" s="1">
        <v>44028</v>
      </c>
      <c r="B445">
        <v>6108</v>
      </c>
      <c r="C445" t="s">
        <v>40</v>
      </c>
      <c r="D445" t="s">
        <v>51</v>
      </c>
      <c r="E445" t="s">
        <v>41</v>
      </c>
      <c r="F445" t="s">
        <v>19</v>
      </c>
      <c r="G445" t="s">
        <v>20</v>
      </c>
      <c r="H445" t="s">
        <v>22</v>
      </c>
      <c r="I445" t="s">
        <v>43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>
      <c r="A446" s="1">
        <v>44029</v>
      </c>
      <c r="B446">
        <v>4636</v>
      </c>
      <c r="C446" t="s">
        <v>18</v>
      </c>
      <c r="D446" t="s">
        <v>46</v>
      </c>
      <c r="E446" t="s">
        <v>28</v>
      </c>
      <c r="F446" t="s">
        <v>19</v>
      </c>
      <c r="G446" t="s">
        <v>26</v>
      </c>
      <c r="H446" t="s">
        <v>27</v>
      </c>
      <c r="I446" t="s">
        <v>37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>
      <c r="A447" s="1">
        <v>44029</v>
      </c>
      <c r="B447">
        <v>6108</v>
      </c>
      <c r="C447" t="s">
        <v>40</v>
      </c>
      <c r="D447" t="s">
        <v>50</v>
      </c>
      <c r="E447" t="s">
        <v>41</v>
      </c>
      <c r="F447" t="s">
        <v>19</v>
      </c>
      <c r="G447" t="s">
        <v>26</v>
      </c>
      <c r="H447" t="s">
        <v>27</v>
      </c>
      <c r="I447" t="s">
        <v>42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>
      <c r="A448" s="1">
        <v>44029</v>
      </c>
      <c r="B448">
        <v>6108</v>
      </c>
      <c r="C448" t="s">
        <v>40</v>
      </c>
      <c r="D448" t="s">
        <v>51</v>
      </c>
      <c r="E448" t="s">
        <v>41</v>
      </c>
      <c r="F448" t="s">
        <v>19</v>
      </c>
      <c r="G448" t="s">
        <v>20</v>
      </c>
      <c r="H448" t="s">
        <v>22</v>
      </c>
      <c r="I448" t="s">
        <v>43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>
      <c r="A449" s="1">
        <v>44030</v>
      </c>
      <c r="B449">
        <v>4636</v>
      </c>
      <c r="C449" t="s">
        <v>18</v>
      </c>
      <c r="D449" t="s">
        <v>46</v>
      </c>
      <c r="E449" t="s">
        <v>28</v>
      </c>
      <c r="F449" t="s">
        <v>19</v>
      </c>
      <c r="G449" t="s">
        <v>26</v>
      </c>
      <c r="H449" t="s">
        <v>27</v>
      </c>
      <c r="I449" t="s">
        <v>37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>
      <c r="A450" s="1">
        <v>44030</v>
      </c>
      <c r="B450">
        <v>6108</v>
      </c>
      <c r="C450" t="s">
        <v>40</v>
      </c>
      <c r="D450" t="s">
        <v>50</v>
      </c>
      <c r="E450" t="s">
        <v>41</v>
      </c>
      <c r="F450" t="s">
        <v>19</v>
      </c>
      <c r="G450" t="s">
        <v>26</v>
      </c>
      <c r="H450" t="s">
        <v>27</v>
      </c>
      <c r="I450" t="s">
        <v>42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>
      <c r="A451" s="1">
        <v>44030</v>
      </c>
      <c r="B451">
        <v>6108</v>
      </c>
      <c r="C451" t="s">
        <v>40</v>
      </c>
      <c r="D451" t="s">
        <v>51</v>
      </c>
      <c r="E451" t="s">
        <v>41</v>
      </c>
      <c r="F451" t="s">
        <v>19</v>
      </c>
      <c r="G451" t="s">
        <v>20</v>
      </c>
      <c r="H451" t="s">
        <v>22</v>
      </c>
      <c r="I451" t="s">
        <v>43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>
      <c r="A452" s="1">
        <v>44031</v>
      </c>
      <c r="B452">
        <v>4636</v>
      </c>
      <c r="C452" t="s">
        <v>18</v>
      </c>
      <c r="D452" t="s">
        <v>46</v>
      </c>
      <c r="E452" t="s">
        <v>28</v>
      </c>
      <c r="F452" t="s">
        <v>19</v>
      </c>
      <c r="G452" t="s">
        <v>26</v>
      </c>
      <c r="H452" t="s">
        <v>27</v>
      </c>
      <c r="I452" t="s">
        <v>37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>
      <c r="A453" s="1">
        <v>44031</v>
      </c>
      <c r="B453">
        <v>6108</v>
      </c>
      <c r="C453" t="s">
        <v>40</v>
      </c>
      <c r="D453" t="s">
        <v>50</v>
      </c>
      <c r="E453" t="s">
        <v>41</v>
      </c>
      <c r="F453" t="s">
        <v>19</v>
      </c>
      <c r="G453" t="s">
        <v>26</v>
      </c>
      <c r="H453" t="s">
        <v>27</v>
      </c>
      <c r="I453" t="s">
        <v>42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>
      <c r="A454" s="1">
        <v>44031</v>
      </c>
      <c r="B454">
        <v>6108</v>
      </c>
      <c r="C454" t="s">
        <v>40</v>
      </c>
      <c r="D454" t="s">
        <v>51</v>
      </c>
      <c r="E454" t="s">
        <v>41</v>
      </c>
      <c r="F454" t="s">
        <v>19</v>
      </c>
      <c r="G454" t="s">
        <v>20</v>
      </c>
      <c r="H454" t="s">
        <v>22</v>
      </c>
      <c r="I454" t="s">
        <v>43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1">
        <v>44033</v>
      </c>
      <c r="B457">
        <v>4636</v>
      </c>
      <c r="C457" t="s">
        <v>18</v>
      </c>
      <c r="D457" t="s">
        <v>46</v>
      </c>
      <c r="E457" t="s">
        <v>28</v>
      </c>
      <c r="F457" t="s">
        <v>19</v>
      </c>
      <c r="G457" t="s">
        <v>26</v>
      </c>
      <c r="H457" t="s">
        <v>27</v>
      </c>
      <c r="I457" t="s">
        <v>37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>
      <c r="A458" s="1">
        <v>44033</v>
      </c>
      <c r="B458">
        <v>6108</v>
      </c>
      <c r="C458" t="s">
        <v>40</v>
      </c>
      <c r="D458" t="s">
        <v>50</v>
      </c>
      <c r="E458" t="s">
        <v>41</v>
      </c>
      <c r="F458" t="s">
        <v>19</v>
      </c>
      <c r="G458" t="s">
        <v>26</v>
      </c>
      <c r="H458" t="s">
        <v>27</v>
      </c>
      <c r="I458" t="s">
        <v>42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>
      <c r="A459" s="1">
        <v>44033</v>
      </c>
      <c r="B459">
        <v>6108</v>
      </c>
      <c r="C459" t="s">
        <v>40</v>
      </c>
      <c r="D459" t="s">
        <v>51</v>
      </c>
      <c r="E459" t="s">
        <v>41</v>
      </c>
      <c r="F459" t="s">
        <v>19</v>
      </c>
      <c r="G459" t="s">
        <v>20</v>
      </c>
      <c r="H459" t="s">
        <v>22</v>
      </c>
      <c r="I459" t="s">
        <v>43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>
      <c r="A460" s="1">
        <v>44034</v>
      </c>
      <c r="B460">
        <v>4636</v>
      </c>
      <c r="C460" t="s">
        <v>18</v>
      </c>
      <c r="D460" t="s">
        <v>46</v>
      </c>
      <c r="E460" t="s">
        <v>28</v>
      </c>
      <c r="F460" t="s">
        <v>19</v>
      </c>
      <c r="G460" t="s">
        <v>26</v>
      </c>
      <c r="H460" t="s">
        <v>27</v>
      </c>
      <c r="I460" t="s">
        <v>37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>
      <c r="A461" s="1">
        <v>44034</v>
      </c>
      <c r="B461">
        <v>4636</v>
      </c>
      <c r="C461" t="s">
        <v>18</v>
      </c>
      <c r="D461" t="s">
        <v>49</v>
      </c>
      <c r="E461" t="s">
        <v>28</v>
      </c>
      <c r="F461" t="s">
        <v>19</v>
      </c>
      <c r="G461" t="s">
        <v>20</v>
      </c>
      <c r="H461" t="s">
        <v>22</v>
      </c>
      <c r="I461" t="s">
        <v>34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>
      <c r="A462" s="1">
        <v>44034</v>
      </c>
      <c r="B462">
        <v>6108</v>
      </c>
      <c r="C462" t="s">
        <v>40</v>
      </c>
      <c r="D462" t="s">
        <v>50</v>
      </c>
      <c r="E462" t="s">
        <v>41</v>
      </c>
      <c r="F462" t="s">
        <v>19</v>
      </c>
      <c r="G462" t="s">
        <v>26</v>
      </c>
      <c r="H462" t="s">
        <v>27</v>
      </c>
      <c r="I462" t="s">
        <v>42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>
      <c r="A463" s="1">
        <v>44034</v>
      </c>
      <c r="B463">
        <v>6108</v>
      </c>
      <c r="C463" t="s">
        <v>40</v>
      </c>
      <c r="D463" t="s">
        <v>51</v>
      </c>
      <c r="E463" t="s">
        <v>41</v>
      </c>
      <c r="F463" t="s">
        <v>19</v>
      </c>
      <c r="G463" t="s">
        <v>20</v>
      </c>
      <c r="H463" t="s">
        <v>22</v>
      </c>
      <c r="I463" t="s">
        <v>43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>
      <c r="A464" s="1">
        <v>44035</v>
      </c>
      <c r="B464">
        <v>4636</v>
      </c>
      <c r="C464" t="s">
        <v>18</v>
      </c>
      <c r="D464" t="s">
        <v>46</v>
      </c>
      <c r="E464" t="s">
        <v>28</v>
      </c>
      <c r="F464" t="s">
        <v>19</v>
      </c>
      <c r="G464" t="s">
        <v>26</v>
      </c>
      <c r="H464" t="s">
        <v>27</v>
      </c>
      <c r="I464" t="s">
        <v>37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>
      <c r="A465" s="1">
        <v>44035</v>
      </c>
      <c r="B465">
        <v>4636</v>
      </c>
      <c r="C465" t="s">
        <v>18</v>
      </c>
      <c r="D465" t="s">
        <v>49</v>
      </c>
      <c r="E465" t="s">
        <v>28</v>
      </c>
      <c r="F465" t="s">
        <v>19</v>
      </c>
      <c r="G465" t="s">
        <v>20</v>
      </c>
      <c r="H465" t="s">
        <v>22</v>
      </c>
      <c r="I465" t="s">
        <v>34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>
      <c r="A466" s="1">
        <v>44035</v>
      </c>
      <c r="B466">
        <v>6108</v>
      </c>
      <c r="C466" t="s">
        <v>40</v>
      </c>
      <c r="D466" t="s">
        <v>50</v>
      </c>
      <c r="E466" t="s">
        <v>41</v>
      </c>
      <c r="F466" t="s">
        <v>19</v>
      </c>
      <c r="G466" t="s">
        <v>26</v>
      </c>
      <c r="H466" t="s">
        <v>27</v>
      </c>
      <c r="I466" t="s">
        <v>42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>
      <c r="A467" s="1">
        <v>44035</v>
      </c>
      <c r="B467">
        <v>6108</v>
      </c>
      <c r="C467" t="s">
        <v>40</v>
      </c>
      <c r="D467" t="s">
        <v>51</v>
      </c>
      <c r="E467" t="s">
        <v>41</v>
      </c>
      <c r="F467" t="s">
        <v>19</v>
      </c>
      <c r="G467" t="s">
        <v>20</v>
      </c>
      <c r="H467" t="s">
        <v>22</v>
      </c>
      <c r="I467" t="s">
        <v>43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>
      <c r="A468" s="1">
        <v>44036</v>
      </c>
      <c r="B468">
        <v>4636</v>
      </c>
      <c r="C468" t="s">
        <v>18</v>
      </c>
      <c r="D468" t="s">
        <v>46</v>
      </c>
      <c r="E468" t="s">
        <v>28</v>
      </c>
      <c r="F468" t="s">
        <v>19</v>
      </c>
      <c r="G468" t="s">
        <v>26</v>
      </c>
      <c r="H468" t="s">
        <v>27</v>
      </c>
      <c r="I468" t="s">
        <v>37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>
      <c r="A469" s="1">
        <v>44036</v>
      </c>
      <c r="B469">
        <v>4636</v>
      </c>
      <c r="C469" t="s">
        <v>18</v>
      </c>
      <c r="D469" t="s">
        <v>49</v>
      </c>
      <c r="E469" t="s">
        <v>28</v>
      </c>
      <c r="F469" t="s">
        <v>19</v>
      </c>
      <c r="G469" t="s">
        <v>20</v>
      </c>
      <c r="H469" t="s">
        <v>22</v>
      </c>
      <c r="I469" t="s">
        <v>34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>
      <c r="A470" s="1">
        <v>44036</v>
      </c>
      <c r="B470">
        <v>6108</v>
      </c>
      <c r="C470" t="s">
        <v>40</v>
      </c>
      <c r="D470" t="s">
        <v>50</v>
      </c>
      <c r="E470" t="s">
        <v>41</v>
      </c>
      <c r="F470" t="s">
        <v>19</v>
      </c>
      <c r="G470" t="s">
        <v>26</v>
      </c>
      <c r="H470" t="s">
        <v>27</v>
      </c>
      <c r="I470" t="s">
        <v>42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>
      <c r="A471" s="1">
        <v>44036</v>
      </c>
      <c r="B471">
        <v>6108</v>
      </c>
      <c r="C471" t="s">
        <v>40</v>
      </c>
      <c r="D471" t="s">
        <v>51</v>
      </c>
      <c r="E471" t="s">
        <v>41</v>
      </c>
      <c r="F471" t="s">
        <v>19</v>
      </c>
      <c r="G471" t="s">
        <v>20</v>
      </c>
      <c r="H471" t="s">
        <v>22</v>
      </c>
      <c r="I471" t="s">
        <v>43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>
      <c r="A472" s="1">
        <v>44037</v>
      </c>
      <c r="B472">
        <v>4636</v>
      </c>
      <c r="C472" t="s">
        <v>18</v>
      </c>
      <c r="D472" t="s">
        <v>49</v>
      </c>
      <c r="E472" t="s">
        <v>28</v>
      </c>
      <c r="F472" t="s">
        <v>19</v>
      </c>
      <c r="G472" t="s">
        <v>20</v>
      </c>
      <c r="H472" t="s">
        <v>22</v>
      </c>
      <c r="I472" t="s">
        <v>34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>
      <c r="A473" s="1">
        <v>44037</v>
      </c>
      <c r="B473">
        <v>6108</v>
      </c>
      <c r="C473" t="s">
        <v>40</v>
      </c>
      <c r="D473" t="s">
        <v>50</v>
      </c>
      <c r="E473" t="s">
        <v>41</v>
      </c>
      <c r="F473" t="s">
        <v>19</v>
      </c>
      <c r="G473" t="s">
        <v>26</v>
      </c>
      <c r="H473" t="s">
        <v>27</v>
      </c>
      <c r="I473" t="s">
        <v>42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>
      <c r="A474" s="1">
        <v>44038</v>
      </c>
      <c r="B474">
        <v>4636</v>
      </c>
      <c r="C474" t="s">
        <v>18</v>
      </c>
      <c r="D474" t="s">
        <v>49</v>
      </c>
      <c r="E474" t="s">
        <v>28</v>
      </c>
      <c r="F474" t="s">
        <v>19</v>
      </c>
      <c r="G474" t="s">
        <v>20</v>
      </c>
      <c r="H474" t="s">
        <v>22</v>
      </c>
      <c r="I474" t="s">
        <v>34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>
      <c r="A475" s="1">
        <v>44038</v>
      </c>
      <c r="B475">
        <v>6108</v>
      </c>
      <c r="C475" t="s">
        <v>40</v>
      </c>
      <c r="D475" t="s">
        <v>50</v>
      </c>
      <c r="E475" t="s">
        <v>41</v>
      </c>
      <c r="F475" t="s">
        <v>19</v>
      </c>
      <c r="G475" t="s">
        <v>26</v>
      </c>
      <c r="H475" t="s">
        <v>27</v>
      </c>
      <c r="I475" t="s">
        <v>42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>
      <c r="A476" s="1">
        <v>44038</v>
      </c>
      <c r="B476">
        <v>6108</v>
      </c>
      <c r="C476" t="s">
        <v>40</v>
      </c>
      <c r="D476" t="s">
        <v>51</v>
      </c>
      <c r="E476" t="s">
        <v>41</v>
      </c>
      <c r="F476" t="s">
        <v>19</v>
      </c>
      <c r="G476" t="s">
        <v>20</v>
      </c>
      <c r="H476" t="s">
        <v>22</v>
      </c>
      <c r="I476" t="s">
        <v>43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>
      <c r="A477" s="1">
        <v>44039</v>
      </c>
      <c r="B477">
        <v>4636</v>
      </c>
      <c r="C477" t="s">
        <v>18</v>
      </c>
      <c r="D477" t="s">
        <v>49</v>
      </c>
      <c r="E477" t="s">
        <v>28</v>
      </c>
      <c r="F477" t="s">
        <v>19</v>
      </c>
      <c r="G477" t="s">
        <v>20</v>
      </c>
      <c r="H477" t="s">
        <v>22</v>
      </c>
      <c r="I477" t="s">
        <v>34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>
      <c r="A478" s="1">
        <v>44039</v>
      </c>
      <c r="B478">
        <v>6108</v>
      </c>
      <c r="C478" t="s">
        <v>40</v>
      </c>
      <c r="D478" t="s">
        <v>50</v>
      </c>
      <c r="E478" t="s">
        <v>41</v>
      </c>
      <c r="F478" t="s">
        <v>19</v>
      </c>
      <c r="G478" t="s">
        <v>26</v>
      </c>
      <c r="H478" t="s">
        <v>27</v>
      </c>
      <c r="I478" t="s">
        <v>42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>
      <c r="A479" s="1">
        <v>44039</v>
      </c>
      <c r="B479">
        <v>6108</v>
      </c>
      <c r="C479" t="s">
        <v>40</v>
      </c>
      <c r="D479" t="s">
        <v>51</v>
      </c>
      <c r="E479" t="s">
        <v>41</v>
      </c>
      <c r="F479" t="s">
        <v>19</v>
      </c>
      <c r="G479" t="s">
        <v>20</v>
      </c>
      <c r="H479" t="s">
        <v>22</v>
      </c>
      <c r="I479" t="s">
        <v>43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>
      <c r="A480" s="1">
        <v>44040</v>
      </c>
      <c r="B480">
        <v>4636</v>
      </c>
      <c r="C480" t="s">
        <v>18</v>
      </c>
      <c r="D480" t="s">
        <v>46</v>
      </c>
      <c r="E480" t="s">
        <v>28</v>
      </c>
      <c r="F480" t="s">
        <v>19</v>
      </c>
      <c r="G480" t="s">
        <v>26</v>
      </c>
      <c r="H480" t="s">
        <v>27</v>
      </c>
      <c r="I480" t="s">
        <v>37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>
      <c r="A481" s="1">
        <v>44040</v>
      </c>
      <c r="B481">
        <v>4636</v>
      </c>
      <c r="C481" t="s">
        <v>18</v>
      </c>
      <c r="D481" t="s">
        <v>49</v>
      </c>
      <c r="E481" t="s">
        <v>28</v>
      </c>
      <c r="F481" t="s">
        <v>19</v>
      </c>
      <c r="G481" t="s">
        <v>20</v>
      </c>
      <c r="H481" t="s">
        <v>22</v>
      </c>
      <c r="I481" t="s">
        <v>34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>
      <c r="A482" s="1">
        <v>44040</v>
      </c>
      <c r="B482">
        <v>6108</v>
      </c>
      <c r="C482" t="s">
        <v>40</v>
      </c>
      <c r="D482" t="s">
        <v>50</v>
      </c>
      <c r="E482" t="s">
        <v>41</v>
      </c>
      <c r="F482" t="s">
        <v>19</v>
      </c>
      <c r="G482" t="s">
        <v>26</v>
      </c>
      <c r="H482" t="s">
        <v>27</v>
      </c>
      <c r="I482" t="s">
        <v>42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>
      <c r="A483" s="1">
        <v>44040</v>
      </c>
      <c r="B483">
        <v>6108</v>
      </c>
      <c r="C483" t="s">
        <v>40</v>
      </c>
      <c r="D483" t="s">
        <v>51</v>
      </c>
      <c r="E483" t="s">
        <v>41</v>
      </c>
      <c r="F483" t="s">
        <v>19</v>
      </c>
      <c r="G483" t="s">
        <v>20</v>
      </c>
      <c r="H483" t="s">
        <v>22</v>
      </c>
      <c r="I483" t="s">
        <v>43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>
      <c r="A484" s="1">
        <v>44041</v>
      </c>
      <c r="B484">
        <v>4636</v>
      </c>
      <c r="C484" t="s">
        <v>18</v>
      </c>
      <c r="D484" t="s">
        <v>46</v>
      </c>
      <c r="E484" t="s">
        <v>28</v>
      </c>
      <c r="F484" t="s">
        <v>19</v>
      </c>
      <c r="G484" t="s">
        <v>26</v>
      </c>
      <c r="H484" t="s">
        <v>27</v>
      </c>
      <c r="I484" t="s">
        <v>37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>
      <c r="A485" s="1">
        <v>44041</v>
      </c>
      <c r="B485">
        <v>4636</v>
      </c>
      <c r="C485" t="s">
        <v>18</v>
      </c>
      <c r="D485" t="s">
        <v>49</v>
      </c>
      <c r="E485" t="s">
        <v>28</v>
      </c>
      <c r="F485" t="s">
        <v>19</v>
      </c>
      <c r="G485" t="s">
        <v>20</v>
      </c>
      <c r="H485" t="s">
        <v>22</v>
      </c>
      <c r="I485" t="s">
        <v>34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>
      <c r="A486" s="1">
        <v>44041</v>
      </c>
      <c r="B486">
        <v>6108</v>
      </c>
      <c r="C486" t="s">
        <v>40</v>
      </c>
      <c r="D486" t="s">
        <v>50</v>
      </c>
      <c r="E486" t="s">
        <v>41</v>
      </c>
      <c r="F486" t="s">
        <v>19</v>
      </c>
      <c r="G486" t="s">
        <v>26</v>
      </c>
      <c r="H486" t="s">
        <v>27</v>
      </c>
      <c r="I486" t="s">
        <v>42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>
      <c r="A487" s="1">
        <v>44041</v>
      </c>
      <c r="B487">
        <v>6108</v>
      </c>
      <c r="C487" t="s">
        <v>40</v>
      </c>
      <c r="D487" t="s">
        <v>51</v>
      </c>
      <c r="E487" t="s">
        <v>41</v>
      </c>
      <c r="F487" t="s">
        <v>19</v>
      </c>
      <c r="G487" t="s">
        <v>20</v>
      </c>
      <c r="H487" t="s">
        <v>22</v>
      </c>
      <c r="I487" t="s">
        <v>43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>
      <c r="A488" s="1">
        <v>44042</v>
      </c>
      <c r="B488">
        <v>4636</v>
      </c>
      <c r="C488" t="s">
        <v>18</v>
      </c>
      <c r="D488" t="s">
        <v>46</v>
      </c>
      <c r="E488" t="s">
        <v>28</v>
      </c>
      <c r="F488" t="s">
        <v>19</v>
      </c>
      <c r="G488" t="s">
        <v>26</v>
      </c>
      <c r="H488" t="s">
        <v>27</v>
      </c>
      <c r="I488" t="s">
        <v>37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>
      <c r="A489" s="1">
        <v>44042</v>
      </c>
      <c r="B489">
        <v>4636</v>
      </c>
      <c r="C489" t="s">
        <v>18</v>
      </c>
      <c r="D489" t="s">
        <v>49</v>
      </c>
      <c r="E489" t="s">
        <v>28</v>
      </c>
      <c r="F489" t="s">
        <v>19</v>
      </c>
      <c r="G489" t="s">
        <v>20</v>
      </c>
      <c r="H489" t="s">
        <v>22</v>
      </c>
      <c r="I489" t="s">
        <v>34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>
      <c r="A490" s="1">
        <v>44042</v>
      </c>
      <c r="B490">
        <v>6108</v>
      </c>
      <c r="C490" t="s">
        <v>40</v>
      </c>
      <c r="D490" t="s">
        <v>50</v>
      </c>
      <c r="E490" t="s">
        <v>41</v>
      </c>
      <c r="F490" t="s">
        <v>19</v>
      </c>
      <c r="G490" t="s">
        <v>26</v>
      </c>
      <c r="H490" t="s">
        <v>27</v>
      </c>
      <c r="I490" t="s">
        <v>42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>
      <c r="A491" s="1">
        <v>44042</v>
      </c>
      <c r="B491">
        <v>6108</v>
      </c>
      <c r="C491" t="s">
        <v>40</v>
      </c>
      <c r="D491" t="s">
        <v>51</v>
      </c>
      <c r="E491" t="s">
        <v>41</v>
      </c>
      <c r="F491" t="s">
        <v>19</v>
      </c>
      <c r="G491" t="s">
        <v>20</v>
      </c>
      <c r="H491" t="s">
        <v>22</v>
      </c>
      <c r="I491" t="s">
        <v>43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>
      <c r="A492" s="1">
        <v>44043</v>
      </c>
      <c r="B492">
        <v>4636</v>
      </c>
      <c r="C492" t="s">
        <v>18</v>
      </c>
      <c r="D492" t="s">
        <v>46</v>
      </c>
      <c r="E492" t="s">
        <v>28</v>
      </c>
      <c r="F492" t="s">
        <v>19</v>
      </c>
      <c r="G492" t="s">
        <v>26</v>
      </c>
      <c r="H492" t="s">
        <v>27</v>
      </c>
      <c r="I492" t="s">
        <v>37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>
      <c r="A493" s="1">
        <v>44043</v>
      </c>
      <c r="B493">
        <v>4636</v>
      </c>
      <c r="C493" t="s">
        <v>18</v>
      </c>
      <c r="D493" t="s">
        <v>49</v>
      </c>
      <c r="E493" t="s">
        <v>28</v>
      </c>
      <c r="F493" t="s">
        <v>19</v>
      </c>
      <c r="G493" t="s">
        <v>20</v>
      </c>
      <c r="H493" t="s">
        <v>22</v>
      </c>
      <c r="I493" t="s">
        <v>34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>
      <c r="A494" s="1">
        <v>44043</v>
      </c>
      <c r="B494">
        <v>6108</v>
      </c>
      <c r="C494" t="s">
        <v>40</v>
      </c>
      <c r="D494" t="s">
        <v>50</v>
      </c>
      <c r="E494" t="s">
        <v>41</v>
      </c>
      <c r="F494" t="s">
        <v>19</v>
      </c>
      <c r="G494" t="s">
        <v>26</v>
      </c>
      <c r="H494" t="s">
        <v>27</v>
      </c>
      <c r="I494" t="s">
        <v>42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>
      <c r="A495" s="1">
        <v>44043</v>
      </c>
      <c r="B495">
        <v>6108</v>
      </c>
      <c r="C495" t="s">
        <v>40</v>
      </c>
      <c r="D495" t="s">
        <v>51</v>
      </c>
      <c r="E495" t="s">
        <v>41</v>
      </c>
      <c r="F495" t="s">
        <v>19</v>
      </c>
      <c r="G495" t="s">
        <v>20</v>
      </c>
      <c r="H495" t="s">
        <v>22</v>
      </c>
      <c r="I495" t="s">
        <v>43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>
      <c r="A496" s="1">
        <v>44044</v>
      </c>
      <c r="B496">
        <v>4636</v>
      </c>
      <c r="C496" t="s">
        <v>18</v>
      </c>
      <c r="D496" t="s">
        <v>46</v>
      </c>
      <c r="E496" t="s">
        <v>28</v>
      </c>
      <c r="F496" t="s">
        <v>19</v>
      </c>
      <c r="G496" t="s">
        <v>26</v>
      </c>
      <c r="H496" t="s">
        <v>27</v>
      </c>
      <c r="I496" t="s">
        <v>37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>
      <c r="A497" s="1">
        <v>44044</v>
      </c>
      <c r="B497">
        <v>4636</v>
      </c>
      <c r="C497" t="s">
        <v>18</v>
      </c>
      <c r="D497" t="s">
        <v>49</v>
      </c>
      <c r="E497" t="s">
        <v>28</v>
      </c>
      <c r="F497" t="s">
        <v>19</v>
      </c>
      <c r="G497" t="s">
        <v>20</v>
      </c>
      <c r="H497" t="s">
        <v>22</v>
      </c>
      <c r="I497" t="s">
        <v>34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>
      <c r="A498" s="1">
        <v>44044</v>
      </c>
      <c r="B498">
        <v>6108</v>
      </c>
      <c r="C498" t="s">
        <v>40</v>
      </c>
      <c r="D498" t="s">
        <v>50</v>
      </c>
      <c r="E498" t="s">
        <v>41</v>
      </c>
      <c r="F498" t="s">
        <v>19</v>
      </c>
      <c r="G498" t="s">
        <v>26</v>
      </c>
      <c r="H498" t="s">
        <v>27</v>
      </c>
      <c r="I498" t="s">
        <v>42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>
      <c r="A499" s="1">
        <v>44044</v>
      </c>
      <c r="B499">
        <v>6108</v>
      </c>
      <c r="C499" t="s">
        <v>40</v>
      </c>
      <c r="D499" t="s">
        <v>51</v>
      </c>
      <c r="E499" t="s">
        <v>41</v>
      </c>
      <c r="F499" t="s">
        <v>19</v>
      </c>
      <c r="G499" t="s">
        <v>20</v>
      </c>
      <c r="H499" t="s">
        <v>22</v>
      </c>
      <c r="I499" t="s">
        <v>43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>
      <c r="A500" s="1">
        <v>44045</v>
      </c>
      <c r="B500">
        <v>4636</v>
      </c>
      <c r="C500" t="s">
        <v>18</v>
      </c>
      <c r="D500" t="s">
        <v>46</v>
      </c>
      <c r="E500" t="s">
        <v>28</v>
      </c>
      <c r="F500" t="s">
        <v>19</v>
      </c>
      <c r="G500" t="s">
        <v>26</v>
      </c>
      <c r="H500" t="s">
        <v>27</v>
      </c>
      <c r="I500" t="s">
        <v>37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>
      <c r="A501" s="1">
        <v>44045</v>
      </c>
      <c r="B501">
        <v>4636</v>
      </c>
      <c r="C501" t="s">
        <v>18</v>
      </c>
      <c r="D501" t="s">
        <v>49</v>
      </c>
      <c r="E501" t="s">
        <v>28</v>
      </c>
      <c r="F501" t="s">
        <v>19</v>
      </c>
      <c r="G501" t="s">
        <v>20</v>
      </c>
      <c r="H501" t="s">
        <v>22</v>
      </c>
      <c r="I501" t="s">
        <v>34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>
      <c r="A502" s="1">
        <v>44045</v>
      </c>
      <c r="B502">
        <v>6108</v>
      </c>
      <c r="C502" t="s">
        <v>40</v>
      </c>
      <c r="D502" t="s">
        <v>50</v>
      </c>
      <c r="E502" t="s">
        <v>41</v>
      </c>
      <c r="F502" t="s">
        <v>19</v>
      </c>
      <c r="G502" t="s">
        <v>26</v>
      </c>
      <c r="H502" t="s">
        <v>27</v>
      </c>
      <c r="I502" t="s">
        <v>42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>
      <c r="A503" s="1">
        <v>44045</v>
      </c>
      <c r="B503">
        <v>6108</v>
      </c>
      <c r="C503" t="s">
        <v>40</v>
      </c>
      <c r="D503" t="s">
        <v>51</v>
      </c>
      <c r="E503" t="s">
        <v>41</v>
      </c>
      <c r="F503" t="s">
        <v>19</v>
      </c>
      <c r="G503" t="s">
        <v>20</v>
      </c>
      <c r="H503" t="s">
        <v>22</v>
      </c>
      <c r="I503" t="s">
        <v>43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>
      <c r="A504" s="1">
        <v>44046</v>
      </c>
      <c r="B504">
        <v>4636</v>
      </c>
      <c r="C504" t="s">
        <v>18</v>
      </c>
      <c r="D504" t="s">
        <v>46</v>
      </c>
      <c r="E504" t="s">
        <v>28</v>
      </c>
      <c r="F504" t="s">
        <v>19</v>
      </c>
      <c r="G504" t="s">
        <v>26</v>
      </c>
      <c r="H504" t="s">
        <v>27</v>
      </c>
      <c r="I504" t="s">
        <v>37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>
      <c r="A505" s="1">
        <v>44046</v>
      </c>
      <c r="B505">
        <v>4636</v>
      </c>
      <c r="C505" t="s">
        <v>18</v>
      </c>
      <c r="D505" t="s">
        <v>49</v>
      </c>
      <c r="E505" t="s">
        <v>28</v>
      </c>
      <c r="F505" t="s">
        <v>19</v>
      </c>
      <c r="G505" t="s">
        <v>20</v>
      </c>
      <c r="H505" t="s">
        <v>22</v>
      </c>
      <c r="I505" t="s">
        <v>34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>
      <c r="A506" s="1">
        <v>44046</v>
      </c>
      <c r="B506">
        <v>6108</v>
      </c>
      <c r="C506" t="s">
        <v>40</v>
      </c>
      <c r="D506" t="s">
        <v>50</v>
      </c>
      <c r="E506" t="s">
        <v>41</v>
      </c>
      <c r="F506" t="s">
        <v>19</v>
      </c>
      <c r="G506" t="s">
        <v>26</v>
      </c>
      <c r="H506" t="s">
        <v>27</v>
      </c>
      <c r="I506" t="s">
        <v>42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>
      <c r="A507" s="1">
        <v>44046</v>
      </c>
      <c r="B507">
        <v>6108</v>
      </c>
      <c r="C507" t="s">
        <v>40</v>
      </c>
      <c r="D507" t="s">
        <v>51</v>
      </c>
      <c r="E507" t="s">
        <v>41</v>
      </c>
      <c r="F507" t="s">
        <v>19</v>
      </c>
      <c r="G507" t="s">
        <v>20</v>
      </c>
      <c r="H507" t="s">
        <v>22</v>
      </c>
      <c r="I507" t="s">
        <v>43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拌客源数据1-8月</vt:lpstr>
      <vt:lpstr>数据透视图表-完成版</vt:lpstr>
      <vt:lpstr>常用函数-完成版</vt:lpstr>
      <vt:lpstr>常用函数-练习版</vt:lpstr>
      <vt:lpstr>大厂周报-完成版</vt:lpstr>
      <vt:lpstr>大厂周报-练习版</vt:lpstr>
      <vt:lpstr>拌客源数据备份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zilin wang</cp:lastModifiedBy>
  <dcterms:created xsi:type="dcterms:W3CDTF">2021-06-18T07:16:56Z</dcterms:created>
  <dcterms:modified xsi:type="dcterms:W3CDTF">2022-01-06T03:56:01Z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06741c33-16ac-4fae-bf60-f11c0e8b0598</vt:lpwstr>
  </property>
</Properties>
</file>