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imelines/timeline2.xml" ContentType="application/vnd.ms-excel.timelin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BULA\OneDrive\Desktop\Data Analytics\EXCEL\"/>
    </mc:Choice>
  </mc:AlternateContent>
  <xr:revisionPtr revIDLastSave="0" documentId="8_{E7CB3E61-251E-4584-A60F-AAE12D4B2A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" sheetId="12" r:id="rId1"/>
    <sheet name="Supply Chain Data" sheetId="1" r:id="rId2"/>
    <sheet name="Important values " sheetId="2" state="hidden" r:id="rId3"/>
    <sheet name="Demand" sheetId="6" state="hidden" r:id="rId4"/>
    <sheet name="Product Analysis" sheetId="4" state="hidden" r:id="rId5"/>
    <sheet name="Trend of Revenue " sheetId="8" state="hidden" r:id="rId6"/>
    <sheet name="Tranportation and Location" sheetId="10" state="hidden" r:id="rId7"/>
  </sheets>
  <definedNames>
    <definedName name="_xlnm._FilterDatabase" localSheetId="1" hidden="1">'Supply Chain Data'!$A$1:$Z$1</definedName>
    <definedName name="NativeTimeline_Date">#N/A</definedName>
    <definedName name="NativeTimeline_Date1">#N/A</definedName>
  </definedNames>
  <calcPr calcId="191029"/>
  <pivotCaches>
    <pivotCache cacheId="0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  <x15:timelineCacheRef r:id="rId10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8" l="1"/>
  <c r="D14" i="2"/>
  <c r="J11" i="8"/>
  <c r="J8" i="8"/>
  <c r="I10" i="8"/>
  <c r="I9" i="8"/>
  <c r="I8" i="8"/>
  <c r="J9" i="8"/>
  <c r="J10" i="8" s="1"/>
  <c r="F6" i="10"/>
  <c r="F5" i="10"/>
  <c r="F4" i="10"/>
  <c r="F3" i="10"/>
  <c r="D25" i="2"/>
  <c r="I23" i="10"/>
  <c r="I22" i="10"/>
  <c r="I21" i="10"/>
  <c r="I20" i="10"/>
  <c r="I19" i="10"/>
  <c r="C26" i="8"/>
  <c r="C25" i="8"/>
  <c r="D25" i="8" s="1"/>
  <c r="E24" i="8"/>
  <c r="D19" i="8"/>
  <c r="D18" i="8"/>
  <c r="C6" i="8"/>
  <c r="R2" i="1"/>
  <c r="R3" i="1"/>
  <c r="R6" i="1"/>
  <c r="R7" i="1"/>
  <c r="R10" i="1"/>
  <c r="R11" i="1"/>
  <c r="R14" i="1"/>
  <c r="R15" i="1"/>
  <c r="R18" i="1"/>
  <c r="R19" i="1"/>
  <c r="R22" i="1"/>
  <c r="R23" i="1"/>
  <c r="R26" i="1"/>
  <c r="R27" i="1"/>
  <c r="R30" i="1"/>
  <c r="R31" i="1"/>
  <c r="R34" i="1"/>
  <c r="R35" i="1"/>
  <c r="R38" i="1"/>
  <c r="R39" i="1"/>
  <c r="R42" i="1"/>
  <c r="R43" i="1"/>
  <c r="R46" i="1"/>
  <c r="R47" i="1"/>
  <c r="R50" i="1"/>
  <c r="R51" i="1"/>
  <c r="R54" i="1"/>
  <c r="R55" i="1"/>
  <c r="R58" i="1"/>
  <c r="R59" i="1"/>
  <c r="R62" i="1"/>
  <c r="R63" i="1"/>
  <c r="R66" i="1"/>
  <c r="R67" i="1"/>
  <c r="R70" i="1"/>
  <c r="R71" i="1"/>
  <c r="R75" i="1"/>
  <c r="R79" i="1"/>
  <c r="R83" i="1"/>
  <c r="R87" i="1"/>
  <c r="R91" i="1"/>
  <c r="R95" i="1"/>
  <c r="R9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AE8" i="1"/>
  <c r="R48" i="1" s="1"/>
  <c r="AE9" i="1"/>
  <c r="R4" i="1" s="1"/>
  <c r="AE7" i="1"/>
  <c r="R76" i="1" s="1"/>
  <c r="B4" i="8" l="1"/>
  <c r="C3" i="8"/>
  <c r="I24" i="10"/>
  <c r="B6" i="8"/>
  <c r="B19" i="8" s="1"/>
  <c r="C5" i="8"/>
  <c r="B3" i="8"/>
  <c r="D3" i="8" s="1"/>
  <c r="R94" i="1"/>
  <c r="R86" i="1"/>
  <c r="R78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B5" i="8"/>
  <c r="B18" i="8" s="1"/>
  <c r="C4" i="8"/>
  <c r="R98" i="1"/>
  <c r="R90" i="1"/>
  <c r="R82" i="1"/>
  <c r="R74" i="1"/>
  <c r="R100" i="1"/>
  <c r="R96" i="1"/>
  <c r="R92" i="1"/>
  <c r="R88" i="1"/>
  <c r="R84" i="1"/>
  <c r="R80" i="1"/>
  <c r="R72" i="1"/>
  <c r="R68" i="1"/>
  <c r="R64" i="1"/>
  <c r="R60" i="1"/>
  <c r="R56" i="1"/>
  <c r="R52" i="1"/>
  <c r="R44" i="1"/>
  <c r="R40" i="1"/>
  <c r="R36" i="1"/>
  <c r="R32" i="1"/>
  <c r="R28" i="1"/>
  <c r="R24" i="1"/>
  <c r="R20" i="1"/>
  <c r="R16" i="1"/>
  <c r="R12" i="1"/>
  <c r="R8" i="1"/>
  <c r="D4" i="8" l="1"/>
  <c r="E3" i="8"/>
  <c r="C14" i="4"/>
  <c r="D13" i="4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D19" i="2"/>
  <c r="D18" i="2"/>
  <c r="D21" i="2"/>
  <c r="D20" i="2"/>
  <c r="D13" i="2"/>
  <c r="D10" i="2"/>
  <c r="D9" i="2"/>
  <c r="D7" i="2"/>
  <c r="D6" i="2"/>
  <c r="D5" i="2"/>
  <c r="C10" i="8" l="1"/>
  <c r="B10" i="8"/>
  <c r="D10" i="8" s="1"/>
  <c r="D5" i="8"/>
  <c r="E4" i="8"/>
  <c r="F4" i="8"/>
  <c r="G6" i="4"/>
  <c r="H5" i="4"/>
  <c r="I7" i="4"/>
  <c r="J6" i="4"/>
  <c r="H7" i="4"/>
  <c r="I6" i="4"/>
  <c r="H6" i="4"/>
  <c r="J5" i="4"/>
  <c r="I5" i="4"/>
  <c r="J7" i="4"/>
  <c r="D11" i="4"/>
  <c r="D12" i="4"/>
  <c r="D5" i="4"/>
  <c r="E7" i="4"/>
  <c r="F6" i="4"/>
  <c r="D7" i="4"/>
  <c r="E6" i="4"/>
  <c r="G5" i="4"/>
  <c r="D6" i="4"/>
  <c r="F5" i="4"/>
  <c r="G7" i="4"/>
  <c r="E5" i="4"/>
  <c r="F7" i="4"/>
  <c r="C6" i="4"/>
  <c r="E12" i="4" s="1"/>
  <c r="C5" i="4"/>
  <c r="E11" i="4" s="1"/>
  <c r="C7" i="4"/>
  <c r="E13" i="4" s="1"/>
  <c r="D22" i="2"/>
  <c r="D23" i="2" s="1"/>
  <c r="D16" i="2"/>
  <c r="C18" i="8" l="1"/>
  <c r="C19" i="8" s="1"/>
  <c r="C22" i="8" s="1"/>
  <c r="C23" i="8" s="1"/>
  <c r="C27" i="8" s="1"/>
  <c r="E5" i="8"/>
  <c r="E6" i="8"/>
  <c r="F5" i="8"/>
  <c r="B11" i="8"/>
  <c r="D11" i="8" s="1"/>
  <c r="C11" i="8"/>
  <c r="D14" i="4"/>
  <c r="E14" i="4"/>
  <c r="F11" i="4" s="1"/>
  <c r="C12" i="8" l="1"/>
  <c r="B12" i="8"/>
  <c r="D12" i="8" s="1"/>
  <c r="F12" i="4"/>
  <c r="F13" i="4"/>
  <c r="F14" i="4" l="1"/>
</calcChain>
</file>

<file path=xl/sharedStrings.xml><?xml version="1.0" encoding="utf-8"?>
<sst xmlns="http://schemas.openxmlformats.org/spreadsheetml/2006/main" count="1058" uniqueCount="229">
  <si>
    <t>Product Type</t>
  </si>
  <si>
    <t>SKU (Stock Keeping Unit)</t>
  </si>
  <si>
    <t>Availability</t>
  </si>
  <si>
    <t>Number of Products Sold</t>
  </si>
  <si>
    <t>Revenue Generated</t>
  </si>
  <si>
    <t>Customer Demographics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</si>
  <si>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</si>
  <si>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</si>
  <si>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</si>
  <si>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</si>
  <si>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</si>
  <si>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</si>
  <si>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</si>
  <si>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</si>
  <si>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</si>
  <si>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</si>
  <si>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</si>
  <si>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</si>
  <si>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</si>
  <si>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</si>
  <si>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</si>
  <si>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</si>
  <si>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</si>
  <si>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</si>
  <si>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</si>
  <si>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</si>
  <si>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</si>
  <si>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</si>
  <si>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</si>
  <si>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</si>
  <si>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</si>
  <si>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</si>
  <si>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</si>
  <si>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SKU10</t>
  </si>
  <si>
    <t>Carrier C</t>
  </si>
  <si>
    <t>Supplier 5</t>
  </si>
  <si>
    <t>Kolkata</t>
  </si>
  <si>
    <t>Pass</t>
  </si>
  <si>
    <t>SKU11</t>
  </si>
  <si>
    <t>Supplier 2</t>
  </si>
  <si>
    <t>Air</t>
  </si>
  <si>
    <t>Route A</t>
  </si>
  <si>
    <t>SKU12</t>
  </si>
  <si>
    <t>Unknown</t>
  </si>
  <si>
    <t>Supplier 4</t>
  </si>
  <si>
    <t>Fail</t>
  </si>
  <si>
    <t>SKU13</t>
  </si>
  <si>
    <t>Male</t>
  </si>
  <si>
    <t>Bangalore</t>
  </si>
  <si>
    <t>SKU14</t>
  </si>
  <si>
    <t>Supplier 1</t>
  </si>
  <si>
    <t>SKU15</t>
  </si>
  <si>
    <t>Sea</t>
  </si>
  <si>
    <t>SKU16</t>
  </si>
  <si>
    <t>cosmetics</t>
  </si>
  <si>
    <t>SKU17</t>
  </si>
  <si>
    <t>Chennai</t>
  </si>
  <si>
    <t>Route C</t>
  </si>
  <si>
    <t>SKU18</t>
  </si>
  <si>
    <t>SKU19</t>
  </si>
  <si>
    <t>SKU2</t>
  </si>
  <si>
    <t>SKU20</t>
  </si>
  <si>
    <t>SKU21</t>
  </si>
  <si>
    <t>SKU22</t>
  </si>
  <si>
    <t>Rail</t>
  </si>
  <si>
    <t>SKU23</t>
  </si>
  <si>
    <t>SKU24</t>
  </si>
  <si>
    <t>SKU25</t>
  </si>
  <si>
    <t>SKU26</t>
  </si>
  <si>
    <t>SKU27</t>
  </si>
  <si>
    <t>SKU28</t>
  </si>
  <si>
    <t>SKU29</t>
  </si>
  <si>
    <t>SKU3</t>
  </si>
  <si>
    <t>SKU30</t>
  </si>
  <si>
    <t>SKU31</t>
  </si>
  <si>
    <t>SKU32</t>
  </si>
  <si>
    <t>SKU33</t>
  </si>
  <si>
    <t>SKU34</t>
  </si>
  <si>
    <t>SKU35</t>
  </si>
  <si>
    <t>Delhi</t>
  </si>
  <si>
    <t>SKU36</t>
  </si>
  <si>
    <t>SKU37</t>
  </si>
  <si>
    <t>SKU38</t>
  </si>
  <si>
    <t>SKU39</t>
  </si>
  <si>
    <t>SKU4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</si>
  <si>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</si>
  <si>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</si>
  <si>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</si>
  <si>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</si>
  <si>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</si>
  <si>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</si>
  <si>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</si>
  <si>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</si>
  <si>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</si>
  <si>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</si>
  <si>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</si>
  <si>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</si>
  <si>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</si>
  <si>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</si>
  <si>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</si>
  <si>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</si>
  <si>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</si>
  <si>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</si>
  <si>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</si>
  <si>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</si>
  <si>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</si>
  <si>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</si>
  <si>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</si>
  <si>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</si>
  <si>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</si>
  <si>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</si>
  <si>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</si>
  <si>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</si>
  <si>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</si>
  <si>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</si>
  <si>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</si>
  <si>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</si>
  <si>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</si>
  <si>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</si>
  <si>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</si>
  <si>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</si>
  <si>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</si>
  <si>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</si>
  <si>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</si>
  <si>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</si>
  <si>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</si>
  <si>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</si>
  <si>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</si>
  <si>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</si>
  <si>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</si>
  <si>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</si>
  <si>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</si>
  <si>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</si>
  <si>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</si>
  <si>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</si>
  <si>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</si>
  <si>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</si>
  <si>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</si>
  <si>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</si>
  <si>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</si>
  <si>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</si>
  <si>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</si>
  <si>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</si>
  <si>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</si>
  <si>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</si>
  <si>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</si>
  <si>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</si>
  <si>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</si>
  <si>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</si>
  <si>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</si>
  <si>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Product Type.</t>
  </si>
  <si>
    <t>This is a dataset that was collected from the 1/1/2022 to 4/10/2022</t>
  </si>
  <si>
    <t xml:space="preserve">Sum of goods sold </t>
  </si>
  <si>
    <t>Sum of production Volumes</t>
  </si>
  <si>
    <t xml:space="preserve">Total quantities ordered </t>
  </si>
  <si>
    <t>Time</t>
  </si>
  <si>
    <t>Goods</t>
  </si>
  <si>
    <t xml:space="preserve">days </t>
  </si>
  <si>
    <t xml:space="preserve">Average Shipping time </t>
  </si>
  <si>
    <t>Average Lead time</t>
  </si>
  <si>
    <t xml:space="preserve">Total Days </t>
  </si>
  <si>
    <t xml:space="preserve"> Production Rate </t>
  </si>
  <si>
    <t>(total Volumes produced/ days of the period)</t>
  </si>
  <si>
    <t>Units/day</t>
  </si>
  <si>
    <t xml:space="preserve">Sales Rate </t>
  </si>
  <si>
    <t xml:space="preserve">Production Rate </t>
  </si>
  <si>
    <t>Transportation Costs</t>
  </si>
  <si>
    <t>Unit Price</t>
  </si>
  <si>
    <t xml:space="preserve">Revenues </t>
  </si>
  <si>
    <t xml:space="preserve"> Gross Profit </t>
  </si>
  <si>
    <t>(Revenues-Costs)</t>
  </si>
  <si>
    <t xml:space="preserve"> Gross Profit Margin</t>
  </si>
  <si>
    <t>(Gross Profit/Revenue)* 100</t>
  </si>
  <si>
    <t xml:space="preserve">Total Costs </t>
  </si>
  <si>
    <t xml:space="preserve">Manufacturing Costs </t>
  </si>
  <si>
    <t xml:space="preserve">Transportation Costs </t>
  </si>
  <si>
    <t>Column1</t>
  </si>
  <si>
    <t>Skincare</t>
  </si>
  <si>
    <t>Haircare</t>
  </si>
  <si>
    <t>Products Sold</t>
  </si>
  <si>
    <t xml:space="preserve">products </t>
  </si>
  <si>
    <t>Cosmetics</t>
  </si>
  <si>
    <t>Total Revenue</t>
  </si>
  <si>
    <t xml:space="preserve">Products sold </t>
  </si>
  <si>
    <t>Avg Lead time</t>
  </si>
  <si>
    <t>Production Volume</t>
  </si>
  <si>
    <t xml:space="preserve">Avg unit price </t>
  </si>
  <si>
    <t>Demand(Order Qunatities)</t>
  </si>
  <si>
    <t xml:space="preserve">Total </t>
  </si>
  <si>
    <t>% of Forecast Demand</t>
  </si>
  <si>
    <t>% of Actual Demand</t>
  </si>
  <si>
    <t>Row Labels</t>
  </si>
  <si>
    <t>Grand Total</t>
  </si>
  <si>
    <t>Sum of Order Quantities</t>
  </si>
  <si>
    <t>Lead Time Bins</t>
  </si>
  <si>
    <t xml:space="preserve">Create bins of 5 for Lead time </t>
  </si>
  <si>
    <t>Column2</t>
  </si>
  <si>
    <t>Column3</t>
  </si>
  <si>
    <t>21-30</t>
  </si>
  <si>
    <t>1-10</t>
  </si>
  <si>
    <t>11-20</t>
  </si>
  <si>
    <t xml:space="preserve">Products </t>
  </si>
  <si>
    <t>Month</t>
  </si>
  <si>
    <t>products sold</t>
  </si>
  <si>
    <t>Projected Revenue</t>
  </si>
  <si>
    <t>increase</t>
  </si>
  <si>
    <t xml:space="preserve">% increase </t>
  </si>
  <si>
    <t>Was the Target Attained</t>
  </si>
  <si>
    <t xml:space="preserve">Current Revenue </t>
  </si>
  <si>
    <t>month</t>
  </si>
  <si>
    <t>Performance %</t>
  </si>
  <si>
    <t>Target Difference</t>
  </si>
  <si>
    <t xml:space="preserve">Projected Revenue </t>
  </si>
  <si>
    <t xml:space="preserve">To attain the projected amount from 4/10, they should produce products at what rate? </t>
  </si>
  <si>
    <t>Days</t>
  </si>
  <si>
    <t>End date</t>
  </si>
  <si>
    <t>Start date</t>
  </si>
  <si>
    <t xml:space="preserve">Remaining amount to be attained </t>
  </si>
  <si>
    <t>Daily Revenue</t>
  </si>
  <si>
    <t>Revenue per product sold</t>
  </si>
  <si>
    <t>Daily sale Target</t>
  </si>
  <si>
    <t>Sum of Number of Products Sold</t>
  </si>
  <si>
    <t xml:space="preserve">% of total </t>
  </si>
  <si>
    <t xml:space="preserve">Abg Defect Rates </t>
  </si>
  <si>
    <t xml:space="preserve">% sold </t>
  </si>
  <si>
    <t>~580</t>
  </si>
  <si>
    <t>~471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</si>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</sst>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0.0%"/>
    <numFmt numFmtId="167" formatCode="[$-F800]dddd\,\ mmmm\ dd\,\ yyyy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16" fillId="0" borderId="0" xfId="0" applyFont="1"/>
    <xf numFmtId="49" fontId="16" fillId="0" borderId="0" xfId="0" applyNumberFormat="1" applyFont="1"/>
    <xf numFmtId="49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2" fontId="16" fillId="0" borderId="0" xfId="0" applyNumberFormat="1" applyFont="1"/>
    <xf numFmtId="2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0" fontId="16" fillId="0" borderId="0" xfId="0" applyFont="1" applyAlignment="1">
      <alignment horizontal="center"/>
    </xf>
    <xf numFmtId="165" fontId="0" fillId="0" borderId="0" xfId="42" applyNumberFormat="1" applyFont="1"/>
    <xf numFmtId="0" fontId="18" fillId="0" borderId="0" xfId="0" applyFont="1"/>
    <xf numFmtId="43" fontId="0" fillId="0" borderId="0" xfId="0" applyNumberFormat="1"/>
    <xf numFmtId="9" fontId="0" fillId="0" borderId="0" xfId="44" applyFont="1"/>
    <xf numFmtId="10" fontId="0" fillId="0" borderId="0" xfId="44" applyNumberFormat="1" applyFont="1"/>
    <xf numFmtId="164" fontId="0" fillId="0" borderId="0" xfId="43" applyNumberFormat="1" applyFont="1"/>
    <xf numFmtId="10" fontId="0" fillId="0" borderId="0" xfId="0" applyNumberFormat="1"/>
    <xf numFmtId="10" fontId="16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16" fillId="0" borderId="0" xfId="0" applyNumberFormat="1" applyFont="1"/>
    <xf numFmtId="167" fontId="0" fillId="0" borderId="0" xfId="0" applyNumberFormat="1"/>
    <xf numFmtId="9" fontId="0" fillId="0" borderId="0" xfId="0" applyNumberFormat="1"/>
    <xf numFmtId="165" fontId="0" fillId="0" borderId="0" xfId="0" applyNumberFormat="1"/>
    <xf numFmtId="0" fontId="13" fillId="34" borderId="11" xfId="0" applyFont="1" applyFill="1" applyBorder="1"/>
    <xf numFmtId="14" fontId="13" fillId="34" borderId="10" xfId="0" applyNumberFormat="1" applyFont="1" applyFill="1" applyBorder="1"/>
    <xf numFmtId="1" fontId="0" fillId="33" borderId="10" xfId="0" applyNumberFormat="1" applyFill="1" applyBorder="1"/>
    <xf numFmtId="164" fontId="0" fillId="33" borderId="11" xfId="0" applyNumberFormat="1" applyFill="1" applyBorder="1"/>
    <xf numFmtId="1" fontId="0" fillId="0" borderId="10" xfId="0" applyNumberFormat="1" applyBorder="1"/>
    <xf numFmtId="164" fontId="0" fillId="0" borderId="11" xfId="0" applyNumberFormat="1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numFmt numFmtId="14" formatCode="0.00%"/>
    </dxf>
    <dxf>
      <numFmt numFmtId="1" formatCode="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&quot;$&quot;#,##0.00"/>
    </dxf>
    <dxf>
      <numFmt numFmtId="164" formatCode="&quot;$&quot;#,##0.00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14" formatCode="0.00%"/>
    </dxf>
    <dxf>
      <numFmt numFmtId="164" formatCode="&quot;$&quot;#,##0.00"/>
    </dxf>
    <dxf>
      <numFmt numFmtId="14" formatCode="0.00%"/>
    </dxf>
    <dxf>
      <numFmt numFmtId="1" formatCode="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" formatCode="0"/>
    </dxf>
    <dxf>
      <numFmt numFmtId="0" formatCode="General"/>
    </dxf>
    <dxf>
      <numFmt numFmtId="0" formatCode="General"/>
    </dxf>
    <dxf>
      <numFmt numFmtId="14" formatCode="0.00%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"/>
    </dxf>
    <dxf>
      <numFmt numFmtId="1" formatCode="0"/>
    </dxf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30" formatCode="@"/>
    </dxf>
    <dxf>
      <numFmt numFmtId="30" formatCode="@"/>
    </dxf>
    <dxf>
      <numFmt numFmtId="2" formatCode="0.00"/>
    </dxf>
    <dxf>
      <numFmt numFmtId="30" formatCode="@"/>
    </dxf>
    <dxf>
      <numFmt numFmtId="164" formatCode="&quot;$&quot;#,##0.0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30" formatCode="@"/>
    </dxf>
    <dxf>
      <numFmt numFmtId="30" formatCode="@"/>
    </dxf>
    <dxf>
      <numFmt numFmtId="164" formatCode="&quot;$&quot;#,##0.00"/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164" formatCode="&quot;$&quot;#,##0.00"/>
    </dxf>
    <dxf>
      <numFmt numFmtId="1" formatCode="0"/>
    </dxf>
    <dxf>
      <numFmt numFmtId="1" formatCode="0"/>
    </dxf>
    <dxf>
      <numFmt numFmtId="164" formatCode="&quot;$&quot;#,##0.00"/>
    </dxf>
    <dxf>
      <numFmt numFmtId="1" formatCode="0"/>
    </dxf>
    <dxf>
      <numFmt numFmtId="167" formatCode="[$-F800]dddd\,\ mmmm\ dd\,\ yyyy"/>
    </dxf>
    <dxf>
      <numFmt numFmtId="30" formatCode="@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11/relationships/timelineCache" Target="timelineCaches/timelineCache2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'Product Analysis'!$B$11</c:f>
              <c:strCache>
                <c:ptCount val="1"/>
                <c:pt idx="0">
                  <c:v>Skincare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'Product Analysis'!$C$10:$F$10</c15:sqref>
                  </c15:fullRef>
                </c:ext>
              </c:extLst>
              <c:f>('Product Analysis'!$D$10,'Product Analysis'!$F$10)</c:f>
              <c:strCache>
                <c:ptCount val="2"/>
                <c:pt idx="0">
                  <c:v>% of Forecast Demand</c:v>
                </c:pt>
                <c:pt idx="1">
                  <c:v>% of Actual Demand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 Analysis'!$C$11:$F$11</c15:sqref>
                  </c15:fullRef>
                </c:ext>
              </c:extLst>
              <c:f>('Product Analysis'!$D$11,'Product Analysis'!$F$11)</c:f>
              <c:numCache>
                <c:formatCode>0.0%</c:formatCode>
                <c:ptCount val="2"/>
                <c:pt idx="0">
                  <c:v>0.42645266151970745</c:v>
                </c:pt>
                <c:pt idx="1">
                  <c:v>0.44970606737673269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F-4C1C-BF76-34F2CE5A3DB4}"/>
            </c:ext>
          </c:extLst>
        </c:ser>
        <c:ser>
          <c:idx val="1"/>
          <c:order val="1"/>
          <c:tx>
            <c:strRef>
              <c:f>'Product Analysis'!$B$12</c:f>
              <c:strCache>
                <c:ptCount val="1"/>
                <c:pt idx="0">
                  <c:v>Haircare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'Product Analysis'!$C$10:$F$10</c15:sqref>
                  </c15:fullRef>
                </c:ext>
              </c:extLst>
              <c:f>('Product Analysis'!$D$10,'Product Analysis'!$F$10)</c:f>
              <c:strCache>
                <c:ptCount val="2"/>
                <c:pt idx="0">
                  <c:v>% of Forecast Demand</c:v>
                </c:pt>
                <c:pt idx="1">
                  <c:v>% of Actual Demand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 Analysis'!$C$12:$F$12</c15:sqref>
                  </c15:fullRef>
                </c:ext>
              </c:extLst>
              <c:f>('Product Analysis'!$D$12,'Product Analysis'!$F$12)</c:f>
              <c:numCache>
                <c:formatCode>0.0%</c:formatCode>
                <c:ptCount val="2"/>
                <c:pt idx="0">
                  <c:v>0.30069077610727346</c:v>
                </c:pt>
                <c:pt idx="1">
                  <c:v>0.29525586238313195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F-4C1C-BF76-34F2CE5A3DB4}"/>
            </c:ext>
          </c:extLst>
        </c:ser>
        <c:ser>
          <c:idx val="2"/>
          <c:order val="2"/>
          <c:tx>
            <c:strRef>
              <c:f>'Product Analysis'!$B$13</c:f>
              <c:strCache>
                <c:ptCount val="1"/>
                <c:pt idx="0">
                  <c:v>Cosmetics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'Product Analysis'!$C$10:$F$10</c15:sqref>
                  </c15:fullRef>
                </c:ext>
              </c:extLst>
              <c:f>('Product Analysis'!$D$10,'Product Analysis'!$F$10)</c:f>
              <c:strCache>
                <c:ptCount val="2"/>
                <c:pt idx="0">
                  <c:v>% of Forecast Demand</c:v>
                </c:pt>
                <c:pt idx="1">
                  <c:v>% of Actual Demand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 Analysis'!$C$13:$F$13</c15:sqref>
                  </c15:fullRef>
                </c:ext>
              </c:extLst>
              <c:f>('Product Analysis'!$D$13,'Product Analysis'!$F$13)</c:f>
              <c:numCache>
                <c:formatCode>0.0%</c:formatCode>
                <c:ptCount val="2"/>
                <c:pt idx="0">
                  <c:v>0.27285656237301908</c:v>
                </c:pt>
                <c:pt idx="1">
                  <c:v>0.25503807024013536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AF-4C1C-BF76-34F2CE5A3D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736031"/>
        <c:axId val="1467099231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'Product Analysis'!$C$10:$F$10</c15:sqref>
                        </c15:fullRef>
                        <c15:formulaRef>
                          <c15:sqref>('Product Analysis'!$D$10,'Product Analysis'!$F$10)</c15:sqref>
                        </c15:formulaRef>
                      </c:ext>
                    </c:extLst>
                    <c:strCache>
                      <c:ptCount val="2"/>
                      <c:pt idx="0">
                        <c:v>% of Forecast Demand</c:v>
                      </c:pt>
                      <c:pt idx="1">
                        <c:v>% of Actual Demand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'Product Analysis'!$C$14:$F$14</c15:sqref>
                        </c15:fullRef>
                        <c15:formulaRef>
                          <c15:sqref>('Product Analysis'!$D$14,'Product Analysis'!$F$14)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7AF-4C1C-BF76-34F2CE5A3DB4}"/>
                  </c:ext>
                </c:extLst>
              </c15:ser>
            </c15:filteredBarSeries>
          </c:ext>
        </c:extLst>
      </c:barChart>
      <c:catAx>
        <c:axId val="11073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99231"/>
        <c:crosses val="autoZero"/>
        <c:auto val="1"/>
        <c:lblAlgn val="ctr"/>
        <c:lblOffset val="100"/>
        <c:noMultiLvlLbl val="0"/>
      </c:catAx>
      <c:valAx>
        <c:axId val="146709923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1073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0" cap="flat" cmpd="sng" algn="ctr">
      <a:solidFill>
        <a:schemeClr val="bg1"/>
      </a:solidFill>
      <a:round/>
    </a:ln>
    <a:effectLst>
      <a:outerShdw blurRad="50800" dist="50800" dir="5400000" algn="ctr" rotWithShape="0">
        <a:schemeClr val="bg2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FF-4AD0-ABF9-1E53CD35210F}"/>
              </c:ext>
            </c:extLst>
          </c:dPt>
          <c:dLbls>
            <c:dLbl>
              <c:idx val="0"/>
              <c:layout>
                <c:manualLayout>
                  <c:x val="1.3890239028762751E-3"/>
                  <c:y val="-0.285700641586468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9F1E9D3-B838-4ECE-B308-5B895E70B9D3}" type="VALUE">
                      <a:rPr lang="en-US" sz="1600" b="1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641586468358123"/>
                      <c:h val="0.4272885680956546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3FF-4AD0-ABF9-1E53CD3521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'Important values '!$F$17:$F$18</c15:sqref>
                  </c15:fullRef>
                </c:ext>
              </c:extLst>
              <c:f>'Important values '!$F$17</c:f>
              <c:numCache>
                <c:formatCode>General</c:formatCode>
                <c:ptCount val="1"/>
                <c:pt idx="0">
                  <c:v>580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F3FF-4AD0-ABF9-1E53CD3521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1D-49E8-91F6-E65FECDF0EC6}"/>
              </c:ext>
            </c:extLst>
          </c:dPt>
          <c:dLbls>
            <c:dLbl>
              <c:idx val="0"/>
              <c:layout>
                <c:manualLayout>
                  <c:x val="0"/>
                  <c:y val="-0.263888888888888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C144ED2-42D1-4078-89E8-77DEA30F1556}" type="VALUE">
                      <a:rPr lang="en-US" sz="1600" b="1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074074074074073"/>
                      <c:h val="0.4720836978710994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B1D-49E8-91F6-E65FECDF0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'Important values '!$F$17:$F$18</c15:sqref>
                  </c15:fullRef>
                </c:ext>
              </c:extLst>
              <c:f>'Important values '!$F$18</c:f>
              <c:numCache>
                <c:formatCode>General</c:formatCode>
                <c:ptCount val="1"/>
                <c:pt idx="0">
                  <c:v>471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'Important values '!$F$17</c15:sqref>
                  <c15:spPr xmlns:c15="http://schemas.microsoft.com/office/drawing/2012/chart"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  <c15:dLbl>
                    <c:idx val="-1"/>
                    <c:layout>
                      <c:manualLayout>
                        <c:x val="-5.4696866595379907E-3"/>
                        <c:y val="-0.248663649646887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E9F1E9D3-B838-4ECE-B308-5B895E70B9D3}" type="VALUE">
                            <a:rPr lang="en-US" sz="1200" b="1"/>
                            <a:pPr>
                              <a:defRPr/>
                            </a:pPr>
                            <a:t>[VALUE]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2411133793461002"/>
                            <c:h val="0.29765876559244525"/>
                          </c:manualLayout>
                        </c15:layout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E5B4-4961-A8B6-1053F9438C5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EB1D-49E8-91F6-E65FECDF0E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ANALYSIS.xlsx]Demand!PivotTable19</c:name>
    <c:fmtId val="16"/>
  </c:pivotSource>
  <c:chart>
    <c:autoTitleDeleted val="1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</c:pivotFmt>
      <c:pivotFmt>
        <c:idx val="2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</c:pivotFmt>
      <c:pivotFmt>
        <c:idx val="4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Demand!$B$2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tx2">
                  <a:lumMod val="25000"/>
                  <a:lumOff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solidFill>
                  <a:schemeClr val="tx2">
                    <a:lumMod val="25000"/>
                    <a:lumOff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064-4E30-9B14-4A540EE024F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solidFill>
                  <a:schemeClr val="tx2">
                    <a:lumMod val="25000"/>
                    <a:lumOff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4-4E30-9B14-4A540EE024F7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solidFill>
                  <a:schemeClr val="tx2">
                    <a:lumMod val="25000"/>
                    <a:lumOff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064-4E30-9B14-4A540EE024F7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solidFill>
                  <a:schemeClr val="tx2">
                    <a:lumMod val="25000"/>
                    <a:lumOff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4-4E30-9B14-4A540EE024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Demand!$A$3:$A$15</c:f>
              <c:multiLvlStrCache>
                <c:ptCount val="9"/>
                <c:lvl>
                  <c:pt idx="0">
                    <c:v>Cosmetics</c:v>
                  </c:pt>
                  <c:pt idx="1">
                    <c:v>Skincare</c:v>
                  </c:pt>
                  <c:pt idx="2">
                    <c:v>Haircare</c:v>
                  </c:pt>
                  <c:pt idx="3">
                    <c:v>Skincare</c:v>
                  </c:pt>
                  <c:pt idx="4">
                    <c:v>Cosmetics</c:v>
                  </c:pt>
                  <c:pt idx="5">
                    <c:v>Haircare</c:v>
                  </c:pt>
                  <c:pt idx="6">
                    <c:v>Skincare</c:v>
                  </c:pt>
                  <c:pt idx="7">
                    <c:v>Haircare</c:v>
                  </c:pt>
                  <c:pt idx="8">
                    <c:v>Cosmetics</c:v>
                  </c:pt>
                </c:lvl>
                <c:lvl>
                  <c:pt idx="0">
                    <c:v>1-10</c:v>
                  </c:pt>
                  <c:pt idx="3">
                    <c:v>11-20</c:v>
                  </c:pt>
                  <c:pt idx="6">
                    <c:v>21-30</c:v>
                  </c:pt>
                </c:lvl>
              </c:multiLvlStrCache>
            </c:multiLvlStrRef>
          </c:cat>
          <c:val>
            <c:numRef>
              <c:f>Demand!$B$3:$B$15</c:f>
              <c:numCache>
                <c:formatCode>General</c:formatCode>
                <c:ptCount val="9"/>
                <c:pt idx="0">
                  <c:v>612</c:v>
                </c:pt>
                <c:pt idx="1">
                  <c:v>600</c:v>
                </c:pt>
                <c:pt idx="2">
                  <c:v>328</c:v>
                </c:pt>
                <c:pt idx="3">
                  <c:v>561</c:v>
                </c:pt>
                <c:pt idx="4">
                  <c:v>428</c:v>
                </c:pt>
                <c:pt idx="5">
                  <c:v>313</c:v>
                </c:pt>
                <c:pt idx="6">
                  <c:v>938</c:v>
                </c:pt>
                <c:pt idx="7">
                  <c:v>839</c:v>
                </c:pt>
                <c:pt idx="8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3-4E3A-B391-F9FBA40CB1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5612831"/>
        <c:axId val="214687871"/>
      </c:barChart>
      <c:catAx>
        <c:axId val="115612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Lead</a:t>
                </a:r>
                <a:r>
                  <a:rPr lang="en-US" baseline="0"/>
                  <a:t> Time Range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400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7871"/>
        <c:crosses val="autoZero"/>
        <c:auto val="1"/>
        <c:lblAlgn val="ctr"/>
        <c:lblOffset val="100"/>
        <c:noMultiLvlLbl val="0"/>
      </c:catAx>
      <c:valAx>
        <c:axId val="2146878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561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Skincare Products have the highest % of Demand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'Product Analysis'!$B$11</c:f>
              <c:strCache>
                <c:ptCount val="1"/>
                <c:pt idx="0">
                  <c:v>Skincare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'Product Analysis'!$C$10:$F$10</c15:sqref>
                  </c15:fullRef>
                </c:ext>
              </c:extLst>
              <c:f>('Product Analysis'!$D$10,'Product Analysis'!$F$10)</c:f>
              <c:strCache>
                <c:ptCount val="2"/>
                <c:pt idx="0">
                  <c:v>% of Forecast Demand</c:v>
                </c:pt>
                <c:pt idx="1">
                  <c:v>% of Actual Demand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 Analysis'!$C$11:$F$11</c15:sqref>
                  </c15:fullRef>
                </c:ext>
              </c:extLst>
              <c:f>('Product Analysis'!$D$11,'Product Analysis'!$F$11)</c:f>
              <c:numCache>
                <c:formatCode>0.0%</c:formatCode>
                <c:ptCount val="2"/>
                <c:pt idx="0">
                  <c:v>0.42645266151970745</c:v>
                </c:pt>
                <c:pt idx="1">
                  <c:v>0.44970606737673269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9-4D60-ACA3-75B80FD98C45}"/>
            </c:ext>
          </c:extLst>
        </c:ser>
        <c:ser>
          <c:idx val="1"/>
          <c:order val="1"/>
          <c:tx>
            <c:strRef>
              <c:f>'Product Analysis'!$B$12</c:f>
              <c:strCache>
                <c:ptCount val="1"/>
                <c:pt idx="0">
                  <c:v>Haircare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'Product Analysis'!$C$10:$F$10</c15:sqref>
                  </c15:fullRef>
                </c:ext>
              </c:extLst>
              <c:f>('Product Analysis'!$D$10,'Product Analysis'!$F$10)</c:f>
              <c:strCache>
                <c:ptCount val="2"/>
                <c:pt idx="0">
                  <c:v>% of Forecast Demand</c:v>
                </c:pt>
                <c:pt idx="1">
                  <c:v>% of Actual Demand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 Analysis'!$C$12:$F$12</c15:sqref>
                  </c15:fullRef>
                </c:ext>
              </c:extLst>
              <c:f>('Product Analysis'!$D$12,'Product Analysis'!$F$12)</c:f>
              <c:numCache>
                <c:formatCode>0.0%</c:formatCode>
                <c:ptCount val="2"/>
                <c:pt idx="0">
                  <c:v>0.30069077610727346</c:v>
                </c:pt>
                <c:pt idx="1">
                  <c:v>0.29525586238313195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9-4D60-ACA3-75B80FD98C45}"/>
            </c:ext>
          </c:extLst>
        </c:ser>
        <c:ser>
          <c:idx val="2"/>
          <c:order val="2"/>
          <c:tx>
            <c:strRef>
              <c:f>'Product Analysis'!$B$13</c:f>
              <c:strCache>
                <c:ptCount val="1"/>
                <c:pt idx="0">
                  <c:v>Cosmetics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'Product Analysis'!$C$10:$F$10</c15:sqref>
                  </c15:fullRef>
                </c:ext>
              </c:extLst>
              <c:f>('Product Analysis'!$D$10,'Product Analysis'!$F$10)</c:f>
              <c:strCache>
                <c:ptCount val="2"/>
                <c:pt idx="0">
                  <c:v>% of Forecast Demand</c:v>
                </c:pt>
                <c:pt idx="1">
                  <c:v>% of Actual Demand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 Analysis'!$C$13:$F$13</c15:sqref>
                  </c15:fullRef>
                </c:ext>
              </c:extLst>
              <c:f>('Product Analysis'!$D$13,'Product Analysis'!$F$13)</c:f>
              <c:numCache>
                <c:formatCode>0.0%</c:formatCode>
                <c:ptCount val="2"/>
                <c:pt idx="0">
                  <c:v>0.27285656237301908</c:v>
                </c:pt>
                <c:pt idx="1">
                  <c:v>0.25503807024013536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9-4D60-ACA3-75B80FD98C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736031"/>
        <c:axId val="1467099231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'Product Analysis'!$C$10:$F$10</c15:sqref>
                        </c15:fullRef>
                        <c15:formulaRef>
                          <c15:sqref>('Product Analysis'!$D$10,'Product Analysis'!$F$10)</c15:sqref>
                        </c15:formulaRef>
                      </c:ext>
                    </c:extLst>
                    <c:strCache>
                      <c:ptCount val="2"/>
                      <c:pt idx="0">
                        <c:v>% of Forecast Demand</c:v>
                      </c:pt>
                      <c:pt idx="1">
                        <c:v>% of Actual Demand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'Product Analysis'!$C$14:$F$14</c15:sqref>
                        </c15:fullRef>
                        <c15:formulaRef>
                          <c15:sqref>('Product Analysis'!$D$14,'Product Analysis'!$F$14)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3B9-4D60-ACA3-75B80FD98C45}"/>
                  </c:ext>
                </c:extLst>
              </c15:ser>
            </c15:filteredBarSeries>
          </c:ext>
        </c:extLst>
      </c:barChart>
      <c:catAx>
        <c:axId val="11073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99231"/>
        <c:crosses val="autoZero"/>
        <c:auto val="1"/>
        <c:lblAlgn val="ctr"/>
        <c:lblOffset val="100"/>
        <c:noMultiLvlLbl val="0"/>
      </c:catAx>
      <c:valAx>
        <c:axId val="14670992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073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Target Difference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'Trend of Revenue '!$C$9</c:f>
              <c:strCache>
                <c:ptCount val="1"/>
                <c:pt idx="0">
                  <c:v>Target Difference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67-4D8C-82D3-80FEC857B4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'Trend of Revenue '!$C$10:$C$12</c:f>
              <c:numCache>
                <c:formatCode>"$"#,##0.00</c:formatCode>
                <c:ptCount val="3"/>
                <c:pt idx="0">
                  <c:v>177326.26999999996</c:v>
                </c:pt>
                <c:pt idx="1">
                  <c:v>-36276.213499999925</c:v>
                </c:pt>
                <c:pt idx="2">
                  <c:v>330.7373250000237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7-4D8C-82D3-80FEC857B4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6099279"/>
        <c:axId val="615076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'Trend of Revenue '!$A$9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'Trend of Revenue '!$A$10:$A$12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867-4D8C-82D3-80FEC857B4B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'Trend of Revenue '!$B$9</c15:sqref>
                        </c15:formulaRef>
                      </c:ext>
                    </c:extLst>
                    <c:strCache>
                      <c:ptCount val="1"/>
                      <c:pt idx="0">
                        <c:v>Performance %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'Trend of Revenue '!$B$10:$B$12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1</c:v>
                      </c:pt>
                      <c:pt idx="1">
                        <c:v>-0.19483167813716884</c:v>
                      </c:pt>
                      <c:pt idx="2">
                        <c:v>1.6917318759447323E-3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867-4D8C-82D3-80FEC857B4BD}"/>
                  </c:ext>
                </c:extLst>
              </c15:ser>
            </c15:filteredBarSeries>
          </c:ext>
        </c:extLst>
      </c:barChart>
      <c:catAx>
        <c:axId val="115609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335411198600178"/>
              <c:y val="0.93082010707648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7679"/>
        <c:crosses val="autoZero"/>
        <c:auto val="1"/>
        <c:lblAlgn val="ctr"/>
        <c:lblOffset val="100"/>
        <c:noMultiLvlLbl val="0"/>
      </c:catAx>
      <c:valAx>
        <c:axId val="61507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crossAx val="115609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'Trend of Revenue '!$B$3:$B$5</c:f>
              <c:numCache>
                <c:formatCode>"$"#,##0.00</c:formatCode>
                <c:ptCount val="3"/>
                <c:pt idx="0">
                  <c:v>177326.26999999996</c:v>
                </c:pt>
                <c:pt idx="1">
                  <c:v>149916.37000000002</c:v>
                </c:pt>
                <c:pt idx="2">
                  <c:v>195832.94999999998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C-45F3-B298-9F83452D9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51256623"/>
        <c:axId val="1243696431"/>
      </c:scatterChart>
      <c:valAx>
        <c:axId val="165125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96431"/>
        <c:crosses val="autoZero"/>
        <c:crossBetween val="midCat"/>
      </c:valAx>
      <c:valAx>
        <c:axId val="1243696431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65125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'Trend of Revenue '!$I$7</c:f>
              <c:strCache>
                <c:ptCount val="1"/>
                <c:pt idx="0">
                  <c:v>Current Revenue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bg2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6FB-4301-949F-58393C13CE10}"/>
              </c:ext>
            </c:extLst>
          </c:dPt>
          <c:dLbls>
            <c:dLbl>
              <c:idx val="2"/>
              <c:layout>
                <c:manualLayout>
                  <c:x val="-6.3518522860062418E-2"/>
                  <c:y val="0.105437614846939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FB-4301-949F-58393C13CE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'Trend of Revenue '!$I$8:$I$11</c:f>
              <c:numCache>
                <c:formatCode>"$"#,##0.00</c:formatCode>
                <c:ptCount val="4"/>
                <c:pt idx="0">
                  <c:v>177326.26999999996</c:v>
                </c:pt>
                <c:pt idx="1">
                  <c:v>149916.37000000002</c:v>
                </c:pt>
                <c:pt idx="2">
                  <c:v>195832.94999999998</c:v>
                </c:pt>
                <c:pt idx="3">
                  <c:v>54529.27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B-4301-949F-58393C13CE10}"/>
            </c:ext>
          </c:extLst>
        </c:ser>
        <c:ser>
          <c:idx val="1"/>
          <c:order val="1"/>
          <c:tx>
            <c:strRef>
              <c:f>'Trend of Revenue '!$J$7</c:f>
              <c:strCache>
                <c:ptCount val="1"/>
                <c:pt idx="0">
                  <c:v>Projected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5671301468492644E-2"/>
                  <c:y val="-6.6078402740204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FB-4301-949F-58393C13CE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'Trend of Revenue '!$J$8:$J$11</c:f>
              <c:numCache>
                <c:formatCode>"$"#,##0.00</c:formatCode>
                <c:ptCount val="4"/>
                <c:pt idx="0">
                  <c:v>177326.26999999996</c:v>
                </c:pt>
                <c:pt idx="1">
                  <c:v>186192.58349999995</c:v>
                </c:pt>
                <c:pt idx="2">
                  <c:v>195502.21267499996</c:v>
                </c:pt>
                <c:pt idx="3">
                  <c:v>205277.32330874997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B-4301-949F-58393C13CE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4767039"/>
        <c:axId val="1155971727"/>
      </c:lineChart>
      <c:catAx>
        <c:axId val="1254767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71727"/>
        <c:crosses val="autoZero"/>
        <c:auto val="1"/>
        <c:lblAlgn val="ctr"/>
        <c:lblOffset val="100"/>
        <c:noMultiLvlLbl val="0"/>
      </c:catAx>
      <c:valAx>
        <c:axId val="1155971727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25476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12-4CA2-BAF8-A1F55979875B}"/>
              </c:ext>
            </c:extLst>
          </c:dPt>
          <c:dLbls>
            <c:dLbl>
              <c:idx val="0"/>
              <c:layout>
                <c:manualLayout>
                  <c:x val="-4.1664479440069995E-3"/>
                  <c:y val="-0.3032411052785068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62C289A-1484-4047-A6EF-E0AF796A09F0}" type="VALUE">
                      <a:rPr lang="en-US" sz="4800" b="1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77777777777779"/>
                      <c:h val="0.421227034120734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812-4CA2-BAF8-A1F5597987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'Trend of Revenue '!$C$27</c:f>
              <c:numCache>
                <c:formatCode>0</c:formatCode>
                <c:ptCount val="1"/>
                <c:pt idx="0">
                  <c:v>601.56475392884226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2-4CA2-BAF8-A1F5597987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21-4E0E-A915-1BACE0849815}"/>
              </c:ext>
            </c:extLst>
          </c:dPt>
          <c:dLbls>
            <c:dLbl>
              <c:idx val="0"/>
              <c:layout>
                <c:manualLayout>
                  <c:x val="8.2796447672807486E-3"/>
                  <c:y val="-0.2077583670392280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585A9F-E543-405C-8C5A-1E490DFF6483}" type="VALUE">
                      <a:rPr lang="en-US" sz="1800" b="1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766062668183842"/>
                      <c:h val="0.5415975712772894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E21-4E0E-A915-1BACE0849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'Trend of Revenue '!$B$11:$B$12</c15:sqref>
                  </c15:fullRef>
                </c:ext>
              </c:extLst>
              <c:f>'Trend of Revenue '!$B$12</c:f>
              <c:numCache>
                <c:formatCode>0.00%</c:formatCode>
                <c:ptCount val="1"/>
                <c:pt idx="0">
                  <c:v>1.6917318759447323E-3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E21-4E0E-A915-1BACE0849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ANALYSIS.xlsx]Tranportation and Location!PivotTable29</c:name>
    <c:fmtId val="0"/>
  </c:pivotSource>
  <c:chart>
    <c:autoTitleDeleted val="1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'Tranportation and Location'!$H$4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C9-4886-9F21-8D0C6CDC3E8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C9-4886-9F21-8D0C6CDC3E8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C9-4886-9F21-8D0C6CDC3E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'Tranportation and Location'!$G$5:$G$10</c:f>
              <c:strCache>
                <c:ptCount val="5"/>
                <c:pt idx="0">
                  <c:v>Bangalore</c:v>
                </c:pt>
                <c:pt idx="1">
                  <c:v>Chennai</c:v>
                </c:pt>
                <c:pt idx="2">
                  <c:v>Mumbai</c:v>
                </c:pt>
                <c:pt idx="3">
                  <c:v>Delhi</c:v>
                </c:pt>
                <c:pt idx="4">
                  <c:v>Kolkata</c:v>
                </c:pt>
              </c:strCache>
            </c:strRef>
          </c:cat>
          <c:val>
            <c:numRef>
              <c:f>'Tranportation and Location'!$H$5:$H$10</c:f>
              <c:numCache>
                <c:formatCode>_(* #,##0_);_(* \(#,##0\);_(* "-"??_);_(@_)</c:formatCode>
                <c:ptCount val="5"/>
                <c:pt idx="0">
                  <c:v>5420</c:v>
                </c:pt>
                <c:pt idx="1">
                  <c:v>8768</c:v>
                </c:pt>
                <c:pt idx="2">
                  <c:v>9426</c:v>
                </c:pt>
                <c:pt idx="3">
                  <c:v>9715</c:v>
                </c:pt>
                <c:pt idx="4">
                  <c:v>12770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9-4886-9F21-8D0C6CDC3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32246847"/>
        <c:axId val="1909992479"/>
      </c:barChart>
      <c:catAx>
        <c:axId val="143224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92479"/>
        <c:crosses val="autoZero"/>
        <c:auto val="1"/>
        <c:lblAlgn val="ctr"/>
        <c:lblOffset val="100"/>
        <c:noMultiLvlLbl val="0"/>
      </c:catAx>
      <c:valAx>
        <c:axId val="19099924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43224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</c:pivotFmt>
      <c:pivotFmt>
        <c:idx val="2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</c:pivotFmt>
      <c:pivotFmt>
        <c:idx val="4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</c:pivotFmt>
      <c:pivotFmt>
        <c:idx val="5"/>
        <c:spPr>
          <a:solidFill>
            <a:schemeClr val="tx2">
              <a:lumMod val="25000"/>
              <a:lumOff val="75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</c:pivotFmt>
      <c:pivotFmt>
        <c:idx val="7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</c:pivotFmt>
      <c:pivotFmt>
        <c:idx val="8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</c:pivotFmt>
      <c:pivotFmt>
        <c:idx val="9"/>
        <c:spPr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</c:pivotFmt>
      <c:pivotFmt>
        <c:idx val="10"/>
        <c:spPr>
          <a:solidFill>
            <a:schemeClr val="tx2">
              <a:lumMod val="25000"/>
              <a:lumOff val="75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</c:pivotFmt>
      <c:pivotFmt>
        <c:idx val="14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tx2">
                  <a:lumMod val="25000"/>
                  <a:lumOff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2">
                    <a:lumMod val="25000"/>
                    <a:lumOff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9C-44A5-A1E0-B8F6AA9BE1A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2">
                    <a:lumMod val="25000"/>
                    <a:lumOff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9C-44A5-A1E0-B8F6AA9BE1A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2">
                    <a:lumMod val="25000"/>
                    <a:lumOff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9C-44A5-A1E0-B8F6AA9BE1A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2">
                    <a:lumMod val="25000"/>
                    <a:lumOff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9C-44A5-A1E0-B8F6AA9BE1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1-10 Cosmetics</c:v>
              </c:pt>
              <c:pt idx="1">
                <c:v>1-10 Skincare</c:v>
              </c:pt>
              <c:pt idx="2">
                <c:v>1-10 Haircare</c:v>
              </c:pt>
              <c:pt idx="3">
                <c:v>11-20 Skincare</c:v>
              </c:pt>
              <c:pt idx="4">
                <c:v>11-20 Cosmetics</c:v>
              </c:pt>
              <c:pt idx="5">
                <c:v>11-20 Haircare</c:v>
              </c:pt>
              <c:pt idx="6">
                <c:v>21-30 Skincare</c:v>
              </c:pt>
              <c:pt idx="7">
                <c:v>21-30 Haircare</c:v>
              </c:pt>
              <c:pt idx="8">
                <c:v>21-30 Cosmetics</c:v>
              </c:pt>
            </c:strLit>
          </c:cat>
          <c:val>
            <c:numLit>
              <c:formatCode>General</c:formatCode>
              <c:ptCount val="9"/>
              <c:pt idx="0">
                <c:v>612</c:v>
              </c:pt>
              <c:pt idx="1">
                <c:v>600</c:v>
              </c:pt>
              <c:pt idx="2">
                <c:v>328</c:v>
              </c:pt>
              <c:pt idx="3">
                <c:v>561</c:v>
              </c:pt>
              <c:pt idx="4">
                <c:v>428</c:v>
              </c:pt>
              <c:pt idx="5">
                <c:v>313</c:v>
              </c:pt>
              <c:pt idx="6">
                <c:v>938</c:v>
              </c:pt>
              <c:pt idx="7">
                <c:v>839</c:v>
              </c:pt>
              <c:pt idx="8">
                <c:v>303</c:v>
              </c:pt>
            </c:numLit>
          </c:val>
          <c:extLst>
            <c:ext xmlns:c16="http://schemas.microsoft.com/office/drawing/2014/chart" uri="{C3380CC4-5D6E-409C-BE32-E72D297353CC}">
              <c16:uniqueId val="{00000008-D39C-44A5-A1E0-B8F6AA9BE1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5612831"/>
        <c:axId val="214687871"/>
      </c:barChart>
      <c:catAx>
        <c:axId val="115612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Lead</a:t>
                </a:r>
                <a:r>
                  <a:rPr lang="en-US" baseline="0"/>
                  <a:t> Time Range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400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7871"/>
        <c:crosses val="autoZero"/>
        <c:auto val="1"/>
        <c:lblAlgn val="ctr"/>
        <c:lblOffset val="100"/>
        <c:noMultiLvlLbl val="0"/>
      </c:catAx>
      <c:valAx>
        <c:axId val="214687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61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bg1"/>
      </a:solidFill>
      <a:round/>
    </a:ln>
    <a:effectLst>
      <a:outerShdw blurRad="50800" dist="50800" dir="5400000" algn="ctr" rotWithShape="0">
        <a:schemeClr val="bg2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ANALYSIS.xlsx]Tranportation and Location!PivotTable28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'Tranportation and Location'!$B$2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EE-4AB2-8BBF-255D5A15FC1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EE-4AB2-8BBF-255D5A15FC1A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74-447B-A91C-5DFBC90E36E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74-447B-A91C-5DFBC90E36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'Tranportation and Location'!$A$3:$A$7</c:f>
              <c:strCache>
                <c:ptCount val="4"/>
                <c:pt idx="0">
                  <c:v>Sea</c:v>
                </c:pt>
                <c:pt idx="1">
                  <c:v>Air</c:v>
                </c:pt>
                <c:pt idx="2">
                  <c:v>Road</c:v>
                </c:pt>
                <c:pt idx="3">
                  <c:v>Rail</c:v>
                </c:pt>
              </c:strCache>
            </c:strRef>
          </c:cat>
          <c:val>
            <c:numRef>
              <c:f>'Tranportation and Location'!$B$3:$B$7</c:f>
              <c:numCache>
                <c:formatCode>_(* #,##0_);_(* \(#,##0\);_(* "-"??_);_(@_)</c:formatCode>
                <c:ptCount val="4"/>
                <c:pt idx="0">
                  <c:v>8604</c:v>
                </c:pt>
                <c:pt idx="1">
                  <c:v>10882</c:v>
                </c:pt>
                <c:pt idx="2">
                  <c:v>13120</c:v>
                </c:pt>
                <c:pt idx="3">
                  <c:v>13493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E-4AB2-8BBF-255D5A15FC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31089087"/>
        <c:axId val="1644229199"/>
      </c:barChart>
      <c:catAx>
        <c:axId val="143108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29199"/>
        <c:crosses val="autoZero"/>
        <c:auto val="1"/>
        <c:lblAlgn val="ctr"/>
        <c:lblOffset val="100"/>
        <c:noMultiLvlLbl val="0"/>
      </c:catAx>
      <c:valAx>
        <c:axId val="164422919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43108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DB-4847-B887-BE256954431F}"/>
              </c:ext>
            </c:extLst>
          </c:dPt>
          <c:dLbls>
            <c:dLbl>
              <c:idx val="0"/>
              <c:layout>
                <c:manualLayout>
                  <c:x val="-4.1665671091967752E-3"/>
                  <c:y val="-0.2694624818370083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F50578-9184-4793-9A3E-8A9CFE7C80AF}" type="VALUE">
                      <a:rPr lang="en-US" sz="3200" b="1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02353979348804"/>
                      <c:h val="0.467997739625663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CDB-4847-B887-BE2569544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'Trend of Revenue '!$C$27</c:f>
              <c:numCache>
                <c:formatCode>0</c:formatCode>
                <c:ptCount val="1"/>
                <c:pt idx="0">
                  <c:v>601.56475392884226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B-4847-B887-BE25695443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bg1"/>
      </a:solidFill>
      <a:round/>
    </a:ln>
    <a:effectLst>
      <a:outerShdw blurRad="50800" dist="50800" dir="60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tx2">
                <a:lumMod val="50000"/>
                <a:lumOff val="5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2E-4C6B-83D7-984538163522}"/>
              </c:ext>
            </c:extLst>
          </c:dPt>
          <c:dLbls>
            <c:dLbl>
              <c:idx val="0"/>
              <c:layout>
                <c:manualLayout>
                  <c:x val="1.3890239028762751E-3"/>
                  <c:y val="-0.285700641586468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9F1E9D3-B838-4ECE-B308-5B895E70B9D3}" type="VALUE">
                      <a:rPr lang="en-US" sz="1600" b="1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641586468358123"/>
                      <c:h val="0.4272885680956546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52E-4C6B-83D7-9845381635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'Important values '!$F$17:$F$18</c15:sqref>
                  </c15:fullRef>
                </c:ext>
              </c:extLst>
              <c:f>'Important values '!$F$17</c:f>
              <c:numCache>
                <c:formatCode>General</c:formatCode>
                <c:ptCount val="1"/>
                <c:pt idx="0">
                  <c:v>580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752E-4C6B-83D7-9845381635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tx2">
                <a:lumMod val="50000"/>
                <a:lumOff val="5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4F-45A1-A1D7-B441D3685059}"/>
              </c:ext>
            </c:extLst>
          </c:dPt>
          <c:dLbls>
            <c:dLbl>
              <c:idx val="0"/>
              <c:layout>
                <c:manualLayout>
                  <c:x val="0"/>
                  <c:y val="-0.263888888888888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C144ED2-42D1-4078-89E8-77DEA30F1556}" type="VALUE">
                      <a:rPr lang="en-US" sz="1600" b="1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074074074074073"/>
                      <c:h val="0.4720836978710994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A4F-45A1-A1D7-B441D36850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'Important values '!$F$17:$F$18</c15:sqref>
                  </c15:fullRef>
                </c:ext>
              </c:extLst>
              <c:f>'Important values '!$F$18</c:f>
              <c:numCache>
                <c:formatCode>General</c:formatCode>
                <c:ptCount val="1"/>
                <c:pt idx="0">
                  <c:v>471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'Important values '!$F$17</c15:sqref>
                  <c15:spPr xmlns:c15="http://schemas.microsoft.com/office/drawing/2012/chart">
                    <a:solidFill>
                      <a:schemeClr val="tx2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  <c15:dLbl>
                    <c:idx val="-1"/>
                    <c:layout>
                      <c:manualLayout>
                        <c:x val="-5.4696866595379907E-3"/>
                        <c:y val="-0.248663649646887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E9F1E9D3-B838-4ECE-B308-5B895E70B9D3}" type="VALUE">
                            <a:rPr lang="en-US" sz="1200" b="1"/>
                            <a:pPr>
                              <a:defRPr/>
                            </a:pPr>
                            <a:t>[VALUE]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2411133793461002"/>
                            <c:h val="0.29765876559244525"/>
                          </c:manualLayout>
                        </c15:layout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9F7F-4D0D-8489-D8EEEAE5205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4A4F-45A1-A1D7-B441D36850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'Trend of Revenue '!$B$3:$B$5</c:f>
              <c:numCache>
                <c:formatCode>"$"#,##0.00</c:formatCode>
                <c:ptCount val="3"/>
                <c:pt idx="0">
                  <c:v>177326.26999999996</c:v>
                </c:pt>
                <c:pt idx="1">
                  <c:v>149916.37000000002</c:v>
                </c:pt>
                <c:pt idx="2">
                  <c:v>195832.94999999998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E-440A-B65C-1706B9DC89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51256623"/>
        <c:axId val="1243696431"/>
      </c:scatterChart>
      <c:valAx>
        <c:axId val="165125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96431"/>
        <c:crosses val="autoZero"/>
        <c:crossBetween val="midCat"/>
      </c:valAx>
      <c:valAx>
        <c:axId val="1243696431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65125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bg1"/>
      </a:solidFill>
      <a:round/>
    </a:ln>
    <a:effectLst>
      <a:outerShdw blurRad="50800" dist="50800" dir="5400000" algn="ctr" rotWithShape="0">
        <a:schemeClr val="bg2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E9-4FE7-8EE7-073064629627}"/>
              </c:ext>
            </c:extLst>
          </c:dPt>
          <c:dLbls>
            <c:dLbl>
              <c:idx val="0"/>
              <c:layout>
                <c:manualLayout>
                  <c:x val="8.2796447672807486E-3"/>
                  <c:y val="-0.2077583670392280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585A9F-E543-405C-8C5A-1E490DFF6483}" type="VALUE">
                      <a:rPr lang="en-US" sz="1800" b="1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766062668183842"/>
                      <c:h val="0.5415975712772894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7E9-4FE7-8EE7-0730646296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'Trend of Revenue '!$B$11:$B$12</c15:sqref>
                  </c15:fullRef>
                </c:ext>
              </c:extLst>
              <c:f>'Trend of Revenue '!$B$12</c:f>
              <c:numCache>
                <c:formatCode>0.00%</c:formatCode>
                <c:ptCount val="1"/>
                <c:pt idx="0">
                  <c:v>1.6917318759447323E-3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57E9-4FE7-8EE7-07306462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>
      <a:outerShdw blurRad="50800" dist="50800" dir="5400000" algn="ctr" rotWithShape="0">
        <a:schemeClr val="bg2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9B-4551-B898-96581B436BD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9B-4551-B898-96581B436BD4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9B-4551-B898-96581B436BD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9B-4551-B898-96581B436BD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9B-4551-B898-96581B436B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Bangalore</c:v>
              </c:pt>
              <c:pt idx="1">
                <c:v>Chennai</c:v>
              </c:pt>
              <c:pt idx="2">
                <c:v>Mumbai</c:v>
              </c:pt>
              <c:pt idx="3">
                <c:v>Delhi</c:v>
              </c:pt>
              <c:pt idx="4">
                <c:v>Kolkata</c:v>
              </c:pt>
            </c:strLit>
          </c:cat>
          <c:val>
            <c:numLit>
              <c:formatCode>General</c:formatCode>
              <c:ptCount val="5"/>
              <c:pt idx="0">
                <c:v>5420</c:v>
              </c:pt>
              <c:pt idx="1">
                <c:v>8768</c:v>
              </c:pt>
              <c:pt idx="2">
                <c:v>9426</c:v>
              </c:pt>
              <c:pt idx="3">
                <c:v>9715</c:v>
              </c:pt>
              <c:pt idx="4">
                <c:v>12770</c:v>
              </c:pt>
            </c:numLit>
          </c:val>
          <c:extLst>
            <c:ext xmlns:c16="http://schemas.microsoft.com/office/drawing/2014/chart" uri="{C3380CC4-5D6E-409C-BE32-E72D297353CC}">
              <c16:uniqueId val="{0000000A-C89B-4551-B898-96581B436B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32246847"/>
        <c:axId val="1909992479"/>
      </c:barChart>
      <c:catAx>
        <c:axId val="143224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92479"/>
        <c:crosses val="autoZero"/>
        <c:auto val="1"/>
        <c:lblAlgn val="ctr"/>
        <c:lblOffset val="100"/>
        <c:noMultiLvlLbl val="0"/>
      </c:catAx>
      <c:valAx>
        <c:axId val="1909992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2246847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bg1"/>
      </a:solidFill>
      <a:round/>
    </a:ln>
    <a:effectLst>
      <a:outerShdw blurRad="50800" dist="50800" dir="5400000" algn="ctr" rotWithShape="0">
        <a:schemeClr val="bg2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'Trend of Revenue '!$I$7</c:f>
              <c:strCache>
                <c:ptCount val="1"/>
                <c:pt idx="0">
                  <c:v>Current Revenue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bg2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F4-4EB2-8DBA-7B4F4C767EF8}"/>
              </c:ext>
            </c:extLst>
          </c:dPt>
          <c:dLbls>
            <c:dLbl>
              <c:idx val="2"/>
              <c:layout>
                <c:manualLayout>
                  <c:x val="-6.3518522860062418E-2"/>
                  <c:y val="0.105437614846939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F4-4EB2-8DBA-7B4F4C767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'Trend of Revenue '!$I$8:$I$11</c:f>
              <c:numCache>
                <c:formatCode>"$"#,##0.00</c:formatCode>
                <c:ptCount val="4"/>
                <c:pt idx="0">
                  <c:v>177326.26999999996</c:v>
                </c:pt>
                <c:pt idx="1">
                  <c:v>149916.37000000002</c:v>
                </c:pt>
                <c:pt idx="2">
                  <c:v>195832.94999999998</c:v>
                </c:pt>
                <c:pt idx="3">
                  <c:v>54529.27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4-4EB2-8DBA-7B4F4C767EF8}"/>
            </c:ext>
          </c:extLst>
        </c:ser>
        <c:ser>
          <c:idx val="1"/>
          <c:order val="1"/>
          <c:tx>
            <c:strRef>
              <c:f>'Trend of Revenue '!$J$7</c:f>
              <c:strCache>
                <c:ptCount val="1"/>
                <c:pt idx="0">
                  <c:v>Projected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5671301468492644E-2"/>
                  <c:y val="-6.6078402740204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F4-4EB2-8DBA-7B4F4C767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'Trend of Revenue '!$J$8:$J$11</c:f>
              <c:numCache>
                <c:formatCode>"$"#,##0.00</c:formatCode>
                <c:ptCount val="4"/>
                <c:pt idx="0">
                  <c:v>177326.26999999996</c:v>
                </c:pt>
                <c:pt idx="1">
                  <c:v>186192.58349999995</c:v>
                </c:pt>
                <c:pt idx="2">
                  <c:v>195502.21267499996</c:v>
                </c:pt>
                <c:pt idx="3">
                  <c:v>205277.32330874997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F4-4EB2-8DBA-7B4F4C767E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4767039"/>
        <c:axId val="1155971727"/>
      </c:lineChart>
      <c:catAx>
        <c:axId val="1254767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71727"/>
        <c:crosses val="autoZero"/>
        <c:auto val="1"/>
        <c:lblAlgn val="ctr"/>
        <c:lblOffset val="100"/>
        <c:noMultiLvlLbl val="0"/>
      </c:catAx>
      <c:valAx>
        <c:axId val="1155971727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25476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bg1"/>
      </a:solidFill>
      <a:round/>
    </a:ln>
    <a:effectLst>
      <a:outerShdw blurRad="50800" dist="50800" dir="5400000" algn="ctr" rotWithShape="0">
        <a:schemeClr val="bg2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image" Target="../media/image4.svg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482599</xdr:colOff>
      <xdr:row>5</xdr:row>
      <xdr:rowOff>88900</xdr:rowOff>
    </xdr:from>
    <xdr:to>
      <xdr:col>4</xdr:col>
      <xdr:colOff>435428</xdr:colOff>
      <xdr:row>10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E9C7A12-B235-4A32-9AEA-F4439BFE609F}"/>
            </a:ext>
          </a:extLst>
        </xdr:cNvPr>
        <xdr:cNvSpPr/>
      </xdr:nvSpPr>
      <xdr:spPr>
        <a:xfrm>
          <a:off x="482599" y="1003300"/>
          <a:ext cx="2391229" cy="987425"/>
        </a:xfrm>
        <a:prstGeom prst="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0"/>
            <a:t>Total Days </a:t>
          </a:r>
          <a:r>
            <a:rPr lang="en-US" sz="1600" b="0" baseline="0"/>
            <a:t> </a:t>
          </a:r>
        </a:p>
        <a:p>
          <a:pPr algn="ctr"/>
          <a:r>
            <a:rPr lang="en-US" sz="2400" b="0" baseline="0"/>
            <a:t>98 </a:t>
          </a:r>
        </a:p>
        <a:p>
          <a:pPr algn="ctr"/>
          <a:r>
            <a:rPr lang="en-US" sz="1600" b="0" baseline="0"/>
            <a:t>1/1/2022 - 4/10/2022</a:t>
          </a:r>
          <a:endParaRPr lang="en-US" sz="1600" b="0"/>
        </a:p>
      </xdr:txBody>
    </xdr:sp>
    <xdr:clientData/>
  </xdr:twoCellAnchor>
  <xdr:oneCellAnchor>
    <xdr:from>
      <xdr:col>0</xdr:col>
      <xdr:colOff>502920</xdr:colOff>
      <xdr:row>5</xdr:row>
      <xdr:rowOff>123826</xdr:rowOff>
    </xdr:from>
    <xdr:ext cx="497205" cy="473075"/>
    <xdr:pic>
      <xdr:nvPicPr>
        <xdr:cNvPr id="3" name="Graphic 2" descr="Daily calendar outline">
          <a:extLst>
            <a:ext uri="{FF2B5EF4-FFF2-40B4-BE49-F238E27FC236}">
              <a16:creationId xmlns:a16="http://schemas.microsoft.com/office/drawing/2014/main" id="{35D14B5F-1591-4AC4-A18D-D0D5D9B19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2920" y="1038226"/>
          <a:ext cx="497205" cy="473075"/>
        </a:xfrm>
        <a:prstGeom prst="rect">
          <a:avLst/>
        </a:prstGeom>
      </xdr:spPr>
    </xdr:pic>
    <xdr:clientData/>
  </xdr:oneCellAnchor>
  <xdr:twoCellAnchor>
    <xdr:from>
      <xdr:col>5</xdr:col>
      <xdr:colOff>119743</xdr:colOff>
      <xdr:row>5</xdr:row>
      <xdr:rowOff>98425</xdr:rowOff>
    </xdr:from>
    <xdr:to>
      <xdr:col>9</xdr:col>
      <xdr:colOff>97970</xdr:colOff>
      <xdr:row>10</xdr:row>
      <xdr:rowOff>161925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C53023A-C226-4B67-B7A7-A1F286079E5A}"/>
            </a:ext>
          </a:extLst>
        </xdr:cNvPr>
        <xdr:cNvSpPr/>
      </xdr:nvSpPr>
      <xdr:spPr>
        <a:xfrm>
          <a:off x="3167743" y="1012825"/>
          <a:ext cx="2416627" cy="977900"/>
        </a:xfrm>
        <a:prstGeom prst="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600"/>
            <a:t>        </a:t>
          </a:r>
        </a:p>
        <a:p>
          <a:pPr algn="r"/>
          <a:r>
            <a:rPr lang="en-US" sz="1600"/>
            <a:t>Revenue Generated</a:t>
          </a:r>
          <a:r>
            <a:rPr lang="en-US" sz="1600" baseline="0"/>
            <a:t> </a:t>
          </a:r>
        </a:p>
        <a:p>
          <a:pPr algn="r"/>
          <a:r>
            <a:rPr lang="en-US" sz="2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$577,604.86</a:t>
          </a:r>
          <a:r>
            <a:rPr lang="en-US" sz="2400" b="0"/>
            <a:t> </a:t>
          </a:r>
        </a:p>
      </xdr:txBody>
    </xdr:sp>
    <xdr:clientData/>
  </xdr:twoCellAnchor>
  <xdr:oneCellAnchor>
    <xdr:from>
      <xdr:col>5</xdr:col>
      <xdr:colOff>283935</xdr:colOff>
      <xdr:row>5</xdr:row>
      <xdr:rowOff>131717</xdr:rowOff>
    </xdr:from>
    <xdr:ext cx="466724" cy="452483"/>
    <xdr:pic>
      <xdr:nvPicPr>
        <xdr:cNvPr id="5" name="Graphic 4" descr="Money outline">
          <a:extLst>
            <a:ext uri="{FF2B5EF4-FFF2-40B4-BE49-F238E27FC236}">
              <a16:creationId xmlns:a16="http://schemas.microsoft.com/office/drawing/2014/main" id="{D98A50B1-A330-4FF6-9DD7-1DA81E1E0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331935" y="1046117"/>
          <a:ext cx="466724" cy="452483"/>
        </a:xfrm>
        <a:prstGeom prst="rect">
          <a:avLst/>
        </a:prstGeom>
      </xdr:spPr>
    </xdr:pic>
    <xdr:clientData/>
  </xdr:oneCellAnchor>
  <xdr:twoCellAnchor>
    <xdr:from>
      <xdr:col>9</xdr:col>
      <xdr:colOff>315686</xdr:colOff>
      <xdr:row>5</xdr:row>
      <xdr:rowOff>95251</xdr:rowOff>
    </xdr:from>
    <xdr:to>
      <xdr:col>13</xdr:col>
      <xdr:colOff>119742</xdr:colOff>
      <xdr:row>10</xdr:row>
      <xdr:rowOff>161926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2AA3CB5-9351-4C37-87E7-BAB3C8F92651}"/>
            </a:ext>
          </a:extLst>
        </xdr:cNvPr>
        <xdr:cNvSpPr/>
      </xdr:nvSpPr>
      <xdr:spPr>
        <a:xfrm>
          <a:off x="5802086" y="1009651"/>
          <a:ext cx="2242456" cy="981075"/>
        </a:xfrm>
        <a:prstGeom prst="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 </a:t>
          </a:r>
        </a:p>
        <a:p>
          <a:pPr algn="ctr"/>
          <a:r>
            <a:rPr lang="en-US" sz="1600"/>
            <a:t>Products</a:t>
          </a:r>
          <a:r>
            <a:rPr lang="en-US" sz="1600" baseline="0"/>
            <a:t> Sold </a:t>
          </a:r>
        </a:p>
        <a:p>
          <a:pPr algn="ctr"/>
          <a:r>
            <a:rPr lang="en-US" sz="2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46,099 </a:t>
          </a:r>
          <a:endParaRPr lang="en-US" sz="2400" b="0"/>
        </a:p>
      </xdr:txBody>
    </xdr:sp>
    <xdr:clientData/>
  </xdr:twoCellAnchor>
  <xdr:twoCellAnchor>
    <xdr:from>
      <xdr:col>13</xdr:col>
      <xdr:colOff>272143</xdr:colOff>
      <xdr:row>5</xdr:row>
      <xdr:rowOff>95250</xdr:rowOff>
    </xdr:from>
    <xdr:to>
      <xdr:col>17</xdr:col>
      <xdr:colOff>293914</xdr:colOff>
      <xdr:row>10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34F87E8-5E5D-483E-B7AF-A9FCEA778C8A}"/>
            </a:ext>
          </a:extLst>
        </xdr:cNvPr>
        <xdr:cNvSpPr/>
      </xdr:nvSpPr>
      <xdr:spPr>
        <a:xfrm>
          <a:off x="8196943" y="1009650"/>
          <a:ext cx="2460171" cy="981075"/>
        </a:xfrm>
        <a:prstGeom prst="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1600"/>
        </a:p>
        <a:p>
          <a:pPr algn="ctr"/>
          <a:r>
            <a:rPr lang="en-US" sz="1600"/>
            <a:t>Production Volumes</a:t>
          </a:r>
        </a:p>
        <a:p>
          <a:pPr algn="ctr"/>
          <a:r>
            <a:rPr lang="en-US" sz="2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56,784 </a:t>
          </a:r>
          <a:endParaRPr lang="en-US" sz="2400" b="0"/>
        </a:p>
      </xdr:txBody>
    </xdr:sp>
    <xdr:clientData/>
  </xdr:twoCellAnchor>
  <xdr:twoCellAnchor>
    <xdr:from>
      <xdr:col>22</xdr:col>
      <xdr:colOff>15240</xdr:colOff>
      <xdr:row>34</xdr:row>
      <xdr:rowOff>121920</xdr:rowOff>
    </xdr:from>
    <xdr:to>
      <xdr:col>31</xdr:col>
      <xdr:colOff>289560</xdr:colOff>
      <xdr:row>48</xdr:row>
      <xdr:rowOff>126999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D9C4AF-FBC5-4EA6-8B38-01253D59F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598714</xdr:colOff>
      <xdr:row>5</xdr:row>
      <xdr:rowOff>85725</xdr:rowOff>
    </xdr:from>
    <xdr:to>
      <xdr:col>22</xdr:col>
      <xdr:colOff>381000</xdr:colOff>
      <xdr:row>10</xdr:row>
      <xdr:rowOff>161925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DAA0A57-39D4-46E8-960A-0954F7BB6512}"/>
            </a:ext>
          </a:extLst>
        </xdr:cNvPr>
        <xdr:cNvSpPr/>
      </xdr:nvSpPr>
      <xdr:spPr>
        <a:xfrm>
          <a:off x="10961914" y="1000125"/>
          <a:ext cx="2830286" cy="990600"/>
        </a:xfrm>
        <a:prstGeom prst="rect">
          <a:avLst/>
        </a:prstGeom>
        <a:ln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1600"/>
        </a:p>
        <a:p>
          <a:pPr algn="ctr"/>
          <a:r>
            <a:rPr lang="en-US" sz="1600"/>
            <a:t>Average</a:t>
          </a:r>
          <a:r>
            <a:rPr lang="en-US" sz="1600" baseline="0"/>
            <a:t> Defect Rate </a:t>
          </a:r>
        </a:p>
        <a:p>
          <a:pPr algn="ctr"/>
          <a:r>
            <a:rPr lang="en-US" sz="2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2.28</a:t>
          </a:r>
          <a:r>
            <a:rPr lang="en-US" sz="2400" b="0"/>
            <a:t> </a:t>
          </a:r>
        </a:p>
      </xdr:txBody>
    </xdr:sp>
    <xdr:clientData/>
  </xdr:twoCellAnchor>
  <xdr:twoCellAnchor>
    <xdr:from>
      <xdr:col>0</xdr:col>
      <xdr:colOff>476249</xdr:colOff>
      <xdr:row>0</xdr:row>
      <xdr:rowOff>101600</xdr:rowOff>
    </xdr:from>
    <xdr:to>
      <xdr:col>31</xdr:col>
      <xdr:colOff>213360</xdr:colOff>
      <xdr:row>5</xdr:row>
      <xdr:rowOff>76200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C6FA8F6-0CFD-482B-B082-877E7D0F8528}"/>
            </a:ext>
          </a:extLst>
        </xdr:cNvPr>
        <xdr:cNvSpPr/>
      </xdr:nvSpPr>
      <xdr:spPr>
        <a:xfrm>
          <a:off x="476249" y="101600"/>
          <a:ext cx="18634711" cy="889000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4000">
              <a:solidFill>
                <a:schemeClr val="tx2">
                  <a:lumMod val="75000"/>
                  <a:lumOff val="25000"/>
                </a:schemeClr>
              </a:solidFill>
            </a:rPr>
            <a:t>Supply Chain</a:t>
          </a:r>
          <a:r>
            <a:rPr lang="en-US" sz="4000" baseline="0">
              <a:solidFill>
                <a:schemeClr val="tx2">
                  <a:lumMod val="75000"/>
                  <a:lumOff val="25000"/>
                </a:schemeClr>
              </a:solidFill>
            </a:rPr>
            <a:t> Analysis For Q1 2022 </a:t>
          </a:r>
          <a:endParaRPr lang="en-US" sz="40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oneCellAnchor>
    <xdr:from>
      <xdr:col>23</xdr:col>
      <xdr:colOff>15240</xdr:colOff>
      <xdr:row>5</xdr:row>
      <xdr:rowOff>76200</xdr:rowOff>
    </xdr:from>
    <xdr:ext cx="5036820" cy="1219199"/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Date 1">
              <a:extLst>
                <a:ext uri="{FF2B5EF4-FFF2-40B4-BE49-F238E27FC236}">
                  <a16:creationId xmlns:a16="http://schemas.microsoft.com/office/drawing/2014/main" id="{4950A39C-B5B7-49A3-A4DD-258DD96955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36040" y="1007533"/>
              <a:ext cx="5036820" cy="1219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oneCellAnchor>
  <xdr:twoCellAnchor>
    <xdr:from>
      <xdr:col>22</xdr:col>
      <xdr:colOff>20320</xdr:colOff>
      <xdr:row>28</xdr:row>
      <xdr:rowOff>15240</xdr:rowOff>
    </xdr:from>
    <xdr:to>
      <xdr:col>31</xdr:col>
      <xdr:colOff>320040</xdr:colOff>
      <xdr:row>34</xdr:row>
      <xdr:rowOff>121920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6DB7DE5-5B0A-4E09-A3FB-3907D1654CE8}"/>
            </a:ext>
          </a:extLst>
        </xdr:cNvPr>
        <xdr:cNvSpPr/>
      </xdr:nvSpPr>
      <xdr:spPr>
        <a:xfrm>
          <a:off x="13431520" y="5135880"/>
          <a:ext cx="5786120" cy="1203960"/>
        </a:xfrm>
        <a:prstGeom prst="round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Skincare </a:t>
          </a:r>
          <a:r>
            <a:rPr lang="en-US" sz="1400"/>
            <a:t>Products have the highest</a:t>
          </a:r>
          <a:r>
            <a:rPr lang="en-US" sz="1400" baseline="0"/>
            <a:t> % of actual and forecast demand with cosmetics products registering the least demand for Q1.  </a:t>
          </a:r>
        </a:p>
        <a:p>
          <a:pPr algn="l"/>
          <a:r>
            <a:rPr lang="en-US" sz="1400" baseline="0"/>
            <a:t>Actual demand is represented by products sold for each category, and forecast demand is represented by the quatities of orders for each category.</a:t>
          </a:r>
          <a:endParaRPr lang="en-US" sz="1400"/>
        </a:p>
      </xdr:txBody>
    </xdr:sp>
    <xdr:clientData/>
  </xdr:twoCellAnchor>
  <xdr:twoCellAnchor>
    <xdr:from>
      <xdr:col>10</xdr:col>
      <xdr:colOff>396240</xdr:colOff>
      <xdr:row>51</xdr:row>
      <xdr:rowOff>55880</xdr:rowOff>
    </xdr:from>
    <xdr:to>
      <xdr:col>21</xdr:col>
      <xdr:colOff>167640</xdr:colOff>
      <xdr:row>55</xdr:row>
      <xdr:rowOff>167640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3CB5180-642B-43ED-9FA8-E0C630A3BB52}"/>
            </a:ext>
          </a:extLst>
        </xdr:cNvPr>
        <xdr:cNvSpPr/>
      </xdr:nvSpPr>
      <xdr:spPr>
        <a:xfrm>
          <a:off x="6492240" y="9382760"/>
          <a:ext cx="6477000" cy="843280"/>
        </a:xfrm>
        <a:prstGeom prst="round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Most</a:t>
          </a:r>
          <a:r>
            <a:rPr lang="en-US" sz="1400" baseline="0"/>
            <a:t> demand is avaliable for products with high lead times of 21-30 days with skincare products registering the highest demand. </a:t>
          </a:r>
          <a:endParaRPr lang="en-US" sz="1400"/>
        </a:p>
      </xdr:txBody>
    </xdr:sp>
    <xdr:clientData/>
  </xdr:twoCellAnchor>
  <xdr:twoCellAnchor>
    <xdr:from>
      <xdr:col>10</xdr:col>
      <xdr:colOff>396240</xdr:colOff>
      <xdr:row>55</xdr:row>
      <xdr:rowOff>174170</xdr:rowOff>
    </xdr:from>
    <xdr:to>
      <xdr:col>21</xdr:col>
      <xdr:colOff>152400</xdr:colOff>
      <xdr:row>71</xdr:row>
      <xdr:rowOff>97971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FA86A4-30D9-4CC8-8309-68B7F5BDA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457201</xdr:colOff>
      <xdr:row>17</xdr:row>
      <xdr:rowOff>88900</xdr:rowOff>
    </xdr:from>
    <xdr:to>
      <xdr:col>7</xdr:col>
      <xdr:colOff>269875</xdr:colOff>
      <xdr:row>25</xdr:row>
      <xdr:rowOff>136525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EC87754-A1A5-4EA0-8973-6A5C43312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495300</xdr:colOff>
      <xdr:row>13</xdr:row>
      <xdr:rowOff>101600</xdr:rowOff>
    </xdr:from>
    <xdr:to>
      <xdr:col>8</xdr:col>
      <xdr:colOff>393700</xdr:colOff>
      <xdr:row>17</xdr:row>
      <xdr:rowOff>101600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D6C5D292-4580-48B0-91BD-35BFF24FC15F}"/>
            </a:ext>
          </a:extLst>
        </xdr:cNvPr>
        <xdr:cNvSpPr/>
      </xdr:nvSpPr>
      <xdr:spPr>
        <a:xfrm>
          <a:off x="495300" y="2479040"/>
          <a:ext cx="4775200" cy="731520"/>
        </a:xfrm>
        <a:prstGeom prst="round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Daily</a:t>
          </a:r>
          <a:r>
            <a:rPr lang="en-US" sz="1400" baseline="0"/>
            <a:t> p</a:t>
          </a:r>
          <a:r>
            <a:rPr lang="en-US" sz="1400"/>
            <a:t>roduction</a:t>
          </a:r>
          <a:r>
            <a:rPr lang="en-US" sz="1400" baseline="0"/>
            <a:t> rate for the remaining 20 days of April  to reach the set Revenue target</a:t>
          </a:r>
          <a:endParaRPr lang="en-US" sz="1400"/>
        </a:p>
      </xdr:txBody>
    </xdr:sp>
    <xdr:clientData/>
  </xdr:twoCellAnchor>
  <xdr:twoCellAnchor>
    <xdr:from>
      <xdr:col>0</xdr:col>
      <xdr:colOff>581026</xdr:colOff>
      <xdr:row>24</xdr:row>
      <xdr:rowOff>104775</xdr:rowOff>
    </xdr:from>
    <xdr:to>
      <xdr:col>8</xdr:col>
      <xdr:colOff>346076</xdr:colOff>
      <xdr:row>25</xdr:row>
      <xdr:rowOff>139700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468873DC-C3E5-4BBC-9132-14130171EC27}"/>
            </a:ext>
          </a:extLst>
        </xdr:cNvPr>
        <xdr:cNvSpPr/>
      </xdr:nvSpPr>
      <xdr:spPr>
        <a:xfrm>
          <a:off x="581026" y="4493895"/>
          <a:ext cx="4641850" cy="217805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50800" dir="5400000" algn="ctr" rotWithShape="0">
            <a:schemeClr val="bg2"/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lang="en-US" sz="1600" baseline="0"/>
            <a:t>Units/Day </a:t>
          </a:r>
          <a:endParaRPr lang="en-US" sz="1600"/>
        </a:p>
      </xdr:txBody>
    </xdr:sp>
    <xdr:clientData/>
  </xdr:twoCellAnchor>
  <xdr:twoCellAnchor>
    <xdr:from>
      <xdr:col>12</xdr:col>
      <xdr:colOff>222069</xdr:colOff>
      <xdr:row>17</xdr:row>
      <xdr:rowOff>50800</xdr:rowOff>
    </xdr:from>
    <xdr:to>
      <xdr:col>15</xdr:col>
      <xdr:colOff>82369</xdr:colOff>
      <xdr:row>23</xdr:row>
      <xdr:rowOff>154305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C44A84C-C18E-4435-AF45-C15CF9BBF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112122</xdr:colOff>
      <xdr:row>17</xdr:row>
      <xdr:rowOff>38100</xdr:rowOff>
    </xdr:from>
    <xdr:to>
      <xdr:col>18</xdr:col>
      <xdr:colOff>607422</xdr:colOff>
      <xdr:row>23</xdr:row>
      <xdr:rowOff>93346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9001553-7718-44C1-B69A-2372B8E65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101600</xdr:colOff>
      <xdr:row>13</xdr:row>
      <xdr:rowOff>101600</xdr:rowOff>
    </xdr:from>
    <xdr:to>
      <xdr:col>20</xdr:col>
      <xdr:colOff>106680</xdr:colOff>
      <xdr:row>17</xdr:row>
      <xdr:rowOff>66676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44166945-F116-47CD-9FD3-542A9814F72C}"/>
            </a:ext>
          </a:extLst>
        </xdr:cNvPr>
        <xdr:cNvSpPr/>
      </xdr:nvSpPr>
      <xdr:spPr>
        <a:xfrm>
          <a:off x="6807200" y="2479040"/>
          <a:ext cx="5491480" cy="696596"/>
        </a:xfrm>
        <a:prstGeom prst="round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Current Daily </a:t>
          </a:r>
        </a:p>
        <a:p>
          <a:pPr algn="l"/>
          <a:r>
            <a:rPr lang="en-US" sz="1400"/>
            <a:t>                           production rate</a:t>
          </a:r>
          <a:r>
            <a:rPr lang="en-US" sz="1400" baseline="0"/>
            <a:t>                                             Sales rate</a:t>
          </a:r>
          <a:endParaRPr lang="en-US" sz="1400"/>
        </a:p>
      </xdr:txBody>
    </xdr:sp>
    <xdr:clientData/>
  </xdr:twoCellAnchor>
  <xdr:twoCellAnchor>
    <xdr:from>
      <xdr:col>11</xdr:col>
      <xdr:colOff>114300</xdr:colOff>
      <xdr:row>23</xdr:row>
      <xdr:rowOff>114300</xdr:rowOff>
    </xdr:from>
    <xdr:to>
      <xdr:col>20</xdr:col>
      <xdr:colOff>88900</xdr:colOff>
      <xdr:row>25</xdr:row>
      <xdr:rowOff>133350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067F4E5A-317B-438F-8C2D-2CEAE88BF5D9}"/>
            </a:ext>
          </a:extLst>
        </xdr:cNvPr>
        <xdr:cNvSpPr/>
      </xdr:nvSpPr>
      <xdr:spPr>
        <a:xfrm>
          <a:off x="6819900" y="4320540"/>
          <a:ext cx="5461000" cy="384810"/>
        </a:xfrm>
        <a:prstGeom prst="roundRect">
          <a:avLst/>
        </a:prstGeom>
        <a:ln w="0">
          <a:solidFill>
            <a:schemeClr val="bg1"/>
          </a:solidFill>
        </a:ln>
        <a:effectLst>
          <a:outerShdw blurRad="25400" dist="50800" dir="5400000" algn="ctr" rotWithShape="0">
            <a:schemeClr val="bg2"/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lang="en-US" sz="1600"/>
            <a:t>Units/day</a:t>
          </a:r>
        </a:p>
      </xdr:txBody>
    </xdr:sp>
    <xdr:clientData/>
  </xdr:twoCellAnchor>
  <xdr:twoCellAnchor>
    <xdr:from>
      <xdr:col>0</xdr:col>
      <xdr:colOff>584200</xdr:colOff>
      <xdr:row>32</xdr:row>
      <xdr:rowOff>152400</xdr:rowOff>
    </xdr:from>
    <xdr:to>
      <xdr:col>9</xdr:col>
      <xdr:colOff>406400</xdr:colOff>
      <xdr:row>48</xdr:row>
      <xdr:rowOff>152399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7573D07-9ECF-4EA3-B894-AD9868C1C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584200</xdr:colOff>
      <xdr:row>28</xdr:row>
      <xdr:rowOff>9526</xdr:rowOff>
    </xdr:from>
    <xdr:to>
      <xdr:col>9</xdr:col>
      <xdr:colOff>381000</xdr:colOff>
      <xdr:row>32</xdr:row>
      <xdr:rowOff>130628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4DE86A60-324B-4851-A5B5-12CAF5D648D1}"/>
            </a:ext>
          </a:extLst>
        </xdr:cNvPr>
        <xdr:cNvSpPr/>
      </xdr:nvSpPr>
      <xdr:spPr>
        <a:xfrm>
          <a:off x="584200" y="5130166"/>
          <a:ext cx="5283200" cy="852622"/>
        </a:xfrm>
        <a:prstGeom prst="round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Revenue trend</a:t>
          </a:r>
          <a:r>
            <a:rPr lang="en-US" sz="1400" baseline="0"/>
            <a:t> for January, February, and March</a:t>
          </a:r>
        </a:p>
        <a:p>
          <a:pPr algn="l"/>
          <a:r>
            <a:rPr lang="en-US" sz="1400" b="1" baseline="0"/>
            <a:t>February </a:t>
          </a:r>
          <a:r>
            <a:rPr lang="en-US" sz="1400" baseline="0"/>
            <a:t>made the least sales and missed the February target revenue by a </a:t>
          </a:r>
          <a:r>
            <a:rPr lang="en-US" sz="1400" b="1" baseline="0"/>
            <a:t>19.48%.  </a:t>
          </a:r>
          <a:endParaRPr lang="en-US" sz="1400" b="1"/>
        </a:p>
      </xdr:txBody>
    </xdr:sp>
    <xdr:clientData/>
  </xdr:twoCellAnchor>
  <xdr:twoCellAnchor>
    <xdr:from>
      <xdr:col>10</xdr:col>
      <xdr:colOff>396240</xdr:colOff>
      <xdr:row>28</xdr:row>
      <xdr:rowOff>9525</xdr:rowOff>
    </xdr:from>
    <xdr:to>
      <xdr:col>21</xdr:col>
      <xdr:colOff>182880</xdr:colOff>
      <xdr:row>32</xdr:row>
      <xdr:rowOff>123825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F0A75235-CE71-4950-AB7D-98870CCDFAEA}"/>
            </a:ext>
          </a:extLst>
        </xdr:cNvPr>
        <xdr:cNvSpPr/>
      </xdr:nvSpPr>
      <xdr:spPr>
        <a:xfrm>
          <a:off x="6492240" y="5130165"/>
          <a:ext cx="6492240" cy="845820"/>
        </a:xfrm>
        <a:prstGeom prst="round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Revenue sales and their</a:t>
          </a:r>
          <a:r>
            <a:rPr lang="en-US" sz="1400" baseline="0"/>
            <a:t> targets.</a:t>
          </a:r>
          <a:endParaRPr lang="en-US" sz="1400"/>
        </a:p>
        <a:p>
          <a:pPr algn="l"/>
          <a:r>
            <a:rPr lang="en-US" sz="1400"/>
            <a:t>As</a:t>
          </a:r>
          <a:r>
            <a:rPr lang="en-US" sz="1400" baseline="0"/>
            <a:t> of 10th of April, Revenue sales for Arpil are at $54K sales, projected to be at $205k revenue sales at the end of the month. Revenue target for March was Exceeded by $330. </a:t>
          </a:r>
          <a:endParaRPr lang="en-US" sz="1400"/>
        </a:p>
      </xdr:txBody>
    </xdr:sp>
    <xdr:clientData/>
  </xdr:twoCellAnchor>
  <xdr:twoCellAnchor>
    <xdr:from>
      <xdr:col>22</xdr:col>
      <xdr:colOff>8709</xdr:colOff>
      <xdr:row>51</xdr:row>
      <xdr:rowOff>55880</xdr:rowOff>
    </xdr:from>
    <xdr:to>
      <xdr:col>31</xdr:col>
      <xdr:colOff>289560</xdr:colOff>
      <xdr:row>71</xdr:row>
      <xdr:rowOff>91439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EAEBB86-DA27-4C37-A401-EEAFBA8A6868}"/>
            </a:ext>
          </a:extLst>
        </xdr:cNvPr>
        <xdr:cNvSpPr/>
      </xdr:nvSpPr>
      <xdr:spPr>
        <a:xfrm>
          <a:off x="13419909" y="9382760"/>
          <a:ext cx="5767251" cy="3693159"/>
        </a:xfrm>
        <a:prstGeom prst="rect">
          <a:avLst/>
        </a:prstGeom>
        <a:ln w="0">
          <a:solidFill>
            <a:schemeClr val="bg1"/>
          </a:solidFill>
        </a:ln>
        <a:effectLst>
          <a:outerShdw blurRad="50800" dist="50800" dir="5400000" algn="ctr" rotWithShape="0">
            <a:schemeClr val="bg2"/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Summary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To meet the Projected Revenue Target of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$295K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April 2022 a daily sale target of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602 products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 to be attained for each of the remaining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 days.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Skincare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 have a high Forecast demand of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42%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 High Actual demand of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45%.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28 %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products produced within the given period were sold in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Kolkata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Bangalore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having the least number of products sold at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12%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total sold products. 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Revenue position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the First quarter was only attained by a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0.17%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(February experienced a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decrease of 19%,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 slight increase was experenced in March at 0.17%). 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Products with a longer Lead time between 21 to 30 days have a higher  Demand. </a:t>
          </a:r>
          <a:endParaRPr lang="en-US">
            <a:effectLst/>
          </a:endParaRPr>
        </a:p>
        <a:p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Suggestions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The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defect rate of 2.28 ~ 3 should be reduced.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means that for every unit of products made approximately 3 of them are defective. This calls for employees to detremine the root cause of defects, and implement corrective actions to improve production. 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product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forecast demand  needs to be maintained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The organization is going into a high sale season after April meaning that  accumulated inventory needs to be high to ensure ready products when customers make orders. 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22</xdr:col>
      <xdr:colOff>457200</xdr:colOff>
      <xdr:row>14</xdr:row>
      <xdr:rowOff>60960</xdr:rowOff>
    </xdr:from>
    <xdr:to>
      <xdr:col>27</xdr:col>
      <xdr:colOff>472440</xdr:colOff>
      <xdr:row>18</xdr:row>
      <xdr:rowOff>167640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E94CC853-CDE0-4251-8D5D-9FFE0E62EADD}"/>
            </a:ext>
          </a:extLst>
        </xdr:cNvPr>
        <xdr:cNvSpPr/>
      </xdr:nvSpPr>
      <xdr:spPr>
        <a:xfrm>
          <a:off x="13868400" y="2621280"/>
          <a:ext cx="3063240" cy="838200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Q1 Revenue Target :  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$195,502.21</a:t>
          </a:r>
          <a:r>
            <a:rPr lang="en-US" sz="1800" b="1"/>
            <a:t> </a:t>
          </a:r>
        </a:p>
      </xdr:txBody>
    </xdr:sp>
    <xdr:clientData/>
  </xdr:twoCellAnchor>
  <xdr:twoCellAnchor>
    <xdr:from>
      <xdr:col>22</xdr:col>
      <xdr:colOff>476794</xdr:colOff>
      <xdr:row>20</xdr:row>
      <xdr:rowOff>100965</xdr:rowOff>
    </xdr:from>
    <xdr:to>
      <xdr:col>27</xdr:col>
      <xdr:colOff>441960</xdr:colOff>
      <xdr:row>25</xdr:row>
      <xdr:rowOff>80011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0F34024E-9F0B-4A8C-A08F-5DD6E07AD145}"/>
            </a:ext>
          </a:extLst>
        </xdr:cNvPr>
        <xdr:cNvSpPr/>
      </xdr:nvSpPr>
      <xdr:spPr>
        <a:xfrm>
          <a:off x="13887994" y="3758565"/>
          <a:ext cx="3013166" cy="893446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0">
          <a:solidFill>
            <a:schemeClr val="bg2"/>
          </a:solidFill>
        </a:ln>
        <a:effectLst>
          <a:outerShdw blurRad="50800" dist="50800" dir="5400000" algn="ctr" rotWithShape="0">
            <a:schemeClr val="bg2"/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Q1 Current Revenue</a:t>
          </a:r>
          <a:r>
            <a:rPr lang="en-US" sz="1400" b="1">
              <a:solidFill>
                <a:schemeClr val="accent6">
                  <a:lumMod val="75000"/>
                </a:schemeClr>
              </a:solidFill>
            </a:rPr>
            <a:t>:</a:t>
          </a:r>
          <a:r>
            <a:rPr lang="en-US" sz="1400" b="1" baseline="0">
              <a:solidFill>
                <a:schemeClr val="accent6">
                  <a:lumMod val="75000"/>
                </a:schemeClr>
              </a:solidFill>
            </a:rPr>
            <a:t>  </a:t>
          </a:r>
          <a:r>
            <a:rPr lang="en-US" sz="1800" b="1" i="0" u="none" strike="noStrike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$195,832.95</a:t>
          </a:r>
          <a:r>
            <a:rPr lang="en-US" sz="1800" b="1">
              <a:solidFill>
                <a:schemeClr val="accent6">
                  <a:lumMod val="75000"/>
                </a:schemeClr>
              </a:solidFill>
            </a:rPr>
            <a:t> </a:t>
          </a:r>
        </a:p>
      </xdr:txBody>
    </xdr:sp>
    <xdr:clientData/>
  </xdr:twoCellAnchor>
  <xdr:twoCellAnchor>
    <xdr:from>
      <xdr:col>27</xdr:col>
      <xdr:colOff>510539</xdr:colOff>
      <xdr:row>14</xdr:row>
      <xdr:rowOff>45720</xdr:rowOff>
    </xdr:from>
    <xdr:to>
      <xdr:col>31</xdr:col>
      <xdr:colOff>152400</xdr:colOff>
      <xdr:row>17</xdr:row>
      <xdr:rowOff>30480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5C87C3AF-3CC7-4286-A1CF-1F816F530FEB}"/>
            </a:ext>
          </a:extLst>
        </xdr:cNvPr>
        <xdr:cNvSpPr/>
      </xdr:nvSpPr>
      <xdr:spPr>
        <a:xfrm>
          <a:off x="16969739" y="2606040"/>
          <a:ext cx="2080261" cy="533400"/>
        </a:xfrm>
        <a:prstGeom prst="roundRect">
          <a:avLst/>
        </a:prstGeom>
        <a:ln w="0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Target Achieved by</a:t>
          </a:r>
          <a:r>
            <a:rPr lang="en-US" sz="1100"/>
            <a:t>:</a:t>
          </a:r>
        </a:p>
        <a:p>
          <a:pPr algn="l"/>
          <a:endParaRPr lang="en-US" sz="1100"/>
        </a:p>
      </xdr:txBody>
    </xdr:sp>
    <xdr:clientData/>
  </xdr:twoCellAnchor>
  <xdr:twoCellAnchor>
    <xdr:from>
      <xdr:col>27</xdr:col>
      <xdr:colOff>544830</xdr:colOff>
      <xdr:row>17</xdr:row>
      <xdr:rowOff>60960</xdr:rowOff>
    </xdr:from>
    <xdr:to>
      <xdr:col>31</xdr:col>
      <xdr:colOff>167640</xdr:colOff>
      <xdr:row>25</xdr:row>
      <xdr:rowOff>106680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6BB1044-94C2-4DEC-8E42-88E4FB09D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568960</xdr:colOff>
      <xdr:row>56</xdr:row>
      <xdr:rowOff>30480</xdr:rowOff>
    </xdr:from>
    <xdr:to>
      <xdr:col>9</xdr:col>
      <xdr:colOff>320040</xdr:colOff>
      <xdr:row>71</xdr:row>
      <xdr:rowOff>97971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A2166ED-11C6-4C01-9CC0-2FDBDE96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576943</xdr:colOff>
      <xdr:row>51</xdr:row>
      <xdr:rowOff>30480</xdr:rowOff>
    </xdr:from>
    <xdr:to>
      <xdr:col>9</xdr:col>
      <xdr:colOff>350520</xdr:colOff>
      <xdr:row>56</xdr:row>
      <xdr:rowOff>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F954A87A-C2CB-4D53-A1A4-30C94B4DCAE5}"/>
            </a:ext>
          </a:extLst>
        </xdr:cNvPr>
        <xdr:cNvSpPr/>
      </xdr:nvSpPr>
      <xdr:spPr>
        <a:xfrm>
          <a:off x="576943" y="9357360"/>
          <a:ext cx="5259977" cy="883920"/>
        </a:xfrm>
        <a:prstGeom prst="round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400"/>
            <a:t>Product</a:t>
          </a:r>
          <a:r>
            <a:rPr lang="en-US" sz="1400" baseline="0"/>
            <a:t> sales were mostly done in </a:t>
          </a:r>
          <a:r>
            <a:rPr lang="en-US" sz="1400" b="1" baseline="0"/>
            <a:t>Kolkata</a:t>
          </a:r>
          <a:endParaRPr lang="en-US" sz="1400" b="1"/>
        </a:p>
      </xdr:txBody>
    </xdr:sp>
    <xdr:clientData/>
  </xdr:twoCellAnchor>
  <xdr:twoCellAnchor>
    <xdr:from>
      <xdr:col>10</xdr:col>
      <xdr:colOff>413658</xdr:colOff>
      <xdr:row>32</xdr:row>
      <xdr:rowOff>130629</xdr:rowOff>
    </xdr:from>
    <xdr:to>
      <xdr:col>21</xdr:col>
      <xdr:colOff>152400</xdr:colOff>
      <xdr:row>49</xdr:row>
      <xdr:rowOff>21772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97480D2-6AB1-44DE-9F9F-B188A4D3A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693420</xdr:colOff>
      <xdr:row>3</xdr:row>
      <xdr:rowOff>129540</xdr:rowOff>
    </xdr:from>
    <xdr:to>
      <xdr:col>10</xdr:col>
      <xdr:colOff>403860</xdr:colOff>
      <xdr:row>7</xdr:row>
      <xdr:rowOff>175260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1E1220C-30D6-1B5D-ABE7-C6653998E187}"/>
            </a:ext>
          </a:extLst>
        </xdr:cNvPr>
        <xdr:cNvSpPr/>
      </xdr:nvSpPr>
      <xdr:spPr>
        <a:xfrm>
          <a:off x="6797040" y="678180"/>
          <a:ext cx="2301240" cy="8229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Production Rate at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580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Units/day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Sales Rate</a:t>
          </a:r>
          <a:r>
            <a:rPr lang="en-US" sz="1100" baseline="0"/>
            <a:t> at </a:t>
          </a:r>
          <a:r>
            <a:rPr lang="en-US" sz="1600" b="1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471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Units/day</a:t>
          </a:r>
          <a:endParaRPr lang="en-US" sz="1100"/>
        </a:p>
      </xdr:txBody>
    </xdr:sp>
    <xdr:clientData/>
  </xdr:twoCellAnchor>
  <xdr:twoCellAnchor>
    <xdr:from>
      <xdr:col>6</xdr:col>
      <xdr:colOff>693420</xdr:colOff>
      <xdr:row>14</xdr:row>
      <xdr:rowOff>106680</xdr:rowOff>
    </xdr:from>
    <xdr:to>
      <xdr:col>9</xdr:col>
      <xdr:colOff>243840</xdr:colOff>
      <xdr:row>20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5CE103-07DE-DDAE-2F73-42233269E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350520</xdr:colOff>
      <xdr:row>14</xdr:row>
      <xdr:rowOff>129540</xdr:rowOff>
    </xdr:from>
    <xdr:to>
      <xdr:col>12</xdr:col>
      <xdr:colOff>99060</xdr:colOff>
      <xdr:row>20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5DD26D-B51A-45AC-8496-D8E3D787E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1</xdr:row>
      <xdr:rowOff>30480</xdr:rowOff>
    </xdr:from>
    <xdr:to>
      <xdr:col>10</xdr:col>
      <xdr:colOff>449580</xdr:colOff>
      <xdr:row>19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0194AB-3AEE-81E0-604D-A9520ECD4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548640</xdr:colOff>
      <xdr:row>23</xdr:row>
      <xdr:rowOff>0</xdr:rowOff>
    </xdr:from>
    <xdr:to>
      <xdr:col>10</xdr:col>
      <xdr:colOff>342900</xdr:colOff>
      <xdr:row>26</xdr:row>
      <xdr:rowOff>45720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6561FC4-600C-530B-0219-B22B964522BF}"/>
            </a:ext>
          </a:extLst>
        </xdr:cNvPr>
        <xdr:cNvSpPr/>
      </xdr:nvSpPr>
      <xdr:spPr>
        <a:xfrm>
          <a:off x="3421380" y="4206240"/>
          <a:ext cx="4244340" cy="594360"/>
        </a:xfrm>
        <a:prstGeom prst="round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Most</a:t>
          </a:r>
          <a:r>
            <a:rPr lang="en-US" sz="1100" baseline="0"/>
            <a:t> demand is avaliable for products with high lead times of 21-30 days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64769</xdr:colOff>
      <xdr:row>9</xdr:row>
      <xdr:rowOff>110490</xdr:rowOff>
    </xdr:from>
    <xdr:to>
      <xdr:col>17</xdr:col>
      <xdr:colOff>285750</xdr:colOff>
      <xdr:row>14</xdr:row>
      <xdr:rowOff>140970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01D1CC5-9C22-A17B-CA4A-23CA70D16CA7}"/>
            </a:ext>
          </a:extLst>
        </xdr:cNvPr>
        <xdr:cNvSpPr/>
      </xdr:nvSpPr>
      <xdr:spPr>
        <a:xfrm>
          <a:off x="13304519" y="1739265"/>
          <a:ext cx="3268981" cy="93535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4">
                  <a:lumMod val="75000"/>
                </a:schemeClr>
              </a:solidFill>
            </a:rPr>
            <a:t>Skincare</a:t>
          </a:r>
          <a:r>
            <a:rPr lang="en-US" sz="1100" baseline="0"/>
            <a:t> products have a high Forecast demand of </a:t>
          </a:r>
          <a:r>
            <a:rPr lang="en-US" sz="2000" b="1" baseline="0">
              <a:solidFill>
                <a:schemeClr val="accent1">
                  <a:lumMod val="75000"/>
                </a:schemeClr>
              </a:solidFill>
            </a:rPr>
            <a:t>42%</a:t>
          </a:r>
          <a:r>
            <a:rPr lang="en-US" sz="1100" baseline="0"/>
            <a:t> and a High Actual demand of </a:t>
          </a:r>
          <a:r>
            <a:rPr lang="en-US" sz="2000" b="1" baseline="0">
              <a:solidFill>
                <a:schemeClr val="accent1">
                  <a:lumMod val="75000"/>
                </a:schemeClr>
              </a:solidFill>
            </a:rPr>
            <a:t>45%. </a:t>
          </a:r>
        </a:p>
      </xdr:txBody>
    </xdr:sp>
    <xdr:clientData/>
  </xdr:twoCellAnchor>
  <xdr:twoCellAnchor>
    <xdr:from>
      <xdr:col>6</xdr:col>
      <xdr:colOff>1009650</xdr:colOff>
      <xdr:row>9</xdr:row>
      <xdr:rowOff>57150</xdr:rowOff>
    </xdr:from>
    <xdr:to>
      <xdr:col>12</xdr:col>
      <xdr:colOff>38101</xdr:colOff>
      <xdr:row>24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9E8EB-C773-A849-8950-099B9243C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428626</xdr:colOff>
      <xdr:row>17</xdr:row>
      <xdr:rowOff>152400</xdr:rowOff>
    </xdr:from>
    <xdr:to>
      <xdr:col>6</xdr:col>
      <xdr:colOff>876300</xdr:colOff>
      <xdr:row>20</xdr:row>
      <xdr:rowOff>123825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50A26A1-6B98-DC63-08E6-838495C80EDF}"/>
            </a:ext>
          </a:extLst>
        </xdr:cNvPr>
        <xdr:cNvSpPr/>
      </xdr:nvSpPr>
      <xdr:spPr>
        <a:xfrm>
          <a:off x="3486151" y="3228975"/>
          <a:ext cx="4314824" cy="514350"/>
        </a:xfrm>
        <a:prstGeom prst="round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Skincare Products have the highest</a:t>
          </a:r>
          <a:r>
            <a:rPr lang="en-US" sz="1100" baseline="0"/>
            <a:t> % of demand 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22</xdr:row>
      <xdr:rowOff>60960</xdr:rowOff>
    </xdr:from>
    <xdr:to>
      <xdr:col>15</xdr:col>
      <xdr:colOff>434340</xdr:colOff>
      <xdr:row>26</xdr:row>
      <xdr:rowOff>91440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824F16F-8D8C-635B-0FA3-971ED7A2CFB9}"/>
            </a:ext>
          </a:extLst>
        </xdr:cNvPr>
        <xdr:cNvSpPr/>
      </xdr:nvSpPr>
      <xdr:spPr>
        <a:xfrm>
          <a:off x="9448800" y="4084320"/>
          <a:ext cx="3192780" cy="7620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Set</a:t>
          </a:r>
          <a:r>
            <a:rPr lang="en-US" sz="1100">
              <a:solidFill>
                <a:schemeClr val="tx2">
                  <a:lumMod val="50000"/>
                  <a:lumOff val="50000"/>
                </a:schemeClr>
              </a:solidFill>
            </a:rPr>
            <a:t> 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Revenue</a:t>
          </a:r>
          <a:r>
            <a:rPr lang="en-US" sz="1600" b="1" baseline="0">
              <a:solidFill>
                <a:schemeClr val="accent4">
                  <a:lumMod val="75000"/>
                </a:schemeClr>
              </a:solidFill>
            </a:rPr>
            <a:t> Position </a:t>
          </a:r>
          <a:r>
            <a:rPr lang="en-US" sz="1100" baseline="0"/>
            <a:t>for the First Quarter of the year 2022 was attained by a </a:t>
          </a:r>
          <a:r>
            <a:rPr lang="en-US" sz="2000" b="1" baseline="0">
              <a:solidFill>
                <a:schemeClr val="accent1">
                  <a:lumMod val="75000"/>
                </a:schemeClr>
              </a:solidFill>
            </a:rPr>
            <a:t>0.17%. </a:t>
          </a:r>
          <a:endParaRPr lang="en-US" sz="2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27</xdr:row>
      <xdr:rowOff>175260</xdr:rowOff>
    </xdr:from>
    <xdr:to>
      <xdr:col>3</xdr:col>
      <xdr:colOff>114300</xdr:colOff>
      <xdr:row>33</xdr:row>
      <xdr:rowOff>7620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4C6768A-BE2F-0BF7-39BE-DEF833DF7BBC}"/>
            </a:ext>
          </a:extLst>
        </xdr:cNvPr>
        <xdr:cNvSpPr/>
      </xdr:nvSpPr>
      <xdr:spPr>
        <a:xfrm>
          <a:off x="0" y="5113020"/>
          <a:ext cx="3390900" cy="929640"/>
        </a:xfrm>
        <a:prstGeom prst="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 meet the </a:t>
          </a:r>
          <a:r>
            <a:rPr lang="en-US" sz="1200">
              <a:solidFill>
                <a:schemeClr val="accent4">
                  <a:lumMod val="75000"/>
                </a:schemeClr>
              </a:solidFill>
            </a:rPr>
            <a:t>projected Revenue Target </a:t>
          </a:r>
          <a:r>
            <a:rPr lang="en-US" sz="1100"/>
            <a:t>of </a:t>
          </a:r>
          <a:r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$205K</a:t>
          </a:r>
          <a:r>
            <a:rPr lang="en-US" sz="1400" b="1">
              <a:solidFill>
                <a:schemeClr val="tx2">
                  <a:lumMod val="75000"/>
                  <a:lumOff val="25000"/>
                </a:schemeClr>
              </a:solidFill>
            </a:rPr>
            <a:t> </a:t>
          </a:r>
          <a:r>
            <a:rPr lang="en-US" sz="1100"/>
            <a:t>for </a:t>
          </a:r>
          <a:r>
            <a:rPr lang="en-US" sz="1100">
              <a:solidFill>
                <a:schemeClr val="accent1"/>
              </a:solidFill>
            </a:rPr>
            <a:t>April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 baseline="0"/>
            <a:t>2022 </a:t>
          </a:r>
          <a:r>
            <a:rPr lang="en-US" sz="1200" b="0" baseline="0">
              <a:solidFill>
                <a:sysClr val="windowText" lastClr="000000"/>
              </a:solidFill>
            </a:rPr>
            <a:t>a</a:t>
          </a:r>
          <a:r>
            <a:rPr lang="en-US" sz="1200" b="1" baseline="0">
              <a:solidFill>
                <a:schemeClr val="accent4">
                  <a:lumMod val="75000"/>
                </a:schemeClr>
              </a:solidFill>
            </a:rPr>
            <a:t> Daily sale target </a:t>
          </a:r>
          <a:r>
            <a:rPr lang="en-US" sz="1100" baseline="0"/>
            <a:t>of </a:t>
          </a:r>
          <a:r>
            <a:rPr lang="en-US" sz="2000" baseline="0">
              <a:solidFill>
                <a:schemeClr val="accent1">
                  <a:lumMod val="75000"/>
                </a:schemeClr>
              </a:solidFill>
            </a:rPr>
            <a:t>602 </a:t>
          </a:r>
          <a:r>
            <a:rPr lang="en-US" sz="1100" baseline="0"/>
            <a:t>products has to be attained for each of the remaining 20 days . </a:t>
          </a:r>
          <a:endParaRPr lang="en-US" sz="1100"/>
        </a:p>
      </xdr:txBody>
    </xdr:sp>
    <xdr:clientData/>
  </xdr:twoCellAnchor>
  <xdr:twoCellAnchor>
    <xdr:from>
      <xdr:col>15</xdr:col>
      <xdr:colOff>587827</xdr:colOff>
      <xdr:row>1</xdr:row>
      <xdr:rowOff>38644</xdr:rowOff>
    </xdr:from>
    <xdr:to>
      <xdr:col>19</xdr:col>
      <xdr:colOff>310242</xdr:colOff>
      <xdr:row>11</xdr:row>
      <xdr:rowOff>80553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93906D-AE32-9F99-0A3C-08C75D2AB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1228996</xdr:colOff>
      <xdr:row>33</xdr:row>
      <xdr:rowOff>76200</xdr:rowOff>
    </xdr:from>
    <xdr:to>
      <xdr:col>9</xdr:col>
      <xdr:colOff>424542</xdr:colOff>
      <xdr:row>45</xdr:row>
      <xdr:rowOff>26671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A9F8E-D8BD-0FB1-433A-B0DCD0988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185056</xdr:colOff>
      <xdr:row>12</xdr:row>
      <xdr:rowOff>157842</xdr:rowOff>
    </xdr:from>
    <xdr:to>
      <xdr:col>16</xdr:col>
      <xdr:colOff>195942</xdr:colOff>
      <xdr:row>32</xdr:row>
      <xdr:rowOff>10886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3E2638-4A41-64E8-63F5-3B06D7110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108856</xdr:colOff>
      <xdr:row>31</xdr:row>
      <xdr:rowOff>5443</xdr:rowOff>
    </xdr:from>
    <xdr:to>
      <xdr:col>5</xdr:col>
      <xdr:colOff>283027</xdr:colOff>
      <xdr:row>44</xdr:row>
      <xdr:rowOff>43543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1D7393-65E7-DB06-49E5-F7C459B4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217715</xdr:colOff>
      <xdr:row>13</xdr:row>
      <xdr:rowOff>38102</xdr:rowOff>
    </xdr:from>
    <xdr:to>
      <xdr:col>7</xdr:col>
      <xdr:colOff>261258</xdr:colOff>
      <xdr:row>20</xdr:row>
      <xdr:rowOff>21772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AB84BB-5DBC-A1CD-6517-A4E1F6A5A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1251585</xdr:colOff>
      <xdr:row>11</xdr:row>
      <xdr:rowOff>104775</xdr:rowOff>
    </xdr:from>
    <xdr:to>
      <xdr:col>5</xdr:col>
      <xdr:colOff>1624965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6AD04-3501-50B1-0F01-058B081F7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25</xdr:row>
      <xdr:rowOff>9525</xdr:rowOff>
    </xdr:from>
    <xdr:to>
      <xdr:col>2</xdr:col>
      <xdr:colOff>1571625</xdr:colOff>
      <xdr:row>29</xdr:row>
      <xdr:rowOff>114300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309B16E-43CA-6E7F-C4BB-18A1C296C513}"/>
            </a:ext>
          </a:extLst>
        </xdr:cNvPr>
        <xdr:cNvSpPr/>
      </xdr:nvSpPr>
      <xdr:spPr>
        <a:xfrm>
          <a:off x="200026" y="4533900"/>
          <a:ext cx="4362449" cy="8286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Of the four Transportation</a:t>
          </a:r>
          <a:r>
            <a:rPr lang="en-US" sz="1100" baseline="0"/>
            <a:t> modes, Rail and Road are the most used.</a:t>
          </a:r>
        </a:p>
        <a:p>
          <a:pPr algn="l"/>
          <a:r>
            <a:rPr lang="en-US" sz="1100" baseline="0"/>
            <a:t>Road at  </a:t>
          </a:r>
          <a:r>
            <a:rPr lang="en-US" sz="1400" b="0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29.20%</a:t>
          </a:r>
          <a:r>
            <a:rPr lang="en-US" sz="1400">
              <a:solidFill>
                <a:schemeClr val="accent1">
                  <a:lumMod val="75000"/>
                </a:schemeClr>
              </a:solidFill>
            </a:rPr>
            <a:t>  </a:t>
          </a:r>
          <a:endParaRPr lang="en-US" sz="1400" baseline="0">
            <a:solidFill>
              <a:schemeClr val="accent1">
                <a:lumMod val="75000"/>
              </a:schemeClr>
            </a:solidFill>
          </a:endParaRPr>
        </a:p>
        <a:p>
          <a:pPr algn="l"/>
          <a:r>
            <a:rPr lang="en-US" sz="1100" baseline="0"/>
            <a:t>Rail at  </a:t>
          </a:r>
          <a:r>
            <a:rPr lang="en-US" sz="1400" b="0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29.21%</a:t>
          </a:r>
          <a:r>
            <a:rPr lang="en-US" sz="1400">
              <a:solidFill>
                <a:schemeClr val="accent1">
                  <a:lumMod val="75000"/>
                </a:schemeClr>
              </a:solidFill>
            </a:rPr>
            <a:t>  </a:t>
          </a:r>
        </a:p>
      </xdr:txBody>
    </xdr:sp>
    <xdr:clientData/>
  </xdr:twoCellAnchor>
  <xdr:twoCellAnchor>
    <xdr:from>
      <xdr:col>0</xdr:col>
      <xdr:colOff>0</xdr:colOff>
      <xdr:row>8</xdr:row>
      <xdr:rowOff>100013</xdr:rowOff>
    </xdr:from>
    <xdr:to>
      <xdr:col>3</xdr:col>
      <xdr:colOff>85725</xdr:colOff>
      <xdr:row>23</xdr:row>
      <xdr:rowOff>128588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53C095-A12F-FFE1-C38A-BB3317AB6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255270</xdr:colOff>
      <xdr:row>29</xdr:row>
      <xdr:rowOff>163830</xdr:rowOff>
    </xdr:from>
    <xdr:to>
      <xdr:col>2</xdr:col>
      <xdr:colOff>1638300</xdr:colOff>
      <xdr:row>37</xdr:row>
      <xdr:rowOff>87630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Date">
              <a:extLst>
                <a:ext uri="{FF2B5EF4-FFF2-40B4-BE49-F238E27FC236}">
                  <a16:creationId xmlns:a16="http://schemas.microsoft.com/office/drawing/2014/main" id="{7AA3A50F-AF8D-4C46-438D-F9D3BD94FC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270" y="5412105"/>
              <a:ext cx="437388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1924051</xdr:colOff>
      <xdr:row>8</xdr:row>
      <xdr:rowOff>85726</xdr:rowOff>
    </xdr:from>
    <xdr:to>
      <xdr:col>5</xdr:col>
      <xdr:colOff>1076326</xdr:colOff>
      <xdr:row>11</xdr:row>
      <xdr:rowOff>19051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79B792E-10EB-6730-C97A-003864699029}"/>
            </a:ext>
          </a:extLst>
        </xdr:cNvPr>
        <xdr:cNvSpPr/>
      </xdr:nvSpPr>
      <xdr:spPr>
        <a:xfrm>
          <a:off x="6972301" y="1533526"/>
          <a:ext cx="3352800" cy="476250"/>
        </a:xfrm>
        <a:prstGeom prst="round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Product</a:t>
          </a:r>
          <a:r>
            <a:rPr lang="en-US" sz="1100" baseline="0"/>
            <a:t> sales were mostly done in Kolkata</a:t>
          </a:r>
          <a:endParaRPr lang="en-US" sz="1100"/>
        </a:p>
      </xdr:txBody>
    </xdr:sp>
    <xdr:clientData/>
  </xdr:twoCellAnchor>
  <xdr:twoCellAnchor>
    <xdr:from>
      <xdr:col>3</xdr:col>
      <xdr:colOff>660400</xdr:colOff>
      <xdr:row>28</xdr:row>
      <xdr:rowOff>88900</xdr:rowOff>
    </xdr:from>
    <xdr:to>
      <xdr:col>7</xdr:col>
      <xdr:colOff>381000</xdr:colOff>
      <xdr:row>31</xdr:row>
      <xdr:rowOff>114300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B448D41F-9DAF-F830-CD7C-FA6977F71839}"/>
            </a:ext>
          </a:extLst>
        </xdr:cNvPr>
        <xdr:cNvSpPr/>
      </xdr:nvSpPr>
      <xdr:spPr>
        <a:xfrm>
          <a:off x="5702300" y="5067300"/>
          <a:ext cx="6781800" cy="558800"/>
        </a:xfrm>
        <a:prstGeom prst="round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Most products are sold in</a:t>
          </a:r>
          <a:r>
            <a:rPr lang="en-US" sz="1100" baseline="0"/>
            <a:t> </a:t>
          </a:r>
          <a:r>
            <a:rPr lang="en-US" sz="1100"/>
            <a:t>Kolkata</a:t>
          </a:r>
        </a:p>
      </xdr:txBody>
    </xdr:sp>
    <xdr:clientData/>
  </xdr:twoCellAnchor>
  <xdr:twoCellAnchor>
    <xdr:from>
      <xdr:col>4</xdr:col>
      <xdr:colOff>0</xdr:colOff>
      <xdr:row>37</xdr:row>
      <xdr:rowOff>0</xdr:rowOff>
    </xdr:from>
    <xdr:to>
      <xdr:col>7</xdr:col>
      <xdr:colOff>1778000</xdr:colOff>
      <xdr:row>40</xdr:row>
      <xdr:rowOff>25400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07D3A80-45D8-4B45-992C-43E2563BC579}"/>
            </a:ext>
          </a:extLst>
        </xdr:cNvPr>
        <xdr:cNvSpPr/>
      </xdr:nvSpPr>
      <xdr:spPr>
        <a:xfrm>
          <a:off x="7099300" y="6578600"/>
          <a:ext cx="6781800" cy="558800"/>
        </a:xfrm>
        <a:prstGeom prst="roundRect">
          <a:avLst/>
        </a:prstGeom>
        <a:ln w="0">
          <a:solidFill>
            <a:schemeClr val="bg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Of</a:t>
          </a:r>
          <a:r>
            <a:rPr lang="en-US" sz="1100" baseline="0"/>
            <a:t> the four transportation modes, Rail and Road are the most used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BULA" refreshedDate="45421.74746273148" createdVersion="8" refreshedVersion="8" minRefreshableVersion="3" recordCount="100" xr:uid="{B92582A8-81B9-4998-81B8-29ECEE08910F}">
  <cacheSource type="worksheet">
    <worksheetSource name="_supplyTable"/>
  </cacheSource>
  <cacheFields count="26">
    <cacheField name="Product Type" numFmtId="49">
      <sharedItems/>
    </cacheField>
    <cacheField name="Product Type." numFmtId="0">
      <sharedItems count="3">
        <s v="Skincare"/>
        <s v="Haircare"/>
        <s v="Cosmetics"/>
      </sharedItems>
    </cacheField>
    <cacheField name="SKU (Stock Keeping Unit)" numFmtId="49">
      <sharedItems/>
    </cacheField>
    <cacheField name="Date" numFmtId="167">
      <sharedItems containsSemiMixedTypes="0" containsNonDate="0" containsDate="1" containsString="0" minDate="2022-01-01T00:00:00" maxDate="2022-04-11T00:00:00" count="100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</sharedItems>
    </cacheField>
    <cacheField name="Month" numFmtId="1">
      <sharedItems containsSemiMixedTypes="0" containsString="0" containsNumber="1" containsInteger="1" minValue="1" maxValue="4"/>
    </cacheField>
    <cacheField name="Unit Price" numFmtId="164">
      <sharedItems containsSemiMixedTypes="0" containsString="0" containsNumber="1" minValue="1.7" maxValue="99.17"/>
    </cacheField>
    <cacheField name="Availability" numFmtId="1">
      <sharedItems containsSemiMixedTypes="0" containsString="0" containsNumber="1" containsInteger="1" minValue="1" maxValue="100"/>
    </cacheField>
    <cacheField name="Number of Products Sold" numFmtId="1">
      <sharedItems containsSemiMixedTypes="0" containsString="0" containsNumber="1" containsInteger="1" minValue="8" maxValue="996"/>
    </cacheField>
    <cacheField name="Revenue Generated" numFmtId="164">
      <sharedItems containsSemiMixedTypes="0" containsString="0" containsNumber="1" minValue="1061.6199999999999" maxValue="9866.4699999999993"/>
    </cacheField>
    <cacheField name="Customer Demographics" numFmtId="49">
      <sharedItems/>
    </cacheField>
    <cacheField name="Order Quantities" numFmtId="1">
      <sharedItems containsSemiMixedTypes="0" containsString="0" containsNumber="1" containsInteger="1" minValue="1" maxValue="96"/>
    </cacheField>
    <cacheField name="Shipping Times" numFmtId="1">
      <sharedItems containsSemiMixedTypes="0" containsString="0" containsNumber="1" containsInteger="1" minValue="1" maxValue="10"/>
    </cacheField>
    <cacheField name="Shipping Carriers" numFmtId="49">
      <sharedItems/>
    </cacheField>
    <cacheField name="Shipping Costs" numFmtId="164">
      <sharedItems containsSemiMixedTypes="0" containsString="0" containsNumber="1" minValue="1.01" maxValue="9.93"/>
    </cacheField>
    <cacheField name="Supplier Name" numFmtId="49">
      <sharedItems/>
    </cacheField>
    <cacheField name="Location" numFmtId="49">
      <sharedItems count="5">
        <s v="Kolkata"/>
        <s v="Mumbai"/>
        <s v="Chennai"/>
        <s v="Bangalore"/>
        <s v="Delhi"/>
      </sharedItems>
    </cacheField>
    <cacheField name="Lead Time" numFmtId="1">
      <sharedItems containsSemiMixedTypes="0" containsString="0" containsNumber="1" containsInteger="1" minValue="1" maxValue="30"/>
    </cacheField>
    <cacheField name="Lead Time Bins" numFmtId="0">
      <sharedItems count="3">
        <s v="21-30"/>
        <s v="11-20"/>
        <s v="1-10"/>
      </sharedItems>
    </cacheField>
    <cacheField name="Production Volumes" numFmtId="1">
      <sharedItems containsSemiMixedTypes="0" containsString="0" containsNumber="1" containsInteger="1" minValue="104" maxValue="985"/>
    </cacheField>
    <cacheField name="Manufacturing Lead time" numFmtId="1">
      <sharedItems containsSemiMixedTypes="0" containsString="0" containsNumber="1" containsInteger="1" minValue="1" maxValue="30"/>
    </cacheField>
    <cacheField name="Manufacturing Costs" numFmtId="164">
      <sharedItems containsSemiMixedTypes="0" containsString="0" containsNumber="1" minValue="1.0900000000000001" maxValue="99.47"/>
    </cacheField>
    <cacheField name="Inspection Results" numFmtId="49">
      <sharedItems/>
    </cacheField>
    <cacheField name="Defect Rates" numFmtId="2">
      <sharedItems containsSemiMixedTypes="0" containsString="0" containsNumber="1" minValue="0.02" maxValue="4.9400000000000004"/>
    </cacheField>
    <cacheField name="Transportation Modes" numFmtId="49">
      <sharedItems count="4">
        <s v="Road"/>
        <s v="Air"/>
        <s v="Rail"/>
        <s v="Sea"/>
      </sharedItems>
    </cacheField>
    <cacheField name="Routes" numFmtId="49">
      <sharedItems/>
    </cacheField>
    <cacheField name="Transportation Costs" numFmtId="164">
      <sharedItems containsSemiMixedTypes="0" containsString="0" containsNumber="1" minValue="103.92" maxValue="997.41"/>
    </cacheField>
  </cacheFields>
  <extLst>
    <ext xmlns:x14="http://schemas.microsoft.com/office/spreadsheetml/2009/9/main" uri="{725AE2AE-9491-48be-B2B4-4EB974FC3084}">
      <x14:pivotCacheDefinition pivotCacheId="19207816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skincare"/>
    <x v="0"/>
    <s v="SKU32"/>
    <x v="0"/>
    <n v="1"/>
    <n v="79.209999999999994"/>
    <n v="43"/>
    <n v="781"/>
    <n v="9571.5499999999993"/>
    <s v="Unknown"/>
    <n v="64"/>
    <n v="4"/>
    <s v="Carrier C"/>
    <n v="6.6"/>
    <s v="Supplier 3"/>
    <x v="0"/>
    <n v="30"/>
    <x v="0"/>
    <n v="737"/>
    <n v="7"/>
    <n v="29.69"/>
    <s v="Pass"/>
    <n v="1.95"/>
    <x v="0"/>
    <s v="Route A"/>
    <n v="761.17"/>
  </r>
  <r>
    <s v="skincare"/>
    <x v="0"/>
    <s v="SKU39"/>
    <x v="1"/>
    <n v="1"/>
    <n v="19.13"/>
    <n v="26"/>
    <n v="176"/>
    <n v="1912.47"/>
    <s v="Female"/>
    <n v="34"/>
    <n v="3"/>
    <s v="Carrier A"/>
    <n v="5.56"/>
    <s v="Supplier 2"/>
    <x v="0"/>
    <n v="30"/>
    <x v="0"/>
    <n v="791"/>
    <n v="6"/>
    <n v="9.01"/>
    <s v="Fail"/>
    <n v="1.45"/>
    <x v="1"/>
    <s v="Route B"/>
    <n v="653.66999999999996"/>
  </r>
  <r>
    <s v="haircare"/>
    <x v="1"/>
    <s v="SKU0"/>
    <x v="2"/>
    <n v="1"/>
    <n v="69.81"/>
    <n v="55"/>
    <n v="802"/>
    <n v="8662"/>
    <s v="Non-binary"/>
    <n v="96"/>
    <n v="4"/>
    <s v="Carrier B"/>
    <n v="2.96"/>
    <s v="Supplier 3"/>
    <x v="1"/>
    <n v="29"/>
    <x v="0"/>
    <n v="215"/>
    <n v="29"/>
    <n v="46.28"/>
    <s v="Pending"/>
    <n v="0.23"/>
    <x v="0"/>
    <s v="Route B"/>
    <n v="187.75"/>
  </r>
  <r>
    <s v="skincare"/>
    <x v="0"/>
    <s v="SKU20"/>
    <x v="3"/>
    <n v="1"/>
    <n v="96.34"/>
    <n v="22"/>
    <n v="320"/>
    <n v="8128.03"/>
    <s v="Unknown"/>
    <n v="68"/>
    <n v="6"/>
    <s v="Carrier A"/>
    <n v="8.8800000000000008"/>
    <s v="Supplier 1"/>
    <x v="2"/>
    <n v="29"/>
    <x v="0"/>
    <n v="309"/>
    <n v="6"/>
    <n v="65.69"/>
    <s v="Pass"/>
    <n v="4.2300000000000004"/>
    <x v="1"/>
    <s v="Route B"/>
    <n v="493.87"/>
  </r>
  <r>
    <s v="skincare"/>
    <x v="0"/>
    <s v="SKU60"/>
    <x v="4"/>
    <n v="1"/>
    <n v="17.03"/>
    <n v="16"/>
    <n v="380"/>
    <n v="8864.08"/>
    <s v="Female"/>
    <n v="72"/>
    <n v="8"/>
    <s v="Carrier C"/>
    <n v="4.38"/>
    <s v="Supplier 4"/>
    <x v="1"/>
    <n v="29"/>
    <x v="0"/>
    <n v="929"/>
    <n v="24"/>
    <n v="87.21"/>
    <s v="Fail"/>
    <n v="2.85"/>
    <x v="2"/>
    <s v="Route A"/>
    <n v="430.17"/>
  </r>
  <r>
    <s v="skincare"/>
    <x v="0"/>
    <s v="SKU9"/>
    <x v="5"/>
    <n v="1"/>
    <n v="64.02"/>
    <n v="35"/>
    <n v="980"/>
    <n v="4971.1499999999996"/>
    <s v="Unknown"/>
    <n v="83"/>
    <n v="1"/>
    <s v="Carrier A"/>
    <n v="7.17"/>
    <s v="Supplier 2"/>
    <x v="2"/>
    <n v="29"/>
    <x v="0"/>
    <n v="963"/>
    <n v="23"/>
    <n v="47.96"/>
    <s v="Pending"/>
    <n v="3.84"/>
    <x v="2"/>
    <s v="Route B"/>
    <n v="995.93"/>
  </r>
  <r>
    <s v="haircare"/>
    <x v="1"/>
    <s v="SKU99"/>
    <x v="6"/>
    <n v="1"/>
    <n v="68.52"/>
    <n v="17"/>
    <n v="627"/>
    <n v="9185.19"/>
    <s v="Unknown"/>
    <n v="59"/>
    <n v="6"/>
    <s v="Carrier B"/>
    <n v="1.31"/>
    <s v="Supplier 2"/>
    <x v="2"/>
    <n v="29"/>
    <x v="0"/>
    <n v="921"/>
    <n v="2"/>
    <n v="38.07"/>
    <s v="Fail"/>
    <n v="0.35"/>
    <x v="2"/>
    <s v="Route B"/>
    <n v="210.74"/>
  </r>
  <r>
    <s v="skincare"/>
    <x v="0"/>
    <s v="SKU11"/>
    <x v="7"/>
    <n v="1"/>
    <n v="90.64"/>
    <n v="95"/>
    <n v="960"/>
    <n v="6099.94"/>
    <s v="Female"/>
    <n v="60"/>
    <n v="1"/>
    <s v="Carrier A"/>
    <n v="4.5199999999999996"/>
    <s v="Supplier 2"/>
    <x v="0"/>
    <n v="28"/>
    <x v="0"/>
    <n v="362"/>
    <n v="11"/>
    <n v="27.59"/>
    <s v="Pending"/>
    <n v="0.02"/>
    <x v="1"/>
    <s v="Route A"/>
    <n v="126.72"/>
  </r>
  <r>
    <s v="haircare"/>
    <x v="1"/>
    <s v="SKU24"/>
    <x v="8"/>
    <n v="1"/>
    <n v="4.16"/>
    <n v="32"/>
    <n v="209"/>
    <n v="9049.08"/>
    <s v="Male"/>
    <n v="2"/>
    <n v="8"/>
    <s v="Carrier C"/>
    <n v="9.74"/>
    <s v="Supplier 2"/>
    <x v="3"/>
    <n v="28"/>
    <x v="0"/>
    <n v="447"/>
    <n v="3"/>
    <n v="40.380000000000003"/>
    <s v="Pending"/>
    <n v="3.69"/>
    <x v="1"/>
    <s v="Route A"/>
    <n v="758.72"/>
  </r>
  <r>
    <s v="cosmetics"/>
    <x v="2"/>
    <s v="SKU49"/>
    <x v="9"/>
    <n v="1"/>
    <n v="78.900000000000006"/>
    <n v="19"/>
    <n v="99"/>
    <n v="8001.61"/>
    <s v="Unknown"/>
    <n v="9"/>
    <n v="6"/>
    <s v="Carrier C"/>
    <n v="2.5099999999999998"/>
    <s v="Supplier 5"/>
    <x v="4"/>
    <n v="28"/>
    <x v="0"/>
    <n v="177"/>
    <n v="28"/>
    <n v="14.15"/>
    <s v="Pass"/>
    <n v="2.83"/>
    <x v="2"/>
    <s v="Route A"/>
    <n v="336.89"/>
  </r>
  <r>
    <s v="haircare"/>
    <x v="1"/>
    <s v="SKU81"/>
    <x v="10"/>
    <n v="1"/>
    <n v="72.819999999999993"/>
    <n v="9"/>
    <n v="774"/>
    <n v="4384.41"/>
    <s v="Unknown"/>
    <n v="8"/>
    <n v="5"/>
    <s v="Carrier B"/>
    <n v="4.07"/>
    <s v="Supplier 3"/>
    <x v="4"/>
    <n v="28"/>
    <x v="0"/>
    <n v="698"/>
    <n v="1"/>
    <n v="19.79"/>
    <s v="Pending"/>
    <n v="2.5499999999999998"/>
    <x v="2"/>
    <s v="Route B"/>
    <n v="276.77999999999997"/>
  </r>
  <r>
    <s v="cosmetics"/>
    <x v="2"/>
    <s v="SKU96"/>
    <x v="11"/>
    <n v="1"/>
    <n v="24.42"/>
    <n v="29"/>
    <n v="324"/>
    <n v="7698.42"/>
    <s v="Non-binary"/>
    <n v="32"/>
    <n v="3"/>
    <s v="Carrier C"/>
    <n v="5.35"/>
    <s v="Supplier 3"/>
    <x v="1"/>
    <n v="28"/>
    <x v="0"/>
    <n v="648"/>
    <n v="28"/>
    <n v="17.8"/>
    <s v="Pending"/>
    <n v="3.87"/>
    <x v="0"/>
    <s v="Route A"/>
    <n v="188.74"/>
  </r>
  <r>
    <s v="skincare"/>
    <x v="0"/>
    <s v="SKU98"/>
    <x v="12"/>
    <n v="1"/>
    <n v="19.75"/>
    <n v="43"/>
    <n v="913"/>
    <n v="8525.9500000000007"/>
    <s v="Female"/>
    <n v="27"/>
    <n v="7"/>
    <s v="Carrier B"/>
    <n v="1.41"/>
    <s v="Supplier 5"/>
    <x v="2"/>
    <n v="28"/>
    <x v="0"/>
    <n v="581"/>
    <n v="9"/>
    <n v="5.6"/>
    <s v="Pending"/>
    <n v="2.91"/>
    <x v="2"/>
    <s v="Route A"/>
    <n v="882.2"/>
  </r>
  <r>
    <s v="haircare"/>
    <x v="1"/>
    <s v="SKU30"/>
    <x v="13"/>
    <n v="1"/>
    <n v="8.02"/>
    <n v="10"/>
    <n v="327"/>
    <n v="2766.34"/>
    <s v="Male"/>
    <n v="35"/>
    <n v="7"/>
    <s v="Carrier B"/>
    <n v="8.9499999999999993"/>
    <s v="Supplier 4"/>
    <x v="0"/>
    <n v="27"/>
    <x v="0"/>
    <n v="806"/>
    <n v="30"/>
    <n v="51.63"/>
    <s v="Pending"/>
    <n v="0.97"/>
    <x v="0"/>
    <s v="Route C"/>
    <n v="880.08"/>
  </r>
  <r>
    <s v="haircare"/>
    <x v="1"/>
    <s v="SKU55"/>
    <x v="14"/>
    <n v="1"/>
    <n v="79.86"/>
    <n v="16"/>
    <n v="701"/>
    <n v="2925.68"/>
    <s v="Male"/>
    <n v="11"/>
    <n v="5"/>
    <s v="Carrier A"/>
    <n v="5.01"/>
    <s v="Supplier 2"/>
    <x v="4"/>
    <n v="27"/>
    <x v="0"/>
    <n v="918"/>
    <n v="5"/>
    <n v="30.32"/>
    <s v="Fail"/>
    <n v="4.55"/>
    <x v="3"/>
    <s v="Route B"/>
    <n v="323.01"/>
  </r>
  <r>
    <s v="haircare"/>
    <x v="1"/>
    <s v="SKU87"/>
    <x v="15"/>
    <n v="1"/>
    <n v="80.41"/>
    <n v="24"/>
    <n v="79"/>
    <n v="5133.8500000000004"/>
    <s v="Male"/>
    <n v="55"/>
    <n v="10"/>
    <s v="Carrier A"/>
    <n v="6.58"/>
    <s v="Supplier 3"/>
    <x v="2"/>
    <n v="27"/>
    <x v="0"/>
    <n v="523"/>
    <n v="17"/>
    <n v="28.7"/>
    <s v="Fail"/>
    <n v="3.69"/>
    <x v="3"/>
    <s v="Route B"/>
    <n v="879.36"/>
  </r>
  <r>
    <s v="haircare"/>
    <x v="1"/>
    <s v="SKU26"/>
    <x v="16"/>
    <n v="1"/>
    <n v="97.45"/>
    <n v="9"/>
    <n v="353"/>
    <n v="3716.49"/>
    <s v="Male"/>
    <n v="48"/>
    <n v="4"/>
    <s v="Carrier B"/>
    <n v="6.51"/>
    <s v="Supplier 2"/>
    <x v="3"/>
    <n v="26"/>
    <x v="0"/>
    <n v="171"/>
    <n v="4"/>
    <n v="15.97"/>
    <s v="Pass"/>
    <n v="2.12"/>
    <x v="2"/>
    <s v="Route A"/>
    <n v="617.87"/>
  </r>
  <r>
    <s v="skincare"/>
    <x v="0"/>
    <s v="SKU36"/>
    <x v="17"/>
    <n v="1"/>
    <n v="9.81"/>
    <n v="34"/>
    <n v="963"/>
    <n v="7573.4"/>
    <s v="Female"/>
    <n v="28"/>
    <n v="3"/>
    <s v="Carrier B"/>
    <n v="2.11"/>
    <s v="Supplier 2"/>
    <x v="4"/>
    <n v="26"/>
    <x v="0"/>
    <n v="671"/>
    <n v="19"/>
    <n v="45.53"/>
    <s v="Fail"/>
    <n v="3.81"/>
    <x v="1"/>
    <s v="Route C"/>
    <n v="403.81"/>
  </r>
  <r>
    <s v="skincare"/>
    <x v="0"/>
    <s v="SKU42"/>
    <x v="18"/>
    <n v="1"/>
    <n v="46.53"/>
    <n v="98"/>
    <n v="155"/>
    <n v="1839.61"/>
    <s v="Female"/>
    <n v="57"/>
    <n v="4"/>
    <s v="Carrier C"/>
    <n v="7.53"/>
    <s v="Supplier 5"/>
    <x v="3"/>
    <n v="26"/>
    <x v="0"/>
    <n v="179"/>
    <n v="7"/>
    <n v="96.42"/>
    <s v="Fail"/>
    <n v="4.9400000000000004"/>
    <x v="0"/>
    <s v="Route A"/>
    <n v="635.66"/>
  </r>
  <r>
    <s v="haircare"/>
    <x v="1"/>
    <s v="SKU54"/>
    <x v="19"/>
    <n v="1"/>
    <n v="31.15"/>
    <n v="11"/>
    <n v="622"/>
    <n v="6088.02"/>
    <s v="Non-binary"/>
    <n v="61"/>
    <n v="3"/>
    <s v="Carrier B"/>
    <n v="4.3099999999999996"/>
    <s v="Supplier 1"/>
    <x v="0"/>
    <n v="26"/>
    <x v="0"/>
    <n v="497"/>
    <n v="29"/>
    <n v="30.19"/>
    <s v="Pass"/>
    <n v="2.48"/>
    <x v="0"/>
    <s v="Route B"/>
    <n v="814.07"/>
  </r>
  <r>
    <s v="haircare"/>
    <x v="1"/>
    <s v="SKU77"/>
    <x v="20"/>
    <n v="1"/>
    <n v="57.45"/>
    <n v="14"/>
    <n v="359"/>
    <n v="2483.7600000000002"/>
    <s v="Unknown"/>
    <n v="57"/>
    <n v="4"/>
    <s v="Carrier B"/>
    <n v="6.78"/>
    <s v="Supplier 1"/>
    <x v="0"/>
    <n v="26"/>
    <x v="0"/>
    <n v="334"/>
    <n v="5"/>
    <n v="42.95"/>
    <s v="Pass"/>
    <n v="3.06"/>
    <x v="0"/>
    <s v="Route B"/>
    <n v="852.57"/>
  </r>
  <r>
    <s v="skincare"/>
    <x v="0"/>
    <s v="SKU14"/>
    <x v="21"/>
    <n v="1"/>
    <n v="99.17"/>
    <n v="26"/>
    <n v="562"/>
    <n v="8653.57"/>
    <s v="Non-binary"/>
    <n v="78"/>
    <n v="5"/>
    <s v="Carrier B"/>
    <n v="2.04"/>
    <s v="Supplier 1"/>
    <x v="0"/>
    <n v="25"/>
    <x v="0"/>
    <n v="558"/>
    <n v="14"/>
    <n v="5.79"/>
    <s v="Pending"/>
    <n v="0.1"/>
    <x v="1"/>
    <s v="Route B"/>
    <n v="929.24"/>
  </r>
  <r>
    <s v="cosmetics"/>
    <x v="2"/>
    <s v="SKU27"/>
    <x v="22"/>
    <n v="1"/>
    <n v="92.56"/>
    <n v="42"/>
    <n v="352"/>
    <n v="2686.46"/>
    <s v="Unknown"/>
    <n v="62"/>
    <n v="8"/>
    <s v="Carrier C"/>
    <n v="7.41"/>
    <s v="Supplier 5"/>
    <x v="1"/>
    <n v="25"/>
    <x v="0"/>
    <n v="291"/>
    <n v="4"/>
    <n v="10.53"/>
    <s v="Fail"/>
    <n v="2.86"/>
    <x v="3"/>
    <s v="Route B"/>
    <n v="762.46"/>
  </r>
  <r>
    <s v="haircare"/>
    <x v="1"/>
    <s v="SKU45"/>
    <x v="23"/>
    <n v="1"/>
    <n v="33.78"/>
    <n v="1"/>
    <n v="24"/>
    <n v="5267.96"/>
    <s v="Male"/>
    <n v="52"/>
    <n v="6"/>
    <s v="Carrier B"/>
    <n v="5.22"/>
    <s v="Supplier 2"/>
    <x v="2"/>
    <n v="25"/>
    <x v="0"/>
    <n v="794"/>
    <n v="25"/>
    <n v="66.31"/>
    <s v="Pass"/>
    <n v="3.22"/>
    <x v="2"/>
    <s v="Route A"/>
    <n v="495.31"/>
  </r>
  <r>
    <s v="skincare"/>
    <x v="0"/>
    <s v="SKU75"/>
    <x v="24"/>
    <n v="1"/>
    <n v="93"/>
    <n v="29"/>
    <n v="106"/>
    <n v="1889.07"/>
    <s v="Non-binary"/>
    <n v="56"/>
    <n v="10"/>
    <s v="Carrier C"/>
    <n v="2.4700000000000002"/>
    <s v="Supplier 1"/>
    <x v="2"/>
    <n v="25"/>
    <x v="0"/>
    <n v="759"/>
    <n v="11"/>
    <n v="48.06"/>
    <s v="Pass"/>
    <n v="2.0299999999999998"/>
    <x v="1"/>
    <s v="Route C"/>
    <n v="873.13"/>
  </r>
  <r>
    <s v="haircare"/>
    <x v="1"/>
    <s v="SKU76"/>
    <x v="25"/>
    <n v="1"/>
    <n v="69.11"/>
    <n v="23"/>
    <n v="241"/>
    <n v="5328.38"/>
    <s v="Male"/>
    <n v="22"/>
    <n v="10"/>
    <s v="Carrier A"/>
    <n v="7.05"/>
    <s v="Supplier 2"/>
    <x v="3"/>
    <n v="25"/>
    <x v="0"/>
    <n v="985"/>
    <n v="24"/>
    <n v="64.319999999999993"/>
    <s v="Pending"/>
    <n v="2.1800000000000002"/>
    <x v="2"/>
    <s v="Route A"/>
    <n v="997.41"/>
  </r>
  <r>
    <s v="haircare"/>
    <x v="1"/>
    <s v="SKU78"/>
    <x v="26"/>
    <n v="1"/>
    <n v="6.31"/>
    <n v="50"/>
    <n v="946"/>
    <n v="1292.46"/>
    <s v="Unknown"/>
    <n v="51"/>
    <n v="5"/>
    <s v="Carrier B"/>
    <n v="8.4700000000000006"/>
    <s v="Supplier 5"/>
    <x v="1"/>
    <n v="25"/>
    <x v="0"/>
    <n v="858"/>
    <n v="21"/>
    <n v="71.13"/>
    <s v="Pending"/>
    <n v="4.0999999999999996"/>
    <x v="3"/>
    <s v="Route C"/>
    <n v="323.58999999999997"/>
  </r>
  <r>
    <s v="skincare"/>
    <x v="0"/>
    <s v="SKU3"/>
    <x v="27"/>
    <n v="1"/>
    <n v="61.16"/>
    <n v="68"/>
    <n v="83"/>
    <n v="7766.84"/>
    <s v="Non-binary"/>
    <n v="59"/>
    <n v="6"/>
    <s v="Carrier C"/>
    <n v="1.73"/>
    <s v="Supplier 5"/>
    <x v="0"/>
    <n v="24"/>
    <x v="0"/>
    <n v="937"/>
    <n v="18"/>
    <n v="35.619999999999997"/>
    <s v="Fail"/>
    <n v="4.75"/>
    <x v="2"/>
    <s v="Route A"/>
    <n v="254.78"/>
  </r>
  <r>
    <s v="skincare"/>
    <x v="0"/>
    <s v="SKU31"/>
    <x v="28"/>
    <n v="1"/>
    <n v="50.85"/>
    <n v="28"/>
    <n v="168"/>
    <n v="9655.14"/>
    <s v="Male"/>
    <n v="44"/>
    <n v="4"/>
    <s v="Carrier B"/>
    <n v="2.68"/>
    <s v="Supplier 3"/>
    <x v="2"/>
    <n v="24"/>
    <x v="0"/>
    <n v="461"/>
    <n v="8"/>
    <n v="60.25"/>
    <s v="Pending"/>
    <n v="2.99"/>
    <x v="2"/>
    <s v="Route C"/>
    <n v="609.38"/>
  </r>
  <r>
    <s v="skincare"/>
    <x v="0"/>
    <s v="SKU37"/>
    <x v="29"/>
    <n v="1"/>
    <n v="23.4"/>
    <n v="5"/>
    <n v="963"/>
    <n v="2438.34"/>
    <s v="Female"/>
    <n v="21"/>
    <n v="9"/>
    <s v="Carrier A"/>
    <n v="1.53"/>
    <s v="Supplier 3"/>
    <x v="0"/>
    <n v="24"/>
    <x v="0"/>
    <n v="867"/>
    <n v="15"/>
    <n v="34.340000000000003"/>
    <s v="Pending"/>
    <n v="2.61"/>
    <x v="3"/>
    <s v="Route A"/>
    <n v="183.93"/>
  </r>
  <r>
    <s v="skincare"/>
    <x v="0"/>
    <s v="SKU56"/>
    <x v="30"/>
    <n v="1"/>
    <n v="20.99"/>
    <n v="90"/>
    <n v="93"/>
    <n v="4767.0200000000004"/>
    <s v="Non-binary"/>
    <n v="83"/>
    <n v="5"/>
    <s v="Carrier C"/>
    <n v="1.77"/>
    <s v="Supplier 1"/>
    <x v="1"/>
    <n v="24"/>
    <x v="0"/>
    <n v="826"/>
    <n v="28"/>
    <n v="12.84"/>
    <s v="Pass"/>
    <n v="1.17"/>
    <x v="1"/>
    <s v="Route B"/>
    <n v="832.21"/>
  </r>
  <r>
    <s v="skincare"/>
    <x v="0"/>
    <s v="SKU66"/>
    <x v="31"/>
    <n v="2"/>
    <n v="26.03"/>
    <n v="52"/>
    <n v="704"/>
    <n v="8367.7199999999993"/>
    <s v="Female"/>
    <n v="19"/>
    <n v="8"/>
    <s v="Carrier A"/>
    <n v="2.2200000000000002"/>
    <s v="Supplier 5"/>
    <x v="0"/>
    <n v="24"/>
    <x v="0"/>
    <n v="867"/>
    <n v="28"/>
    <n v="42.08"/>
    <s v="Fail"/>
    <n v="3.45"/>
    <x v="0"/>
    <s v="Route A"/>
    <n v="393.84"/>
  </r>
  <r>
    <s v="haircare"/>
    <x v="1"/>
    <s v="SKU84"/>
    <x v="32"/>
    <n v="2"/>
    <n v="89.1"/>
    <n v="99"/>
    <n v="618"/>
    <n v="2048.29"/>
    <s v="Unknown"/>
    <n v="80"/>
    <n v="10"/>
    <s v="Carrier A"/>
    <n v="8.3800000000000008"/>
    <s v="Supplier 5"/>
    <x v="2"/>
    <n v="24"/>
    <x v="0"/>
    <n v="589"/>
    <n v="22"/>
    <n v="33.81"/>
    <s v="Pass"/>
    <n v="4.84"/>
    <x v="1"/>
    <s v="Route B"/>
    <n v="465.46"/>
  </r>
  <r>
    <s v="skincare"/>
    <x v="0"/>
    <s v="SKU1"/>
    <x v="33"/>
    <n v="2"/>
    <n v="14.84"/>
    <n v="95"/>
    <n v="736"/>
    <n v="7460.9"/>
    <s v="Female"/>
    <n v="37"/>
    <n v="2"/>
    <s v="Carrier A"/>
    <n v="9.7200000000000006"/>
    <s v="Supplier 3"/>
    <x v="1"/>
    <n v="23"/>
    <x v="0"/>
    <n v="517"/>
    <n v="30"/>
    <n v="33.619999999999997"/>
    <s v="Pending"/>
    <n v="4.8499999999999996"/>
    <x v="0"/>
    <s v="Route B"/>
    <n v="503.07"/>
  </r>
  <r>
    <s v="skincare"/>
    <x v="0"/>
    <s v="SKU13"/>
    <x v="34"/>
    <n v="2"/>
    <n v="16.16"/>
    <n v="5"/>
    <n v="249"/>
    <n v="4052.74"/>
    <s v="Male"/>
    <n v="48"/>
    <n v="9"/>
    <s v="Carrier A"/>
    <n v="9.5399999999999991"/>
    <s v="Supplier 5"/>
    <x v="3"/>
    <n v="23"/>
    <x v="0"/>
    <n v="173"/>
    <n v="10"/>
    <n v="97.83"/>
    <s v="Pending"/>
    <n v="1.63"/>
    <x v="0"/>
    <s v="Route B"/>
    <n v="547.24"/>
  </r>
  <r>
    <s v="cosmetics"/>
    <x v="2"/>
    <s v="SKU89"/>
    <x v="35"/>
    <n v="2"/>
    <n v="97.76"/>
    <n v="10"/>
    <n v="134"/>
    <n v="5924.68"/>
    <s v="Unknown"/>
    <n v="27"/>
    <n v="8"/>
    <s v="Carrier B"/>
    <n v="9.93"/>
    <s v="Supplier 1"/>
    <x v="0"/>
    <n v="23"/>
    <x v="0"/>
    <n v="370"/>
    <n v="11"/>
    <n v="46.6"/>
    <s v="Pending"/>
    <n v="1.91"/>
    <x v="2"/>
    <s v="Route B"/>
    <n v="517.5"/>
  </r>
  <r>
    <s v="haircare"/>
    <x v="1"/>
    <s v="SKU22"/>
    <x v="36"/>
    <n v="2"/>
    <n v="27.68"/>
    <n v="55"/>
    <n v="884"/>
    <n v="2390.81"/>
    <s v="Unknown"/>
    <n v="63"/>
    <n v="10"/>
    <s v="Carrier A"/>
    <n v="9.57"/>
    <s v="Supplier 4"/>
    <x v="0"/>
    <n v="22"/>
    <x v="0"/>
    <n v="780"/>
    <n v="28"/>
    <n v="50.12"/>
    <s v="Fail"/>
    <n v="2.59"/>
    <x v="2"/>
    <s v="Route C"/>
    <n v="205.57"/>
  </r>
  <r>
    <s v="cosmetics"/>
    <x v="2"/>
    <s v="SKU7"/>
    <x v="37"/>
    <n v="2"/>
    <n v="42.96"/>
    <n v="59"/>
    <n v="426"/>
    <n v="8496.1"/>
    <s v="Female"/>
    <n v="11"/>
    <n v="1"/>
    <s v="Carrier B"/>
    <n v="2.35"/>
    <s v="Supplier 4"/>
    <x v="3"/>
    <n v="22"/>
    <x v="0"/>
    <n v="564"/>
    <n v="1"/>
    <n v="99.47"/>
    <s v="Fail"/>
    <n v="0.4"/>
    <x v="0"/>
    <s v="Route C"/>
    <n v="802.06"/>
  </r>
  <r>
    <s v="haircare"/>
    <x v="1"/>
    <s v="SKU70"/>
    <x v="38"/>
    <n v="2"/>
    <n v="47.91"/>
    <n v="90"/>
    <n v="32"/>
    <n v="7014.89"/>
    <s v="Female"/>
    <n v="22"/>
    <n v="4"/>
    <s v="Carrier B"/>
    <n v="6.32"/>
    <s v="Supplier 1"/>
    <x v="3"/>
    <n v="22"/>
    <x v="0"/>
    <n v="775"/>
    <n v="16"/>
    <n v="11.44"/>
    <s v="Pass"/>
    <n v="1.83"/>
    <x v="0"/>
    <s v="Route C"/>
    <n v="183.27"/>
  </r>
  <r>
    <s v="haircare"/>
    <x v="1"/>
    <s v="SKU57"/>
    <x v="39"/>
    <n v="2"/>
    <n v="49.26"/>
    <n v="65"/>
    <n v="227"/>
    <n v="1605.87"/>
    <s v="Unknown"/>
    <n v="51"/>
    <n v="1"/>
    <s v="Carrier B"/>
    <n v="9.16"/>
    <s v="Supplier 2"/>
    <x v="4"/>
    <n v="21"/>
    <x v="0"/>
    <n v="588"/>
    <n v="25"/>
    <n v="67.78"/>
    <s v="Pending"/>
    <n v="2.5099999999999998"/>
    <x v="2"/>
    <s v="Route A"/>
    <n v="482.19"/>
  </r>
  <r>
    <s v="cosmetics"/>
    <x v="2"/>
    <s v="SKU72"/>
    <x v="40"/>
    <n v="2"/>
    <n v="90.2"/>
    <n v="88"/>
    <n v="478"/>
    <n v="2633.12"/>
    <s v="Non-binary"/>
    <n v="77"/>
    <n v="9"/>
    <s v="Carrier A"/>
    <n v="6.6"/>
    <s v="Supplier 1"/>
    <x v="3"/>
    <n v="21"/>
    <x v="0"/>
    <n v="152"/>
    <n v="11"/>
    <n v="55.76"/>
    <s v="Pending"/>
    <n v="3.21"/>
    <x v="2"/>
    <s v="Route B"/>
    <n v="677.94"/>
  </r>
  <r>
    <s v="cosmetics"/>
    <x v="2"/>
    <s v="SKU88"/>
    <x v="41"/>
    <n v="2"/>
    <n v="75.27"/>
    <n v="58"/>
    <n v="737"/>
    <n v="9444.74"/>
    <s v="Male"/>
    <n v="85"/>
    <n v="7"/>
    <s v="Carrier A"/>
    <n v="3.8"/>
    <s v="Supplier 2"/>
    <x v="1"/>
    <n v="21"/>
    <x v="0"/>
    <n v="953"/>
    <n v="11"/>
    <n v="68.180000000000007"/>
    <s v="Pending"/>
    <n v="0.72"/>
    <x v="3"/>
    <s v="Route A"/>
    <n v="103.92"/>
  </r>
  <r>
    <s v="haircare"/>
    <x v="1"/>
    <s v="SKU93"/>
    <x v="42"/>
    <n v="2"/>
    <n v="69.290000000000006"/>
    <n v="88"/>
    <n v="114"/>
    <n v="4531.3999999999996"/>
    <s v="Unknown"/>
    <n v="66"/>
    <n v="1"/>
    <s v="Carrier C"/>
    <n v="7.01"/>
    <s v="Supplier 4"/>
    <x v="2"/>
    <n v="21"/>
    <x v="0"/>
    <n v="824"/>
    <n v="20"/>
    <n v="35.630000000000003"/>
    <s v="Fail"/>
    <n v="4.17"/>
    <x v="1"/>
    <s v="Route A"/>
    <n v="823.52"/>
  </r>
  <r>
    <s v="skincare"/>
    <x v="0"/>
    <s v="SKU19"/>
    <x v="43"/>
    <n v="2"/>
    <n v="51.12"/>
    <n v="100"/>
    <n v="187"/>
    <n v="2553.5"/>
    <s v="Unknown"/>
    <n v="94"/>
    <n v="3"/>
    <s v="Carrier A"/>
    <n v="4.74"/>
    <s v="Supplier 4"/>
    <x v="2"/>
    <n v="20"/>
    <x v="1"/>
    <n v="694"/>
    <n v="16"/>
    <n v="82.37"/>
    <s v="Fail"/>
    <n v="3.65"/>
    <x v="0"/>
    <s v="Route C"/>
    <n v="477.31"/>
  </r>
  <r>
    <s v="cosmetics"/>
    <x v="2"/>
    <s v="SKU50"/>
    <x v="44"/>
    <n v="2"/>
    <n v="14.2"/>
    <n v="91"/>
    <n v="633"/>
    <n v="5910.89"/>
    <s v="Female"/>
    <n v="82"/>
    <n v="10"/>
    <s v="Carrier A"/>
    <n v="6.25"/>
    <s v="Supplier 2"/>
    <x v="4"/>
    <n v="20"/>
    <x v="1"/>
    <n v="306"/>
    <n v="21"/>
    <n v="45.18"/>
    <s v="Fail"/>
    <n v="4.75"/>
    <x v="2"/>
    <s v="Route B"/>
    <n v="496.25"/>
  </r>
  <r>
    <s v="haircare"/>
    <x v="1"/>
    <s v="SKU83"/>
    <x v="45"/>
    <n v="2"/>
    <n v="68.91"/>
    <n v="82"/>
    <n v="663"/>
    <n v="2411.75"/>
    <s v="Unknown"/>
    <n v="7"/>
    <n v="8"/>
    <s v="Carrier B"/>
    <n v="4.95"/>
    <s v="Supplier 1"/>
    <x v="3"/>
    <n v="20"/>
    <x v="1"/>
    <n v="443"/>
    <n v="5"/>
    <n v="97.73"/>
    <s v="Fail"/>
    <n v="0.77"/>
    <x v="0"/>
    <s v="Route A"/>
    <n v="682.97"/>
  </r>
  <r>
    <s v="cosmetics"/>
    <x v="2"/>
    <s v="SKU21"/>
    <x v="46"/>
    <n v="2"/>
    <n v="84.89"/>
    <n v="60"/>
    <n v="601"/>
    <n v="7087.05"/>
    <s v="Unknown"/>
    <n v="7"/>
    <n v="6"/>
    <s v="Carrier B"/>
    <n v="6.04"/>
    <s v="Supplier 5"/>
    <x v="2"/>
    <n v="19"/>
    <x v="1"/>
    <n v="791"/>
    <n v="4"/>
    <n v="61.74"/>
    <s v="Pending"/>
    <n v="0.02"/>
    <x v="1"/>
    <s v="Route C"/>
    <n v="523.36"/>
  </r>
  <r>
    <s v="haircare"/>
    <x v="1"/>
    <s v="SKU25"/>
    <x v="47"/>
    <n v="2"/>
    <n v="39.630000000000003"/>
    <n v="73"/>
    <n v="142"/>
    <n v="2174.7800000000002"/>
    <s v="Male"/>
    <n v="52"/>
    <n v="3"/>
    <s v="Carrier C"/>
    <n v="2.23"/>
    <s v="Supplier 4"/>
    <x v="0"/>
    <n v="19"/>
    <x v="1"/>
    <n v="934"/>
    <n v="23"/>
    <n v="78.28"/>
    <s v="Pending"/>
    <n v="3.8"/>
    <x v="0"/>
    <s v="Route B"/>
    <n v="458.54"/>
  </r>
  <r>
    <s v="skincare"/>
    <x v="0"/>
    <s v="SKU10"/>
    <x v="48"/>
    <n v="2"/>
    <n v="15.71"/>
    <n v="11"/>
    <n v="996"/>
    <n v="2330.9699999999998"/>
    <s v="Non-binary"/>
    <n v="80"/>
    <n v="2"/>
    <s v="Carrier C"/>
    <n v="8.67"/>
    <s v="Supplier 5"/>
    <x v="0"/>
    <n v="18"/>
    <x v="1"/>
    <n v="830"/>
    <n v="5"/>
    <n v="96.53"/>
    <s v="Pass"/>
    <n v="1.73"/>
    <x v="0"/>
    <s v="Route B"/>
    <n v="806.1"/>
  </r>
  <r>
    <s v="haircare"/>
    <x v="1"/>
    <s v="SKU18"/>
    <x v="49"/>
    <n v="2"/>
    <n v="36.44"/>
    <n v="23"/>
    <n v="620"/>
    <n v="9364.67"/>
    <s v="Unknown"/>
    <n v="46"/>
    <n v="8"/>
    <s v="Carrier C"/>
    <n v="4.34"/>
    <s v="Supplier 2"/>
    <x v="0"/>
    <n v="18"/>
    <x v="1"/>
    <n v="374"/>
    <n v="17"/>
    <n v="27.11"/>
    <s v="Pending"/>
    <n v="2.23"/>
    <x v="3"/>
    <s v="Route A"/>
    <n v="593.48"/>
  </r>
  <r>
    <s v="skincare"/>
    <x v="0"/>
    <s v="SKU40"/>
    <x v="50"/>
    <n v="2"/>
    <n v="80.540000000000006"/>
    <n v="97"/>
    <n v="933"/>
    <n v="5724.96"/>
    <s v="Female"/>
    <n v="39"/>
    <n v="8"/>
    <s v="Carrier C"/>
    <n v="7.23"/>
    <s v="Supplier 1"/>
    <x v="0"/>
    <n v="18"/>
    <x v="1"/>
    <n v="793"/>
    <n v="1"/>
    <n v="88.18"/>
    <s v="Pending"/>
    <n v="4.21"/>
    <x v="0"/>
    <s v="Route A"/>
    <n v="529.80999999999995"/>
  </r>
  <r>
    <s v="skincare"/>
    <x v="0"/>
    <s v="SKU41"/>
    <x v="51"/>
    <n v="2"/>
    <n v="99.11"/>
    <n v="35"/>
    <n v="556"/>
    <n v="5521.21"/>
    <s v="Female"/>
    <n v="38"/>
    <n v="8"/>
    <s v="Carrier B"/>
    <n v="5.77"/>
    <s v="Supplier 4"/>
    <x v="2"/>
    <n v="18"/>
    <x v="1"/>
    <n v="892"/>
    <n v="7"/>
    <n v="95.33"/>
    <s v="Fail"/>
    <n v="0.05"/>
    <x v="3"/>
    <s v="Route A"/>
    <n v="275.52"/>
  </r>
  <r>
    <s v="haircare"/>
    <x v="1"/>
    <s v="SKU46"/>
    <x v="52"/>
    <n v="2"/>
    <n v="27.08"/>
    <n v="75"/>
    <n v="859"/>
    <n v="2556.77"/>
    <s v="Non-binary"/>
    <n v="6"/>
    <n v="8"/>
    <s v="Carrier B"/>
    <n v="4.07"/>
    <s v="Supplier 3"/>
    <x v="2"/>
    <n v="18"/>
    <x v="1"/>
    <n v="870"/>
    <n v="23"/>
    <n v="77.319999999999993"/>
    <s v="Pending"/>
    <n v="3.65"/>
    <x v="0"/>
    <s v="Route B"/>
    <n v="380.44"/>
  </r>
  <r>
    <s v="haircare"/>
    <x v="1"/>
    <s v="SKU51"/>
    <x v="53"/>
    <n v="2"/>
    <n v="26.7"/>
    <n v="61"/>
    <n v="154"/>
    <n v="9866.4699999999993"/>
    <s v="Male"/>
    <n v="52"/>
    <n v="1"/>
    <s v="Carrier A"/>
    <n v="4.78"/>
    <s v="Supplier 5"/>
    <x v="3"/>
    <n v="18"/>
    <x v="1"/>
    <n v="673"/>
    <n v="28"/>
    <n v="14.19"/>
    <s v="Pending"/>
    <n v="1.77"/>
    <x v="0"/>
    <s v="Route A"/>
    <n v="694.98"/>
  </r>
  <r>
    <s v="skincare"/>
    <x v="0"/>
    <s v="SKU58"/>
    <x v="54"/>
    <n v="2"/>
    <n v="59.84"/>
    <n v="81"/>
    <n v="896"/>
    <n v="2021.15"/>
    <s v="Non-binary"/>
    <n v="44"/>
    <n v="7"/>
    <s v="Carrier A"/>
    <n v="4.9400000000000004"/>
    <s v="Supplier 3"/>
    <x v="4"/>
    <n v="18"/>
    <x v="1"/>
    <n v="396"/>
    <n v="7"/>
    <n v="65.05"/>
    <s v="Fail"/>
    <n v="1.73"/>
    <x v="0"/>
    <s v="Route B"/>
    <n v="110.36"/>
  </r>
  <r>
    <s v="skincare"/>
    <x v="0"/>
    <s v="SKU63"/>
    <x v="55"/>
    <n v="2"/>
    <n v="13.02"/>
    <n v="55"/>
    <n v="246"/>
    <n v="4256.95"/>
    <s v="Non-binary"/>
    <n v="10"/>
    <n v="4"/>
    <s v="Carrier A"/>
    <n v="2.46"/>
    <s v="Supplier 3"/>
    <x v="3"/>
    <n v="18"/>
    <x v="1"/>
    <n v="736"/>
    <n v="10"/>
    <n v="20.079999999999998"/>
    <s v="Pending"/>
    <n v="3.63"/>
    <x v="3"/>
    <s v="Route A"/>
    <n v="687.29"/>
  </r>
  <r>
    <s v="haircare"/>
    <x v="1"/>
    <s v="SKU95"/>
    <x v="56"/>
    <n v="2"/>
    <n v="77.900000000000006"/>
    <n v="65"/>
    <n v="672"/>
    <n v="7386.36"/>
    <s v="Unknown"/>
    <n v="26"/>
    <n v="9"/>
    <s v="Carrier B"/>
    <n v="8.6300000000000008"/>
    <s v="Supplier 4"/>
    <x v="1"/>
    <n v="18"/>
    <x v="1"/>
    <n v="450"/>
    <n v="26"/>
    <n v="58.89"/>
    <s v="Pending"/>
    <n v="1.21"/>
    <x v="1"/>
    <s v="Route A"/>
    <n v="778.86"/>
  </r>
  <r>
    <s v="skincare"/>
    <x v="0"/>
    <s v="SKU64"/>
    <x v="57"/>
    <n v="2"/>
    <n v="89.63"/>
    <n v="11"/>
    <n v="134"/>
    <n v="8458.73"/>
    <s v="Female"/>
    <n v="75"/>
    <n v="6"/>
    <s v="Carrier C"/>
    <n v="4.59"/>
    <s v="Supplier 1"/>
    <x v="4"/>
    <n v="17"/>
    <x v="1"/>
    <n v="328"/>
    <n v="6"/>
    <n v="8.69"/>
    <s v="Fail"/>
    <n v="0.16"/>
    <x v="1"/>
    <s v="Route C"/>
    <n v="771.23"/>
  </r>
  <r>
    <s v="cosmetics"/>
    <x v="2"/>
    <s v="SKU29"/>
    <x v="58"/>
    <n v="2"/>
    <n v="63.45"/>
    <n v="3"/>
    <n v="253"/>
    <n v="8318.9"/>
    <s v="Female"/>
    <n v="67"/>
    <n v="7"/>
    <s v="Carrier B"/>
    <n v="8.1"/>
    <s v="Supplier 1"/>
    <x v="0"/>
    <n v="16"/>
    <x v="1"/>
    <n v="329"/>
    <n v="7"/>
    <n v="39.29"/>
    <s v="Pass"/>
    <n v="3.88"/>
    <x v="0"/>
    <s v="Route B"/>
    <n v="764.94"/>
  </r>
  <r>
    <s v="skincare"/>
    <x v="0"/>
    <s v="SKU65"/>
    <x v="59"/>
    <n v="3"/>
    <n v="33.700000000000003"/>
    <n v="72"/>
    <n v="457"/>
    <n v="8354.58"/>
    <s v="Male"/>
    <n v="54"/>
    <n v="8"/>
    <s v="Carrier C"/>
    <n v="6.58"/>
    <s v="Supplier 5"/>
    <x v="0"/>
    <n v="16"/>
    <x v="1"/>
    <n v="358"/>
    <n v="21"/>
    <n v="1.6"/>
    <s v="Fail"/>
    <n v="4.91"/>
    <x v="2"/>
    <s v="Route C"/>
    <n v="555.86"/>
  </r>
  <r>
    <s v="skincare"/>
    <x v="0"/>
    <s v="SKU15"/>
    <x v="60"/>
    <n v="3"/>
    <n v="36.99"/>
    <n v="94"/>
    <n v="469"/>
    <n v="5442.09"/>
    <s v="Non-binary"/>
    <n v="69"/>
    <n v="7"/>
    <s v="Carrier B"/>
    <n v="2.42"/>
    <s v="Supplier 1"/>
    <x v="3"/>
    <n v="14"/>
    <x v="1"/>
    <n v="580"/>
    <n v="7"/>
    <n v="97.12"/>
    <s v="Pass"/>
    <n v="2.2599999999999998"/>
    <x v="3"/>
    <s v="Route B"/>
    <n v="127.86"/>
  </r>
  <r>
    <s v="skincare"/>
    <x v="0"/>
    <s v="SKU6"/>
    <x v="61"/>
    <n v="3"/>
    <n v="4.08"/>
    <n v="48"/>
    <n v="65"/>
    <n v="7823.48"/>
    <s v="Male"/>
    <n v="58"/>
    <n v="8"/>
    <s v="Carrier C"/>
    <n v="3.88"/>
    <s v="Supplier 3"/>
    <x v="0"/>
    <n v="14"/>
    <x v="1"/>
    <n v="314"/>
    <n v="24"/>
    <n v="1.0900000000000001"/>
    <s v="Pending"/>
    <n v="1"/>
    <x v="3"/>
    <s v="Route A"/>
    <n v="134.37"/>
  </r>
  <r>
    <s v="haircare"/>
    <x v="1"/>
    <s v="SKU61"/>
    <x v="62"/>
    <n v="3"/>
    <n v="52.03"/>
    <n v="23"/>
    <n v="117"/>
    <n v="6885.59"/>
    <s v="Unknown"/>
    <n v="36"/>
    <n v="7"/>
    <s v="Carrier C"/>
    <n v="9.0299999999999994"/>
    <s v="Supplier 4"/>
    <x v="0"/>
    <n v="14"/>
    <x v="1"/>
    <n v="480"/>
    <n v="12"/>
    <n v="78.7"/>
    <s v="Fail"/>
    <n v="4.37"/>
    <x v="1"/>
    <s v="Route A"/>
    <n v="164.37"/>
  </r>
  <r>
    <s v="cosmetics"/>
    <x v="2"/>
    <s v="SKU28"/>
    <x v="63"/>
    <n v="3"/>
    <n v="2.4"/>
    <n v="12"/>
    <n v="394"/>
    <n v="6117.32"/>
    <s v="Female"/>
    <n v="24"/>
    <n v="4"/>
    <s v="Carrier B"/>
    <n v="9.9"/>
    <s v="Supplier 1"/>
    <x v="1"/>
    <n v="13"/>
    <x v="1"/>
    <n v="171"/>
    <n v="7"/>
    <n v="59.43"/>
    <s v="Fail"/>
    <n v="0.82"/>
    <x v="1"/>
    <s v="Route A"/>
    <n v="123.44"/>
  </r>
  <r>
    <s v="cosmetics"/>
    <x v="2"/>
    <s v="SKU62"/>
    <x v="64"/>
    <n v="3"/>
    <n v="72.8"/>
    <n v="89"/>
    <n v="270"/>
    <n v="3899.75"/>
    <s v="Unknown"/>
    <n v="40"/>
    <n v="7"/>
    <s v="Carrier C"/>
    <n v="7.29"/>
    <s v="Supplier 2"/>
    <x v="1"/>
    <n v="13"/>
    <x v="1"/>
    <n v="751"/>
    <n v="14"/>
    <n v="21.05"/>
    <s v="Pass"/>
    <n v="1.87"/>
    <x v="3"/>
    <s v="Route C"/>
    <n v="320.85000000000002"/>
  </r>
  <r>
    <s v="cosmetics"/>
    <x v="2"/>
    <s v="SKU73"/>
    <x v="65"/>
    <n v="3"/>
    <n v="83.85"/>
    <n v="41"/>
    <n v="375"/>
    <n v="7910.89"/>
    <s v="Male"/>
    <n v="66"/>
    <n v="5"/>
    <s v="Carrier B"/>
    <n v="1.51"/>
    <s v="Supplier 4"/>
    <x v="2"/>
    <n v="13"/>
    <x v="1"/>
    <n v="444"/>
    <n v="4"/>
    <n v="46.87"/>
    <s v="Fail"/>
    <n v="4.62"/>
    <x v="0"/>
    <s v="Route A"/>
    <n v="866.47"/>
  </r>
  <r>
    <s v="cosmetics"/>
    <x v="2"/>
    <s v="SKU8"/>
    <x v="66"/>
    <n v="3"/>
    <n v="68.72"/>
    <n v="78"/>
    <n v="150"/>
    <n v="7517.36"/>
    <s v="Female"/>
    <n v="15"/>
    <n v="7"/>
    <s v="Carrier C"/>
    <n v="3.4"/>
    <s v="Supplier 4"/>
    <x v="1"/>
    <n v="13"/>
    <x v="1"/>
    <n v="769"/>
    <n v="8"/>
    <n v="11.42"/>
    <s v="Pending"/>
    <n v="2.71"/>
    <x v="3"/>
    <s v="Route B"/>
    <n v="505.56"/>
  </r>
  <r>
    <s v="haircare"/>
    <x v="1"/>
    <s v="SKU2"/>
    <x v="67"/>
    <n v="3"/>
    <n v="11.32"/>
    <n v="34"/>
    <n v="8"/>
    <n v="9577.75"/>
    <s v="Unknown"/>
    <n v="88"/>
    <n v="2"/>
    <s v="Carrier B"/>
    <n v="8.0500000000000007"/>
    <s v="Supplier 1"/>
    <x v="1"/>
    <n v="12"/>
    <x v="1"/>
    <n v="971"/>
    <n v="27"/>
    <n v="30.69"/>
    <s v="Pending"/>
    <n v="4.58"/>
    <x v="1"/>
    <s v="Route C"/>
    <n v="141.91999999999999"/>
  </r>
  <r>
    <s v="cosmetics"/>
    <x v="2"/>
    <s v="SKU94"/>
    <x v="68"/>
    <n v="3"/>
    <n v="3.04"/>
    <n v="97"/>
    <n v="987"/>
    <n v="7888.36"/>
    <s v="Unknown"/>
    <n v="72"/>
    <n v="9"/>
    <s v="Carrier B"/>
    <n v="6.94"/>
    <s v="Supplier 2"/>
    <x v="4"/>
    <n v="12"/>
    <x v="1"/>
    <n v="908"/>
    <n v="14"/>
    <n v="60.39"/>
    <s v="Pass"/>
    <n v="1.46"/>
    <x v="2"/>
    <s v="Route B"/>
    <n v="846.67"/>
  </r>
  <r>
    <s v="cosmetics"/>
    <x v="2"/>
    <s v="SKU23"/>
    <x v="69"/>
    <n v="3"/>
    <n v="4.32"/>
    <n v="30"/>
    <n v="391"/>
    <n v="8858.3700000000008"/>
    <s v="Unknown"/>
    <n v="29"/>
    <n v="7"/>
    <s v="Carrier A"/>
    <n v="2.92"/>
    <s v="Supplier 5"/>
    <x v="0"/>
    <n v="11"/>
    <x v="1"/>
    <n v="568"/>
    <n v="29"/>
    <n v="98.61"/>
    <s v="Pending"/>
    <n v="1.34"/>
    <x v="2"/>
    <s v="Route A"/>
    <n v="196.33"/>
  </r>
  <r>
    <s v="cosmetics"/>
    <x v="2"/>
    <s v="SKU59"/>
    <x v="70"/>
    <n v="3"/>
    <n v="63.83"/>
    <n v="30"/>
    <n v="484"/>
    <n v="1061.6199999999999"/>
    <s v="Non-binary"/>
    <n v="26"/>
    <n v="7"/>
    <s v="Carrier B"/>
    <n v="7.29"/>
    <s v="Supplier 1"/>
    <x v="0"/>
    <n v="11"/>
    <x v="1"/>
    <n v="176"/>
    <n v="4"/>
    <n v="1.9"/>
    <s v="Fail"/>
    <n v="0.45"/>
    <x v="1"/>
    <s v="Route A"/>
    <n v="312.57"/>
  </r>
  <r>
    <s v="cosmetics"/>
    <x v="2"/>
    <s v="SKU38"/>
    <x v="71"/>
    <n v="3"/>
    <n v="52.08"/>
    <n v="75"/>
    <n v="705"/>
    <n v="9692.32"/>
    <s v="Non-binary"/>
    <n v="88"/>
    <n v="5"/>
    <s v="Carrier B"/>
    <n v="9.24"/>
    <s v="Supplier 5"/>
    <x v="1"/>
    <n v="10"/>
    <x v="2"/>
    <n v="841"/>
    <n v="12"/>
    <n v="5.93"/>
    <s v="Pending"/>
    <n v="0.61"/>
    <x v="1"/>
    <s v="Route B"/>
    <n v="339.67"/>
  </r>
  <r>
    <s v="skincare"/>
    <x v="0"/>
    <s v="SKU47"/>
    <x v="72"/>
    <n v="3"/>
    <n v="95.71"/>
    <n v="93"/>
    <n v="910"/>
    <n v="7089.47"/>
    <s v="Male"/>
    <n v="51"/>
    <n v="9"/>
    <s v="Carrier B"/>
    <n v="8.98"/>
    <s v="Supplier 1"/>
    <x v="0"/>
    <n v="10"/>
    <x v="2"/>
    <n v="964"/>
    <n v="20"/>
    <n v="19.71"/>
    <s v="Pending"/>
    <n v="0.38"/>
    <x v="2"/>
    <s v="Route A"/>
    <n v="581.6"/>
  </r>
  <r>
    <s v="haircare"/>
    <x v="1"/>
    <s v="SKU5"/>
    <x v="73"/>
    <n v="3"/>
    <n v="1.7"/>
    <n v="87"/>
    <n v="147"/>
    <n v="2828.35"/>
    <s v="Non-binary"/>
    <n v="66"/>
    <n v="3"/>
    <s v="Carrier B"/>
    <n v="4.4400000000000004"/>
    <s v="Supplier 4"/>
    <x v="3"/>
    <n v="10"/>
    <x v="2"/>
    <n v="104"/>
    <n v="17"/>
    <n v="56.77"/>
    <s v="Fail"/>
    <n v="2.78"/>
    <x v="0"/>
    <s v="Route A"/>
    <n v="235.46"/>
  </r>
  <r>
    <s v="skincare"/>
    <x v="0"/>
    <s v="SKU52"/>
    <x v="74"/>
    <n v="3"/>
    <n v="98.03"/>
    <n v="1"/>
    <n v="820"/>
    <n v="9435.76"/>
    <s v="Male"/>
    <n v="11"/>
    <n v="1"/>
    <s v="Carrier B"/>
    <n v="8.6300000000000008"/>
    <s v="Supplier 1"/>
    <x v="1"/>
    <n v="10"/>
    <x v="2"/>
    <n v="727"/>
    <n v="27"/>
    <n v="9.17"/>
    <s v="Pending"/>
    <n v="2.12"/>
    <x v="1"/>
    <s v="Route C"/>
    <n v="602.9"/>
  </r>
  <r>
    <s v="skincare"/>
    <x v="0"/>
    <s v="SKU67"/>
    <x v="75"/>
    <n v="3"/>
    <n v="87.76"/>
    <n v="16"/>
    <n v="513"/>
    <n v="9473.7999999999993"/>
    <s v="Unknown"/>
    <n v="71"/>
    <n v="9"/>
    <s v="Carrier C"/>
    <n v="9.15"/>
    <s v="Supplier 1"/>
    <x v="1"/>
    <n v="10"/>
    <x v="2"/>
    <n v="198"/>
    <n v="11"/>
    <n v="7.06"/>
    <s v="Pass"/>
    <n v="0.13"/>
    <x v="3"/>
    <s v="Route C"/>
    <n v="169.27"/>
  </r>
  <r>
    <s v="haircare"/>
    <x v="1"/>
    <s v="SKU97"/>
    <x v="76"/>
    <n v="3"/>
    <n v="3.53"/>
    <n v="56"/>
    <n v="62"/>
    <n v="4370.92"/>
    <s v="Male"/>
    <n v="4"/>
    <n v="9"/>
    <s v="Carrier A"/>
    <n v="7.9"/>
    <s v="Supplier 4"/>
    <x v="1"/>
    <n v="10"/>
    <x v="2"/>
    <n v="535"/>
    <n v="13"/>
    <n v="65.77"/>
    <s v="Fail"/>
    <n v="3.38"/>
    <x v="0"/>
    <s v="Route A"/>
    <n v="540.13"/>
  </r>
  <r>
    <s v="haircare"/>
    <x v="1"/>
    <s v="SKU48"/>
    <x v="77"/>
    <n v="3"/>
    <n v="76.040000000000006"/>
    <n v="28"/>
    <n v="29"/>
    <n v="7397.07"/>
    <s v="Non-binary"/>
    <n v="9"/>
    <n v="3"/>
    <s v="Carrier C"/>
    <n v="7.1"/>
    <s v="Supplier 2"/>
    <x v="1"/>
    <n v="9"/>
    <x v="2"/>
    <n v="109"/>
    <n v="18"/>
    <n v="23.13"/>
    <s v="Fail"/>
    <n v="1.7"/>
    <x v="2"/>
    <s v="Route B"/>
    <n v="768.65"/>
  </r>
  <r>
    <s v="skincare"/>
    <x v="0"/>
    <s v="SKU69"/>
    <x v="78"/>
    <n v="3"/>
    <n v="54.87"/>
    <n v="62"/>
    <n v="511"/>
    <n v="1752.38"/>
    <s v="Non-binary"/>
    <n v="27"/>
    <n v="3"/>
    <s v="Carrier B"/>
    <n v="9.7100000000000009"/>
    <s v="Supplier 4"/>
    <x v="0"/>
    <n v="9"/>
    <x v="2"/>
    <n v="862"/>
    <n v="7"/>
    <n v="77.63"/>
    <s v="Pending"/>
    <n v="1.36"/>
    <x v="1"/>
    <s v="Route A"/>
    <n v="207.66"/>
  </r>
  <r>
    <s v="skincare"/>
    <x v="0"/>
    <s v="SKU80"/>
    <x v="79"/>
    <n v="3"/>
    <n v="91.13"/>
    <n v="75"/>
    <n v="872"/>
    <n v="8651.67"/>
    <s v="Unknown"/>
    <n v="41"/>
    <n v="2"/>
    <s v="Carrier C"/>
    <n v="2.83"/>
    <s v="Supplier 3"/>
    <x v="2"/>
    <n v="8"/>
    <x v="2"/>
    <n v="202"/>
    <n v="5"/>
    <n v="76.959999999999994"/>
    <s v="Fail"/>
    <n v="2.85"/>
    <x v="3"/>
    <s v="Route B"/>
    <n v="787.78"/>
  </r>
  <r>
    <s v="skincare"/>
    <x v="0"/>
    <s v="SKU90"/>
    <x v="80"/>
    <n v="3"/>
    <n v="13.88"/>
    <n v="56"/>
    <n v="320"/>
    <n v="9592.6299999999992"/>
    <s v="Non-binary"/>
    <n v="96"/>
    <n v="7"/>
    <s v="Carrier B"/>
    <n v="7.67"/>
    <s v="Supplier 3"/>
    <x v="3"/>
    <n v="8"/>
    <x v="2"/>
    <n v="585"/>
    <n v="8"/>
    <n v="85.68"/>
    <s v="Pass"/>
    <n v="1.22"/>
    <x v="2"/>
    <s v="Route B"/>
    <n v="990.08"/>
  </r>
  <r>
    <s v="cosmetics"/>
    <x v="2"/>
    <s v="SKU17"/>
    <x v="81"/>
    <n v="3"/>
    <n v="81.459999999999994"/>
    <n v="82"/>
    <n v="126"/>
    <n v="2629.4"/>
    <s v="Female"/>
    <n v="85"/>
    <n v="9"/>
    <s v="Carrier C"/>
    <n v="3.59"/>
    <s v="Supplier 1"/>
    <x v="2"/>
    <n v="7"/>
    <x v="2"/>
    <n v="453"/>
    <n v="16"/>
    <n v="47.68"/>
    <s v="Fail"/>
    <n v="0.1"/>
    <x v="1"/>
    <s v="Route C"/>
    <n v="670.93"/>
  </r>
  <r>
    <s v="cosmetics"/>
    <x v="2"/>
    <s v="SKU44"/>
    <x v="82"/>
    <n v="3"/>
    <n v="51.36"/>
    <n v="34"/>
    <n v="919"/>
    <n v="7152.29"/>
    <s v="Female"/>
    <n v="72"/>
    <n v="6"/>
    <s v="Carrier C"/>
    <n v="7.58"/>
    <s v="Supplier 2"/>
    <x v="4"/>
    <n v="7"/>
    <x v="2"/>
    <n v="834"/>
    <n v="18"/>
    <n v="22.55"/>
    <s v="Fail"/>
    <n v="2.96"/>
    <x v="2"/>
    <s v="Route A"/>
    <n v="610.45000000000005"/>
  </r>
  <r>
    <s v="skincare"/>
    <x v="0"/>
    <s v="SKU82"/>
    <x v="83"/>
    <n v="3"/>
    <n v="17.03"/>
    <n v="13"/>
    <n v="336"/>
    <n v="2943.38"/>
    <s v="Unknown"/>
    <n v="72"/>
    <n v="1"/>
    <s v="Carrier A"/>
    <n v="4.71"/>
    <s v="Supplier 2"/>
    <x v="1"/>
    <n v="6"/>
    <x v="2"/>
    <n v="955"/>
    <n v="26"/>
    <n v="4.47"/>
    <s v="Pending"/>
    <n v="4.1399999999999997"/>
    <x v="0"/>
    <s v="Route C"/>
    <n v="589.98"/>
  </r>
  <r>
    <s v="skincare"/>
    <x v="0"/>
    <s v="SKU4"/>
    <x v="84"/>
    <n v="3"/>
    <n v="4.8099999999999996"/>
    <n v="26"/>
    <n v="871"/>
    <n v="2686.51"/>
    <s v="Non-binary"/>
    <n v="56"/>
    <n v="8"/>
    <s v="Carrier A"/>
    <n v="3.89"/>
    <s v="Supplier 1"/>
    <x v="4"/>
    <n v="5"/>
    <x v="2"/>
    <n v="414"/>
    <n v="3"/>
    <n v="92.07"/>
    <s v="Fail"/>
    <n v="3.15"/>
    <x v="1"/>
    <s v="Route A"/>
    <n v="923.44"/>
  </r>
  <r>
    <s v="haircare"/>
    <x v="1"/>
    <s v="SKU79"/>
    <x v="85"/>
    <n v="3"/>
    <n v="57.06"/>
    <n v="56"/>
    <n v="198"/>
    <n v="7888.72"/>
    <s v="Non-binary"/>
    <n v="20"/>
    <n v="1"/>
    <s v="Carrier B"/>
    <n v="6.5"/>
    <s v="Supplier 3"/>
    <x v="3"/>
    <n v="5"/>
    <x v="2"/>
    <n v="228"/>
    <n v="12"/>
    <n v="57.87"/>
    <s v="Pending"/>
    <n v="0.17"/>
    <x v="1"/>
    <s v="Route C"/>
    <n v="351.5"/>
  </r>
  <r>
    <s v="cosmetics"/>
    <x v="2"/>
    <s v="SKU91"/>
    <x v="86"/>
    <n v="3"/>
    <n v="62.11"/>
    <n v="90"/>
    <n v="916"/>
    <n v="1935.21"/>
    <s v="Male"/>
    <n v="85"/>
    <n v="7"/>
    <s v="Carrier B"/>
    <n v="7.47"/>
    <s v="Supplier 4"/>
    <x v="4"/>
    <n v="5"/>
    <x v="2"/>
    <n v="207"/>
    <n v="28"/>
    <n v="39.770000000000003"/>
    <s v="Pending"/>
    <n v="0.63"/>
    <x v="2"/>
    <s v="Route B"/>
    <n v="996.78"/>
  </r>
  <r>
    <s v="skincare"/>
    <x v="0"/>
    <s v="SKU34"/>
    <x v="87"/>
    <n v="3"/>
    <n v="37.47"/>
    <n v="96"/>
    <n v="602"/>
    <n v="9061.7099999999991"/>
    <s v="Unknown"/>
    <n v="21"/>
    <n v="7"/>
    <s v="Carrier A"/>
    <n v="1.02"/>
    <s v="Supplier 1"/>
    <x v="2"/>
    <n v="4"/>
    <x v="2"/>
    <n v="452"/>
    <n v="10"/>
    <n v="10.75"/>
    <s v="Pass"/>
    <n v="0.65"/>
    <x v="0"/>
    <s v="Route B"/>
    <n v="510.36"/>
  </r>
  <r>
    <s v="cosmetics"/>
    <x v="2"/>
    <s v="SKU85"/>
    <x v="88"/>
    <n v="3"/>
    <n v="76.959999999999994"/>
    <n v="83"/>
    <n v="25"/>
    <n v="8684.61"/>
    <s v="Female"/>
    <n v="66"/>
    <n v="2"/>
    <s v="Carrier C"/>
    <n v="8.25"/>
    <s v="Supplier 5"/>
    <x v="2"/>
    <n v="4"/>
    <x v="2"/>
    <n v="211"/>
    <n v="2"/>
    <n v="69.930000000000007"/>
    <s v="Fail"/>
    <n v="1.37"/>
    <x v="0"/>
    <s v="Route B"/>
    <n v="842.69"/>
  </r>
  <r>
    <s v="skincare"/>
    <x v="0"/>
    <s v="SKU86"/>
    <x v="89"/>
    <n v="3"/>
    <n v="20"/>
    <n v="18"/>
    <n v="223"/>
    <n v="1229.5899999999999"/>
    <s v="Unknown"/>
    <n v="22"/>
    <n v="6"/>
    <s v="Carrier B"/>
    <n v="1.45"/>
    <s v="Supplier 1"/>
    <x v="1"/>
    <n v="4"/>
    <x v="2"/>
    <n v="569"/>
    <n v="18"/>
    <n v="74.61"/>
    <s v="Pass"/>
    <n v="2.0499999999999998"/>
    <x v="2"/>
    <s v="Route A"/>
    <n v="264.25"/>
  </r>
  <r>
    <s v="cosmetics"/>
    <x v="2"/>
    <s v="SKU92"/>
    <x v="90"/>
    <n v="4"/>
    <n v="47.71"/>
    <n v="44"/>
    <n v="276"/>
    <n v="2100.13"/>
    <s v="Male"/>
    <n v="10"/>
    <n v="8"/>
    <s v="Carrier B"/>
    <n v="4.47"/>
    <s v="Supplier 2"/>
    <x v="1"/>
    <n v="4"/>
    <x v="2"/>
    <n v="671"/>
    <n v="29"/>
    <n v="62.61"/>
    <s v="Pass"/>
    <n v="0.33"/>
    <x v="2"/>
    <s v="Route B"/>
    <n v="230.09"/>
  </r>
  <r>
    <s v="haircare"/>
    <x v="1"/>
    <s v="SKU12"/>
    <x v="91"/>
    <n v="4"/>
    <n v="71.209999999999994"/>
    <n v="41"/>
    <n v="336"/>
    <n v="2873.74"/>
    <s v="Unknown"/>
    <n v="85"/>
    <n v="4"/>
    <s v="Carrier A"/>
    <n v="1.33"/>
    <s v="Supplier 4"/>
    <x v="0"/>
    <n v="3"/>
    <x v="2"/>
    <n v="563"/>
    <n v="3"/>
    <n v="32.32"/>
    <s v="Fail"/>
    <n v="2.16"/>
    <x v="0"/>
    <s v="Route B"/>
    <n v="402.97"/>
  </r>
  <r>
    <s v="skincare"/>
    <x v="0"/>
    <s v="SKU16"/>
    <x v="92"/>
    <n v="4"/>
    <n v="7.55"/>
    <n v="74"/>
    <n v="280"/>
    <n v="6453.8"/>
    <s v="Female"/>
    <n v="78"/>
    <n v="1"/>
    <s v="Carrier B"/>
    <n v="4.1900000000000004"/>
    <s v="Supplier 1"/>
    <x v="3"/>
    <n v="3"/>
    <x v="2"/>
    <n v="399"/>
    <n v="21"/>
    <n v="77.11"/>
    <s v="Pass"/>
    <n v="1.01"/>
    <x v="1"/>
    <s v="Route A"/>
    <n v="865.53"/>
  </r>
  <r>
    <s v="cosmetics"/>
    <x v="2"/>
    <s v="SKU35"/>
    <x v="93"/>
    <n v="4"/>
    <n v="84.96"/>
    <n v="11"/>
    <n v="449"/>
    <n v="6541.33"/>
    <s v="Female"/>
    <n v="85"/>
    <n v="8"/>
    <s v="Carrier C"/>
    <n v="5.29"/>
    <s v="Supplier 1"/>
    <x v="4"/>
    <n v="3"/>
    <x v="2"/>
    <n v="367"/>
    <n v="2"/>
    <n v="58"/>
    <s v="Pass"/>
    <n v="0.54"/>
    <x v="3"/>
    <s v="Route C"/>
    <n v="553.41999999999996"/>
  </r>
  <r>
    <s v="haircare"/>
    <x v="1"/>
    <s v="SKU68"/>
    <x v="94"/>
    <n v="4"/>
    <n v="37.93"/>
    <n v="29"/>
    <n v="163"/>
    <n v="3550.22"/>
    <s v="Non-binary"/>
    <n v="58"/>
    <n v="8"/>
    <s v="Carrier B"/>
    <n v="1.19"/>
    <s v="Supplier 2"/>
    <x v="3"/>
    <n v="2"/>
    <x v="2"/>
    <n v="375"/>
    <n v="18"/>
    <n v="97.11"/>
    <s v="Fail"/>
    <n v="1.98"/>
    <x v="2"/>
    <s v="Route A"/>
    <n v="299.70999999999998"/>
  </r>
  <r>
    <s v="cosmetics"/>
    <x v="2"/>
    <s v="SKU71"/>
    <x v="95"/>
    <n v="4"/>
    <n v="6.38"/>
    <n v="14"/>
    <n v="637"/>
    <n v="8180.34"/>
    <s v="Female"/>
    <n v="26"/>
    <n v="6"/>
    <s v="Carrier A"/>
    <n v="9.23"/>
    <s v="Supplier 2"/>
    <x v="3"/>
    <n v="2"/>
    <x v="2"/>
    <n v="258"/>
    <n v="10"/>
    <n v="30.66"/>
    <s v="Pending"/>
    <n v="2.08"/>
    <x v="0"/>
    <s v="Route A"/>
    <n v="405.17"/>
  </r>
  <r>
    <s v="cosmetics"/>
    <x v="2"/>
    <s v="SKU33"/>
    <x v="96"/>
    <n v="4"/>
    <n v="64.8"/>
    <n v="63"/>
    <n v="616"/>
    <n v="5150"/>
    <s v="Non-binary"/>
    <n v="95"/>
    <n v="9"/>
    <s v="Carrier C"/>
    <n v="4.8600000000000003"/>
    <s v="Supplier 5"/>
    <x v="2"/>
    <n v="1"/>
    <x v="2"/>
    <n v="251"/>
    <n v="23"/>
    <n v="23.85"/>
    <s v="Fail"/>
    <n v="3.54"/>
    <x v="3"/>
    <s v="Route A"/>
    <n v="371.26"/>
  </r>
  <r>
    <s v="haircare"/>
    <x v="1"/>
    <s v="SKU43"/>
    <x v="97"/>
    <n v="4"/>
    <n v="11.74"/>
    <n v="6"/>
    <n v="598"/>
    <n v="5737.43"/>
    <s v="Unknown"/>
    <n v="85"/>
    <n v="9"/>
    <s v="Carrier B"/>
    <n v="3.69"/>
    <s v="Supplier 5"/>
    <x v="1"/>
    <n v="1"/>
    <x v="2"/>
    <n v="206"/>
    <n v="23"/>
    <n v="26.28"/>
    <s v="Pending"/>
    <n v="0.37"/>
    <x v="1"/>
    <s v="Route A"/>
    <n v="716.04"/>
  </r>
  <r>
    <s v="skincare"/>
    <x v="0"/>
    <s v="SKU53"/>
    <x v="98"/>
    <n v="4"/>
    <n v="30.34"/>
    <n v="93"/>
    <n v="242"/>
    <n v="8232.33"/>
    <s v="Male"/>
    <n v="54"/>
    <n v="3"/>
    <s v="Carrier B"/>
    <n v="1.01"/>
    <s v="Supplier 1"/>
    <x v="4"/>
    <n v="1"/>
    <x v="2"/>
    <n v="631"/>
    <n v="17"/>
    <n v="83.34"/>
    <s v="Pending"/>
    <n v="1.41"/>
    <x v="1"/>
    <s v="Route B"/>
    <n v="750.74"/>
  </r>
  <r>
    <s v="haircare"/>
    <x v="1"/>
    <s v="SKU74"/>
    <x v="99"/>
    <n v="4"/>
    <n v="3.17"/>
    <n v="64"/>
    <n v="904"/>
    <n v="5709.95"/>
    <s v="Female"/>
    <n v="1"/>
    <n v="5"/>
    <s v="Carrier A"/>
    <n v="5.24"/>
    <s v="Supplier 4"/>
    <x v="4"/>
    <n v="1"/>
    <x v="2"/>
    <n v="919"/>
    <n v="9"/>
    <n v="80.58"/>
    <s v="Fail"/>
    <n v="0.4"/>
    <x v="2"/>
    <s v="Route A"/>
    <n v="341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69A63-5B05-44CE-BAAA-6AFB67E14C2A}" name="PivotTable19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8">
  <location ref="A2:B15" firstHeaderRow="1" firstDataRow="1" firstDataCol="1"/>
  <pivotFields count="26"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7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" showAll="0"/>
    <pivotField numFmtId="164" showAll="0"/>
    <pivotField numFmtId="1" showAll="0"/>
    <pivotField numFmtId="1" showAll="0"/>
    <pivotField numFmtId="164" showAll="0"/>
    <pivotField showAll="0"/>
    <pivotField dataField="1" numFmtId="1" showAll="0"/>
    <pivotField numFmtId="1" showAll="0"/>
    <pivotField showAll="0"/>
    <pivotField numFmtId="164" showAll="0"/>
    <pivotField showAll="0"/>
    <pivotField showAll="0"/>
    <pivotField numFmtId="1" showAll="0"/>
    <pivotField axis="axisRow" showAll="0" sortType="ascending">
      <items count="4">
        <item x="2"/>
        <item x="1"/>
        <item x="0"/>
        <item t="default"/>
      </items>
    </pivotField>
    <pivotField numFmtId="1" showAll="0"/>
    <pivotField numFmtId="1" showAll="0"/>
    <pivotField numFmtId="164" showAll="0"/>
    <pivotField showAll="0"/>
    <pivotField numFmtId="2" showAll="0"/>
    <pivotField showAll="0"/>
    <pivotField showAll="0"/>
    <pivotField numFmtId="164" showAll="0"/>
  </pivotFields>
  <rowFields count="2">
    <field x="17"/>
    <field x="1"/>
  </rowFields>
  <rowItems count="13">
    <i>
      <x/>
    </i>
    <i r="1">
      <x/>
    </i>
    <i r="1">
      <x v="2"/>
    </i>
    <i r="1">
      <x v="1"/>
    </i>
    <i>
      <x v="1"/>
    </i>
    <i r="1">
      <x v="2"/>
    </i>
    <i r="1">
      <x/>
    </i>
    <i r="1">
      <x v="1"/>
    </i>
    <i>
      <x v="2"/>
    </i>
    <i r="1">
      <x v="2"/>
    </i>
    <i r="1">
      <x v="1"/>
    </i>
    <i r="1">
      <x/>
    </i>
    <i t="grand">
      <x/>
    </i>
  </rowItems>
  <colItems count="1">
    <i/>
  </colItems>
  <dataFields count="1">
    <dataField name="Sum of Order Quantities" fld="10" baseField="0" baseItem="0"/>
  </dataFields>
  <chartFormats count="5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7" count="1" selected="0">
            <x v="2"/>
          </reference>
        </references>
      </pivotArea>
    </chartFormat>
    <chartFormat chart="1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2"/>
          </reference>
        </references>
      </pivotArea>
    </chartFormat>
    <chartFormat chart="1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0"/>
          </reference>
        </references>
      </pivotArea>
    </chartFormat>
    <chartFormat chart="16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28" name="Date">
      <autoFilter ref="A1">
        <filterColumn colId="0">
          <customFilters and="1">
            <customFilter operator="greaterThanOrEqual" val="44562"/>
            <customFilter operator="lessThanOrEqual" val="4468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55A44-2C22-4592-8FEB-3273712B3DAE}" name="PivotTable28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3">
  <location ref="A2:B7" firstHeaderRow="1" firstDataRow="1" firstDataCol="1"/>
  <pivotFields count="26">
    <pivotField showAll="0"/>
    <pivotField showAll="0"/>
    <pivotField showAll="0"/>
    <pivotField numFmtId="167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" showAll="0"/>
    <pivotField numFmtId="164" showAll="0"/>
    <pivotField numFmtId="1" showAll="0"/>
    <pivotField dataField="1" numFmtId="1" showAll="0"/>
    <pivotField numFmtId="164" showAll="0"/>
    <pivotField showAll="0"/>
    <pivotField numFmtId="1" showAll="0"/>
    <pivotField numFmtId="1" showAll="0"/>
    <pivotField showAll="0"/>
    <pivotField numFmtId="164" showAll="0"/>
    <pivotField showAll="0"/>
    <pivotField showAll="0"/>
    <pivotField numFmtId="1" showAll="0"/>
    <pivotField showAll="0"/>
    <pivotField numFmtId="1" showAll="0"/>
    <pivotField numFmtId="1" showAll="0"/>
    <pivotField numFmtId="164" showAll="0"/>
    <pivotField showAll="0"/>
    <pivotField numFmtId="2" showAll="0"/>
    <pivotField axis="axisRow" showAll="0" sortType="a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</pivotFields>
  <rowFields count="1">
    <field x="23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um of Number of Products Sold" fld="7" baseField="0" baseItem="0" numFmtId="165"/>
  </dataFields>
  <formats count="3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3" count="4">
              <x v="0"/>
              <x v="1"/>
              <x v="2"/>
              <x v="3"/>
            </reference>
          </references>
        </pivotArea>
      </pivotAreas>
    </conditionalFormat>
  </conditional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44" name="Date">
      <autoFilter ref="A1">
        <filterColumn colId="0">
          <customFilters and="1">
            <customFilter operator="greaterThanOrEqual" val="44562"/>
            <customFilter operator="lessThanOrEqual" val="4468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AB14C-9ECD-4EF6-BC44-B1C8502F63C0}" name="PivotTable29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4">
  <location ref="G4:H10" firstHeaderRow="1" firstDataRow="1" firstDataCol="1"/>
  <pivotFields count="26">
    <pivotField showAll="0"/>
    <pivotField showAll="0"/>
    <pivotField showAll="0"/>
    <pivotField numFmtId="167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" showAll="0"/>
    <pivotField numFmtId="164" showAll="0"/>
    <pivotField numFmtId="1" showAll="0"/>
    <pivotField dataField="1" numFmtId="1" showAll="0"/>
    <pivotField numFmtId="164" showAll="0"/>
    <pivotField showAll="0"/>
    <pivotField numFmtId="1" showAll="0"/>
    <pivotField numFmtId="1" showAll="0"/>
    <pivotField showAll="0"/>
    <pivotField numFmtId="164" showAll="0"/>
    <pivotField showAll="0"/>
    <pivotField axis="axisRow" showAll="0" sortType="ascending">
      <items count="6">
        <item x="3"/>
        <item x="2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numFmtId="1" showAll="0"/>
    <pivotField numFmtId="1" showAll="0"/>
    <pivotField numFmtId="164" showAll="0"/>
    <pivotField showAll="0"/>
    <pivotField numFmtId="2" showAll="0"/>
    <pivotField showAll="0"/>
    <pivotField showAll="0"/>
    <pivotField numFmtId="164" showAll="0"/>
  </pivotFields>
  <rowFields count="1">
    <field x="15"/>
  </rowFields>
  <rowItems count="6">
    <i>
      <x/>
    </i>
    <i>
      <x v="1"/>
    </i>
    <i>
      <x v="4"/>
    </i>
    <i>
      <x v="2"/>
    </i>
    <i>
      <x v="3"/>
    </i>
    <i t="grand">
      <x/>
    </i>
  </rowItems>
  <colItems count="1">
    <i/>
  </colItems>
  <dataFields count="1">
    <dataField name="Sum of Number of Products Sold" fld="7" baseField="0" baseItem="0" numFmtId="165"/>
  </dataFields>
  <formats count="1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5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28" name="Date">
      <autoFilter ref="A1">
        <filterColumn colId="0">
          <customFilters and="1">
            <customFilter operator="greaterThanOrEqual" val="44562"/>
            <customFilter operator="lessThanOrEqual" val="4468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1C47AE-B966-4D64-A9F3-D6C5FF9EC549}" name="_supplyTable" displayName="_supplyTable" ref="A1:Z101" totalsRowShown="0" headerRowDxfId="59">
  <autoFilter ref="A1:Z101" xr:uid="{F01C47AE-B966-4D64-A9F3-D6C5FF9EC549}"/>
  <tableColumns count="26">
    <tableColumn id="1" xr3:uid="{D584ABF4-BDB3-4CFB-B918-D20EE0014686}" name="Product Type" dataDxfId="58"/>
    <tableColumn id="2" xr3:uid="{1433BA52-9A4A-4772-8B3B-2D0F0F522429}" name="Product Type." dataDxfId="57">
      <calculatedColumnFormula>PROPER(_supplyTable[[#This Row],[Product Type]])</calculatedColumnFormula>
    </tableColumn>
    <tableColumn id="3" xr3:uid="{DFE17FAB-0DD2-4C8E-B1A8-E50353C483FF}" name="SKU (Stock Keeping Unit)" dataDxfId="56"/>
    <tableColumn id="4" xr3:uid="{6EF4E11D-7A90-4BBC-B690-C9D1AA5844D9}" name="Date" dataDxfId="55"/>
    <tableColumn id="29" xr3:uid="{5EFD0E57-A69C-495D-ADA3-36AFA0A16C5E}" name="Month" dataDxfId="54">
      <calculatedColumnFormula>MONTH(_supplyTable[[#This Row],[Date]])</calculatedColumnFormula>
    </tableColumn>
    <tableColumn id="5" xr3:uid="{AC0E1207-863E-4552-872D-2FF57D6F04CF}" name="Unit Price" dataDxfId="53"/>
    <tableColumn id="6" xr3:uid="{2F3A8D0A-8A93-4C90-A59E-8BAA904999E7}" name="Availability" dataDxfId="52"/>
    <tableColumn id="7" xr3:uid="{60901D3E-FFEC-488D-A156-0EEC39C0841A}" name="Number of Products Sold" dataDxfId="51"/>
    <tableColumn id="8" xr3:uid="{50AC4A6A-AAA5-41A5-B471-A62F06040BF0}" name="Revenue Generated" dataDxfId="50"/>
    <tableColumn id="9" xr3:uid="{B92098A3-BE9F-46DD-9622-B78468C080FF}" name="Customer Demographics" dataDxfId="49"/>
    <tableColumn id="12" xr3:uid="{4A54D110-D691-4F70-901F-0435787717B7}" name="Order Quantities" dataDxfId="48"/>
    <tableColumn id="13" xr3:uid="{5BE75219-6FFC-4161-B396-3B4CAF59A5DE}" name="Shipping Times" dataDxfId="47"/>
    <tableColumn id="14" xr3:uid="{C9A442EB-91FA-4ECC-8CE8-28FD97282F72}" name="Shipping Carriers" dataDxfId="46"/>
    <tableColumn id="15" xr3:uid="{E9EFA90A-16DF-466C-BA7D-4355AAB0E430}" name="Shipping Costs" dataDxfId="45"/>
    <tableColumn id="16" xr3:uid="{145DEB18-A703-48D9-A239-9E9DAC6920C9}" name="Supplier Name" dataDxfId="44"/>
    <tableColumn id="17" xr3:uid="{43D7737D-6006-4BD9-80FB-DC272BBFE9E5}" name="Location" dataDxfId="43"/>
    <tableColumn id="18" xr3:uid="{8E0EBFC0-2BD6-4E8E-8AD3-760EF398F189}" name="Lead Time" dataDxfId="42"/>
    <tableColumn id="27" xr3:uid="{8F0394D1-34A7-4939-9FA0-753310075E4E}" name="Lead Time Bins" dataDxfId="41">
      <calculatedColumnFormula>IFERROR(VLOOKUP(_supplyTable[[#This Row],[Lead Time]], Table7[#All], 3, TRUE), "No match")</calculatedColumnFormula>
    </tableColumn>
    <tableColumn id="19" xr3:uid="{49594531-9245-48F1-B7C9-8BB09494C828}" name="Production Volumes" dataDxfId="40"/>
    <tableColumn id="20" xr3:uid="{C5E290A9-9366-4D96-8504-F9916D287916}" name="Manufacturing Lead time" dataDxfId="39"/>
    <tableColumn id="21" xr3:uid="{AF8340C6-1BFA-467B-9150-03FCF7B070DD}" name="Manufacturing Costs" dataDxfId="38"/>
    <tableColumn id="22" xr3:uid="{A29AFCC4-965A-42E9-B1F4-02DEBB9CC3ED}" name="Inspection Results" dataDxfId="37"/>
    <tableColumn id="23" xr3:uid="{F86C88ED-E908-478A-9899-06647D87A7EA}" name="Defect Rates" dataDxfId="36"/>
    <tableColumn id="24" xr3:uid="{05EE1FCA-73CE-4B55-B6C1-C9072D266982}" name="Transportation Modes" dataDxfId="35"/>
    <tableColumn id="25" xr3:uid="{60D8E6E4-072F-4EE4-8F62-71EA0A37B69C}" name="Routes" dataDxfId="34"/>
    <tableColumn id="26" xr3:uid="{585B3568-2935-48F2-BC1C-930335621405}" name="Transportation Costs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12C04F-3FA5-4B80-A2E4-6642FDC16798}" name="Table7" displayName="Table7" ref="AC5:AE12" totalsRowShown="0" headerRowDxfId="32" dataDxfId="31">
  <autoFilter ref="AC5:AE12" xr:uid="{8F12C04F-3FA5-4B80-A2E4-6642FDC16798}"/>
  <tableColumns count="3">
    <tableColumn id="1" xr3:uid="{B9869A59-EFB2-47AF-9D95-9189707156F2}" name="Column1" dataDxfId="30"/>
    <tableColumn id="2" xr3:uid="{4B6B9A32-183E-4474-AEAE-CB5EF1C8ED08}" name="Column2" dataDxfId="29"/>
    <tableColumn id="3" xr3:uid="{21DE625C-7E07-458E-93D2-A07AA4D6BE5D}" name="Column3" dataDxfId="28">
      <calculatedColumnFormula>CONCATENATE(AC6, "-", AD6)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7608D8-77B6-4291-93D6-68363E2274BF}" name="Table3" displayName="Table3" ref="B4:J8" totalsRowShown="0" headerRowDxfId="27">
  <autoFilter ref="B4:J8" xr:uid="{3C7608D8-77B6-4291-93D6-68363E2274BF}"/>
  <tableColumns count="9">
    <tableColumn id="1" xr3:uid="{B41DBB84-0340-47D0-848D-7CDF96F831C1}" name="products "/>
    <tableColumn id="2" xr3:uid="{B75B6355-7324-42B1-83A7-D06342B4FF0D}" name="Products sold ">
      <calculatedColumnFormula>SUMIF('Supply Chain Data'!B:B, 'Product Analysis'!B5, 'Supply Chain Data'!H:H)</calculatedColumnFormula>
    </tableColumn>
    <tableColumn id="3" xr3:uid="{190A28B7-0BE0-45BD-B7DD-15839789A1D5}" name="Avg unit price " dataDxfId="26">
      <calculatedColumnFormula>AVERAGEIF('Supply Chain Data'!B:B, 'Product Analysis'!B5, 'Supply Chain Data'!F:F)</calculatedColumnFormula>
    </tableColumn>
    <tableColumn id="4" xr3:uid="{255DC0BE-071A-4833-B366-A0D503F19E54}" name="Total Revenue" dataDxfId="25">
      <calculatedColumnFormula>SUMIF('Supply Chain Data'!B:B, 'Product Analysis'!B5, 'Supply Chain Data'!I:I)</calculatedColumnFormula>
    </tableColumn>
    <tableColumn id="5" xr3:uid="{69676906-17C5-45D2-92CE-237128B908E5}" name="Order Quantities">
      <calculatedColumnFormula>SUMIF('Supply Chain Data'!B:B, 'Product Analysis'!B5, 'Supply Chain Data'!K:K)</calculatedColumnFormula>
    </tableColumn>
    <tableColumn id="6" xr3:uid="{52219AB2-D10B-44B1-934F-AC3094229EB7}" name="Avg Lead time" dataDxfId="24">
      <calculatedColumnFormula>AVERAGEIF('Supply Chain Data'!B:B, 'Product Analysis'!B5, 'Supply Chain Data'!Q:Q)</calculatedColumnFormula>
    </tableColumn>
    <tableColumn id="7" xr3:uid="{0351CC7E-F4F3-44A9-ACE7-F1095B922D19}" name="Production Volume">
      <calculatedColumnFormula>SUMIF('Supply Chain Data'!B:B, 'Product Analysis'!B5, 'Supply Chain Data'!S:S)</calculatedColumnFormula>
    </tableColumn>
    <tableColumn id="8" xr3:uid="{B0C58CBA-04E0-4B0E-947D-F9CF885D5D88}" name="Manufacturing Costs" dataDxfId="23" dataCellStyle="Currency">
      <calculatedColumnFormula>SUMIF('Supply Chain Data'!B:B, 'Product Analysis'!B5, 'Supply Chain Data'!U:U)</calculatedColumnFormula>
    </tableColumn>
    <tableColumn id="9" xr3:uid="{DA5AA437-AB00-41C8-AF29-ED3E6E07A56B}" name="Transportation Costs" dataDxfId="22">
      <calculatedColumnFormula>SUMIF('Supply Chain Data'!B:B, 'Product Analysis'!B5, 'Supply Chain Data'!Z:Z)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FF78C-64E8-47D1-9C92-A5D81A041894}" name="Table5" displayName="Table5" ref="B10:F14" totalsRowShown="0">
  <autoFilter ref="B10:F14" xr:uid="{2C7FF78C-64E8-47D1-9C92-A5D81A041894}"/>
  <tableColumns count="5">
    <tableColumn id="1" xr3:uid="{272FC579-ED64-4C76-A70D-22043D300BE1}" name="products "/>
    <tableColumn id="2" xr3:uid="{2573F914-C470-4D47-87D5-FD38EFDE210E}" name="Demand(Order Qunatities)"/>
    <tableColumn id="3" xr3:uid="{366A6A1E-9A78-415C-9DAA-B71223666A23}" name="% of Forecast Demand" dataDxfId="21"/>
    <tableColumn id="4" xr3:uid="{5B5CB4D9-2E43-4AFC-ABFC-AD5A218B71E7}" name="Products Sold" dataDxfId="20">
      <calculatedColumnFormula>C5</calculatedColumnFormula>
    </tableColumn>
    <tableColumn id="5" xr3:uid="{0BAE36D7-D928-4F11-9E12-F9273526C423}" name="% of Actual Demand" dataDxfId="19">
      <calculatedColumnFormula>E11/E14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621B0E-CC80-4384-ACA0-4CAB7FC63652}" name="Table9" displayName="Table9" ref="A2:G6" totalsRowShown="0">
  <autoFilter ref="A2:G6" xr:uid="{A5621B0E-CC80-4384-ACA0-4CAB7FC63652}"/>
  <tableColumns count="7">
    <tableColumn id="1" xr3:uid="{9C9EFB8C-D155-449E-A32E-4DFB28694A35}" name="Month" dataDxfId="18"/>
    <tableColumn id="2" xr3:uid="{C3EFC40E-C01E-4C52-A0A6-353E672BA5DC}" name="Current Revenue " dataDxfId="17">
      <calculatedColumnFormula>SUMIF('Supply Chain Data'!E:E, Table9[[#This Row],[Month]], 'Supply Chain Data'!I:I)</calculatedColumnFormula>
    </tableColumn>
    <tableColumn id="3" xr3:uid="{A4B07FDD-6696-460A-B514-55C31A731547}" name="products sold" dataDxfId="16">
      <calculatedColumnFormula>SUMIF('Supply Chain Data'!E:E, Table9[[#This Row],[Month]], 'Supply Chain Data'!H:H)</calculatedColumnFormula>
    </tableColumn>
    <tableColumn id="4" xr3:uid="{E0B485D4-A2DB-46DA-9565-95DFB941F6DC}" name="Projected Revenue"/>
    <tableColumn id="10" xr3:uid="{5D3CF976-BF78-48B3-AB05-1EB84DB94F53}" name="Was the Target Attained" dataDxfId="15">
      <calculatedColumnFormula>Table9[[#This Row],[Current Revenue ]]-Table9[[#This Row],[Projected Revenue]]</calculatedColumnFormula>
    </tableColumn>
    <tableColumn id="5" xr3:uid="{421EA628-3C34-482D-9BDC-86B3D6BA7ACB}" name="increase"/>
    <tableColumn id="6" xr3:uid="{F7129C07-425F-4102-BA0A-813F4A61DFD4}" name="% increase 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299F62-0119-47B2-93BE-E5B79DD62777}" name="Table10" displayName="Table10" ref="A9:D12" totalsRowShown="0">
  <autoFilter ref="A9:D12" xr:uid="{80299F62-0119-47B2-93BE-E5B79DD62777}"/>
  <tableColumns count="4">
    <tableColumn id="1" xr3:uid="{62D3D6F6-CD93-497D-B801-6CC63608E1F1}" name="month" dataDxfId="14"/>
    <tableColumn id="2" xr3:uid="{7D3215DA-6857-4155-BF7A-488F7C4F673A}" name="Performance %" dataDxfId="13">
      <calculatedColumnFormula>E3/D3</calculatedColumnFormula>
    </tableColumn>
    <tableColumn id="3" xr3:uid="{10875297-AEA2-4BC5-A7ED-6C216E28433A}" name="Target Difference" dataDxfId="12">
      <calculatedColumnFormula>E3</calculatedColumnFormula>
    </tableColumn>
    <tableColumn id="4" xr3:uid="{C743B8E6-022C-45DF-B567-2D8D15F866E1}" name="Column1" dataDxfId="11">
      <calculatedColumnFormula>1-Table10[[#This Row],[Performance %]]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9600AC1-E560-4984-9176-7E44AEBE89F3}" name="Table11" displayName="Table11" ref="A17:D19" totalsRowShown="0">
  <autoFilter ref="A17:D19" xr:uid="{59600AC1-E560-4984-9176-7E44AEBE89F3}"/>
  <tableColumns count="4">
    <tableColumn id="1" xr3:uid="{EC38C9E1-F338-4287-99AF-29FF64F553B0}" name="Month" dataDxfId="10"/>
    <tableColumn id="2" xr3:uid="{C9034B11-6B3E-4430-9C96-A9CF78C39E14}" name="Current Revenue " dataDxfId="9">
      <calculatedColumnFormula>B5</calculatedColumnFormula>
    </tableColumn>
    <tableColumn id="3" xr3:uid="{90435A34-A869-4194-B321-597CE735D3FD}" name="Projected Revenue " dataDxfId="8">
      <calculatedColumnFormula>((5/100)*C17)+C17</calculatedColumnFormula>
    </tableColumn>
    <tableColumn id="4" xr3:uid="{7935AD93-6956-4D05-8332-790355B6EAF0}" name="% increase " dataDxfId="7" dataCellStyle="Percent">
      <calculatedColumnFormula>5/100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EDFACC-A554-4ED4-AB3E-024E44B791BE}" name="Table12" displayName="Table12" ref="G18:I24" totalsRowShown="0">
  <autoFilter ref="G18:I24" xr:uid="{71EDFACC-A554-4ED4-AB3E-024E44B791BE}"/>
  <tableColumns count="3">
    <tableColumn id="1" xr3:uid="{1C16ED65-5A89-4B58-9355-5101C37E0442}" name="Row Labels"/>
    <tableColumn id="2" xr3:uid="{DC5E5DE2-E9C7-447A-9CE9-D529019F6BBC}" name="Sum of Number of Products Sold" dataDxfId="2" dataCellStyle="Comma"/>
    <tableColumn id="3" xr3:uid="{DEF3D610-D210-4616-A175-659081DD6C21}" name="% of total 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3E0973-683D-4B3F-BD80-5D0822066D56}" name="Table2" displayName="Table2" ref="D2:F6" totalsRowShown="0">
  <autoFilter ref="D2:F6" xr:uid="{CC3E0973-683D-4B3F-BD80-5D0822066D56}"/>
  <tableColumns count="3">
    <tableColumn id="1" xr3:uid="{615749C3-84E2-4009-896B-21D65D5949E6}" name="Row Labels"/>
    <tableColumn id="2" xr3:uid="{E3FFCF78-B2B8-4014-89B3-0990B5032169}" name="Sum of Number of Products Sold" dataDxfId="1"/>
    <tableColumn id="3" xr3:uid="{8A57699E-70E1-42B2-800B-A514979BC267}" name="% sold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299D375C-7FD9-4481-8B48-1929F7ED1E87}" sourceName="Date">
  <pivotTables>
    <pivotTable tabId="10" name="PivotTable28"/>
    <pivotTable tabId="10" name="PivotTable29"/>
    <pivotTable tabId="6" name="PivotTable19"/>
  </pivotTables>
  <state minimalRefreshVersion="6" lastRefreshVersion="6" pivotCacheId="1920781637" filterType="dateBetween">
    <selection startDate="2022-01-01T00:00:00" endDate="2022-04-30T00:00:00"/>
    <bounds startDate="2022-01-01T00:00:00" endDate="2023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1" xr10:uid="{C87C623A-173D-4970-86FC-7F32629EEA55}" sourceName="Date">
  <state minimalRefreshVersion="6" lastRefreshVersion="6" pivotCacheId="1920781637" filterType="dateBetween">
    <selection startDate="2022-01-01T00:00:00" endDate="2022-04-30T00:00:00"/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0D7AF2B2-2F89-47B5-8A49-E2516351F4BF}" cache="NativeTimeline_Date1" caption="Date" level="2" selectionLevel="2" scrollPosition="2022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6E1D9FB6-5C1E-4F86-95C9-BDDE5910253F}" cache="NativeTimeline_Date" caption="Date" level="2" selectionLevel="2" scrollPosition="2022-01-01T00:00:00"/>
</timeline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5F4547D-CBB4-479B-BC14-25950DF283AE}">
  <we:reference id="wa104382047" version="1.0.2.7" store="en-US" storeType="OMEX"/>
  <we:alternateReferences>
    <we:reference id="wa104382047" version="1.0.2.7" store="WA104382047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_xldudf_MAPCITE_DISTANCETO</we:customFunctionIds>
        <we:customFunctionIds>_xldudf_MAPCITE_DISTANCETOFURTHEST</we:customFunctionIds>
        <we:customFunctionIds>_xldudf_MAPCITE_DISTANCETONEAREST</we:customFunctionIds>
        <we:customFunctionIds>_xldudf_MAPCITE_FINDFURTHEST</we:customFunctionIds>
        <we:customFunctionIds>_xldudf_MAPCITE_FINDNEAREST</we:customFunctionIds>
        <we:customFunctionIds>_xldudf_MAPCITE_AVERAGEINRADIUS</we:customFunctionIds>
        <we:customFunctionIds>_xldudf_MAPCITE_COUNTINRADIUS</we:customFunctionIds>
        <we:customFunctionIds>_xldudf_MAPCITE_MAXINRADIUS</we:customFunctionIds>
        <we:customFunctionIds>_xldudf_MAPCITE_MININRADIUS</we:customFunctionIds>
        <we:customFunctionIds>_xldudf_MAPCITE_SUMINRADIUS</we:customFunctionIds>
        <we:customFunctionIds>_xldudf_MAPCITE_CO2EFREIGHT</we:customFunctionIds>
        <we:customFunctionIds>_xldudf_MAPCITE_CO2EBUSINESSTRAVEL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microsoft.com/office/2011/relationships/timeline" Target="../timelines/timeline2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3481-242D-4500-A3F2-FD4FE35597BB}">
  <dimension ref="A1"/>
  <sheetViews>
    <sheetView showGridLines="0" showRowColHeaders="0" tabSelected="1" zoomScale="45" zoomScaleNormal="45" workbookViewId="0">
      <selection activeCell="AP58" sqref="AP58"/>
    </sheetView>
  </sheetViews>
  <sheetFormatPr defaultRowHeight="14.4" x14ac:dyDescent="0.3"/>
  <sheetData/>
  <sheetProtection algorithmName="SHA-512" hashValue="b0c1MuHRWjMfnkDaBuaDqQ4ADqDAIED8+Q3GG4dE+cZ2gd0+SxM+0WXfXshm5pUFoI2DHF/i2cKGwAX+CktjeA==" saltValue="wauL6tj0h/xaA70+xOx80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1"/>
  <sheetViews>
    <sheetView topLeftCell="D1" zoomScale="80" zoomScaleNormal="80" workbookViewId="0">
      <pane ySplit="1" topLeftCell="A2" activePane="bottomLeft" state="frozen"/>
      <selection pane="bottomLeft" activeCell="K14" sqref="K14"/>
    </sheetView>
  </sheetViews>
  <sheetFormatPr defaultRowHeight="14.4" x14ac:dyDescent="0.3"/>
  <cols>
    <col min="1" max="1" width="59" style="4" hidden="1" customWidth="1"/>
    <col min="2" max="2" width="21.5546875" bestFit="1" customWidth="1"/>
    <col min="3" max="3" width="35.44140625" style="4" bestFit="1" customWidth="1"/>
    <col min="4" max="4" width="27.109375" style="25" bestFit="1" customWidth="1"/>
    <col min="5" max="5" width="27.109375" style="10" customWidth="1"/>
    <col min="6" max="6" width="15.77734375" style="6" customWidth="1"/>
    <col min="7" max="7" width="18.109375" style="10" bestFit="1" customWidth="1"/>
    <col min="8" max="8" width="34.77734375" style="10" bestFit="1" customWidth="1"/>
    <col min="9" max="9" width="28.109375" style="6" bestFit="1" customWidth="1"/>
    <col min="10" max="10" width="33.77734375" style="4" bestFit="1" customWidth="1"/>
    <col min="11" max="11" width="24.5546875" style="10" bestFit="1" customWidth="1"/>
    <col min="12" max="12" width="24" style="10" bestFit="1" customWidth="1"/>
    <col min="13" max="13" width="26" style="4" bestFit="1" customWidth="1"/>
    <col min="14" max="14" width="23.21875" style="6" hidden="1" customWidth="1"/>
    <col min="15" max="15" width="22.33203125" style="4" bestFit="1" customWidth="1"/>
    <col min="16" max="16" width="14.88671875" style="4" bestFit="1" customWidth="1"/>
    <col min="17" max="17" width="15.77734375" style="10" customWidth="1"/>
    <col min="18" max="18" width="16.88671875" bestFit="1" customWidth="1"/>
    <col min="19" max="19" width="28.77734375" style="10" bestFit="1" customWidth="1"/>
    <col min="20" max="20" width="34.5546875" style="10" hidden="1" customWidth="1"/>
    <col min="21" max="21" width="29.5546875" style="6" bestFit="1" customWidth="1"/>
    <col min="22" max="22" width="26.77734375" style="4" bestFit="1" customWidth="1"/>
    <col min="23" max="23" width="19.77734375" style="8" bestFit="1" customWidth="1"/>
    <col min="24" max="24" width="23" style="4" bestFit="1" customWidth="1"/>
    <col min="25" max="25" width="15.77734375" style="4" customWidth="1"/>
    <col min="26" max="26" width="29.5546875" style="6" bestFit="1" customWidth="1"/>
    <col min="29" max="31" width="10.88671875" customWidth="1"/>
  </cols>
  <sheetData>
    <row r="1" spans="1:32" s="2" customFormat="1" x14ac:dyDescent="0.3">
      <c r="A1" s="3" t="s">
        <v>0</v>
      </c>
      <c r="B1" s="2" t="s">
        <v>150</v>
      </c>
      <c r="C1" s="3" t="s">
        <v>1</v>
      </c>
      <c r="D1" s="24" t="s">
        <v>227</v>
      </c>
      <c r="E1" s="9" t="s">
        <v>202</v>
      </c>
      <c r="F1" s="5" t="s">
        <v>167</v>
      </c>
      <c r="G1" s="9" t="s">
        <v>2</v>
      </c>
      <c r="H1" s="9" t="s">
        <v>3</v>
      </c>
      <c r="I1" s="5" t="s">
        <v>4</v>
      </c>
      <c r="J1" s="3" t="s">
        <v>5</v>
      </c>
      <c r="K1" s="9" t="s">
        <v>6</v>
      </c>
      <c r="L1" s="9" t="s">
        <v>7</v>
      </c>
      <c r="M1" s="3" t="s">
        <v>8</v>
      </c>
      <c r="N1" s="5" t="s">
        <v>9</v>
      </c>
      <c r="O1" s="3" t="s">
        <v>10</v>
      </c>
      <c r="P1" s="3" t="s">
        <v>11</v>
      </c>
      <c r="Q1" s="9" t="s">
        <v>12</v>
      </c>
      <c r="R1" s="2" t="s">
        <v>194</v>
      </c>
      <c r="S1" s="9" t="s">
        <v>13</v>
      </c>
      <c r="T1" s="9" t="s">
        <v>14</v>
      </c>
      <c r="U1" s="5" t="s">
        <v>15</v>
      </c>
      <c r="V1" s="3" t="s">
        <v>16</v>
      </c>
      <c r="W1" s="7" t="s">
        <v>17</v>
      </c>
      <c r="X1" s="3" t="s">
        <v>18</v>
      </c>
      <c r="Y1" s="3" t="s">
        <v>19</v>
      </c>
      <c r="Z1" s="5" t="s">
        <v>166</v>
      </c>
    </row>
    <row r="2" spans="1:32" x14ac:dyDescent="0.3">
      <c r="A2" s="4" t="s">
        <v>29</v>
      </c>
      <c r="B2" t="str">
        <f>PROPER($A$2)</f>
        <v>Skincare</v>
      </c>
      <c r="C2" s="4" t="s">
        <v>75</v>
      </c>
      <c r="D2" s="25">
        <v>44562</v>
      </c>
      <c r="E2" s="10">
        <f>MONTH(_supplyTable[[#This Row],[Date]])</f>
        <v>1</v>
      </c>
      <c r="F2" s="6">
        <v>79.209999999999994</v>
      </c>
      <c r="G2" s="10">
        <v>43</v>
      </c>
      <c r="H2" s="10">
        <v>781</v>
      </c>
      <c r="I2" s="6">
        <v>9571.5499999999993</v>
      </c>
      <c r="J2" s="4" t="s">
        <v>43</v>
      </c>
      <c r="K2" s="10">
        <v>64</v>
      </c>
      <c r="L2" s="10">
        <v>4</v>
      </c>
      <c r="M2" s="4" t="s">
        <v>34</v>
      </c>
      <c r="N2" s="6">
        <v>6.6</v>
      </c>
      <c r="O2" s="4" t="s">
        <v>24</v>
      </c>
      <c r="P2" s="4" t="s">
        <v>36</v>
      </c>
      <c r="Q2" s="10">
        <v>30</v>
      </c>
      <c r="R2" t="str">
        <f>IFERROR(VLOOKUP(_supplyTable[[#This Row],[Lead Time]], Table7[#All], 3, TRUE), "No match")</f>
        <v>21-30</v>
      </c>
      <c r="S2" s="10">
        <v>737</v>
      </c>
      <c r="T2" s="10">
        <v>7</v>
      </c>
      <c r="U2" s="6">
        <v>29.69</v>
      </c>
      <c r="V2" s="4" t="s">
        <v>37</v>
      </c>
      <c r="W2" s="8">
        <v>1.95</v>
      </c>
      <c r="X2" s="4" t="s">
        <v>27</v>
      </c>
      <c r="Y2" s="4" t="s">
        <v>41</v>
      </c>
      <c r="Z2" s="6">
        <v>761.17</v>
      </c>
    </row>
    <row r="3" spans="1:32" x14ac:dyDescent="0.3">
      <c r="A3" s="4" t="s">
        <v>29</v>
      </c>
      <c r="B3" t="str">
        <f>PROPER(_supplyTable[[#This Row],[Product Type]])</f>
        <v>Skincare</v>
      </c>
      <c r="C3" s="4" t="s">
        <v>83</v>
      </c>
      <c r="D3" s="25">
        <v>44563</v>
      </c>
      <c r="E3" s="10">
        <f>MONTH(_supplyTable[[#This Row],[Date]])</f>
        <v>1</v>
      </c>
      <c r="F3" s="6">
        <v>19.13</v>
      </c>
      <c r="G3" s="10">
        <v>26</v>
      </c>
      <c r="H3" s="10">
        <v>176</v>
      </c>
      <c r="I3" s="6">
        <v>1912.47</v>
      </c>
      <c r="J3" s="4" t="s">
        <v>31</v>
      </c>
      <c r="K3" s="10">
        <v>34</v>
      </c>
      <c r="L3" s="10">
        <v>3</v>
      </c>
      <c r="M3" s="4" t="s">
        <v>32</v>
      </c>
      <c r="N3" s="6">
        <v>5.56</v>
      </c>
      <c r="O3" s="4" t="s">
        <v>39</v>
      </c>
      <c r="P3" s="4" t="s">
        <v>36</v>
      </c>
      <c r="Q3" s="10">
        <v>30</v>
      </c>
      <c r="R3" t="str">
        <f>IFERROR(VLOOKUP(_supplyTable[[#This Row],[Lead Time]], Table7[#All], 3, TRUE), "No match")</f>
        <v>21-30</v>
      </c>
      <c r="S3" s="10">
        <v>791</v>
      </c>
      <c r="T3" s="10">
        <v>6</v>
      </c>
      <c r="U3" s="6">
        <v>9.01</v>
      </c>
      <c r="V3" s="4" t="s">
        <v>45</v>
      </c>
      <c r="W3" s="8">
        <v>1.45</v>
      </c>
      <c r="X3" s="4" t="s">
        <v>40</v>
      </c>
      <c r="Y3" s="4" t="s">
        <v>28</v>
      </c>
      <c r="Z3" s="6">
        <v>653.66999999999996</v>
      </c>
    </row>
    <row r="4" spans="1:32" x14ac:dyDescent="0.3">
      <c r="A4" s="4" t="s">
        <v>20</v>
      </c>
      <c r="B4" t="str">
        <f>PROPER(_supplyTable[[#This Row],[Product Type]])</f>
        <v>Haircare</v>
      </c>
      <c r="C4" s="4" t="s">
        <v>21</v>
      </c>
      <c r="D4" s="25">
        <v>44564</v>
      </c>
      <c r="E4" s="10">
        <f>MONTH(_supplyTable[[#This Row],[Date]])</f>
        <v>1</v>
      </c>
      <c r="F4" s="6">
        <v>69.81</v>
      </c>
      <c r="G4" s="10">
        <v>55</v>
      </c>
      <c r="H4" s="10">
        <v>802</v>
      </c>
      <c r="I4" s="6">
        <v>8662</v>
      </c>
      <c r="J4" s="4" t="s">
        <v>22</v>
      </c>
      <c r="K4" s="10">
        <v>96</v>
      </c>
      <c r="L4" s="10">
        <v>4</v>
      </c>
      <c r="M4" s="4" t="s">
        <v>23</v>
      </c>
      <c r="N4" s="6">
        <v>2.96</v>
      </c>
      <c r="O4" s="4" t="s">
        <v>24</v>
      </c>
      <c r="P4" s="4" t="s">
        <v>25</v>
      </c>
      <c r="Q4" s="10">
        <v>29</v>
      </c>
      <c r="R4" t="str">
        <f>IFERROR(VLOOKUP(_supplyTable[[#This Row],[Lead Time]], Table7[#All], 3, TRUE), "No match")</f>
        <v>21-30</v>
      </c>
      <c r="S4" s="10">
        <v>215</v>
      </c>
      <c r="T4" s="10">
        <v>29</v>
      </c>
      <c r="U4" s="6">
        <v>46.28</v>
      </c>
      <c r="V4" s="4" t="s">
        <v>26</v>
      </c>
      <c r="W4" s="8">
        <v>0.23</v>
      </c>
      <c r="X4" s="4" t="s">
        <v>27</v>
      </c>
      <c r="Y4" s="4" t="s">
        <v>28</v>
      </c>
      <c r="Z4" s="6">
        <v>187.75</v>
      </c>
      <c r="AD4" s="34" t="s">
        <v>195</v>
      </c>
      <c r="AE4" s="34"/>
      <c r="AF4" s="34"/>
    </row>
    <row r="5" spans="1:32" x14ac:dyDescent="0.3">
      <c r="A5" s="4" t="s">
        <v>29</v>
      </c>
      <c r="B5" t="str">
        <f>PROPER(_supplyTable[[#This Row],[Product Type]])</f>
        <v>Skincare</v>
      </c>
      <c r="C5" s="4" t="s">
        <v>61</v>
      </c>
      <c r="D5" s="25">
        <v>44565</v>
      </c>
      <c r="E5" s="10">
        <f>MONTH(_supplyTable[[#This Row],[Date]])</f>
        <v>1</v>
      </c>
      <c r="F5" s="6">
        <v>96.34</v>
      </c>
      <c r="G5" s="10">
        <v>22</v>
      </c>
      <c r="H5" s="10">
        <v>320</v>
      </c>
      <c r="I5" s="6">
        <v>8128.03</v>
      </c>
      <c r="J5" s="4" t="s">
        <v>43</v>
      </c>
      <c r="K5" s="10">
        <v>68</v>
      </c>
      <c r="L5" s="10">
        <v>6</v>
      </c>
      <c r="M5" s="4" t="s">
        <v>32</v>
      </c>
      <c r="N5" s="6">
        <v>8.8800000000000008</v>
      </c>
      <c r="O5" s="4" t="s">
        <v>50</v>
      </c>
      <c r="P5" s="4" t="s">
        <v>56</v>
      </c>
      <c r="Q5" s="10">
        <v>29</v>
      </c>
      <c r="R5" t="str">
        <f>IFERROR(VLOOKUP(_supplyTable[[#This Row],[Lead Time]], Table7[#All], 3, TRUE), "No match")</f>
        <v>21-30</v>
      </c>
      <c r="S5" s="10">
        <v>309</v>
      </c>
      <c r="T5" s="10">
        <v>6</v>
      </c>
      <c r="U5" s="6">
        <v>65.69</v>
      </c>
      <c r="V5" s="4" t="s">
        <v>37</v>
      </c>
      <c r="W5" s="8">
        <v>4.2300000000000004</v>
      </c>
      <c r="X5" s="4" t="s">
        <v>40</v>
      </c>
      <c r="Y5" s="4" t="s">
        <v>28</v>
      </c>
      <c r="Z5" s="6">
        <v>493.87</v>
      </c>
      <c r="AC5" t="s">
        <v>176</v>
      </c>
      <c r="AD5" t="s">
        <v>196</v>
      </c>
      <c r="AE5" t="s">
        <v>197</v>
      </c>
    </row>
    <row r="6" spans="1:32" x14ac:dyDescent="0.3">
      <c r="A6" s="4" t="s">
        <v>29</v>
      </c>
      <c r="B6" t="str">
        <f>PROPER(_supplyTable[[#This Row],[Product Type]])</f>
        <v>Skincare</v>
      </c>
      <c r="C6" s="4" t="s">
        <v>107</v>
      </c>
      <c r="D6" s="25">
        <v>44566</v>
      </c>
      <c r="E6" s="10">
        <f>MONTH(_supplyTable[[#This Row],[Date]])</f>
        <v>1</v>
      </c>
      <c r="F6" s="6">
        <v>17.03</v>
      </c>
      <c r="G6" s="10">
        <v>16</v>
      </c>
      <c r="H6" s="10">
        <v>380</v>
      </c>
      <c r="I6" s="6">
        <v>8864.08</v>
      </c>
      <c r="J6" s="4" t="s">
        <v>31</v>
      </c>
      <c r="K6" s="10">
        <v>72</v>
      </c>
      <c r="L6" s="10">
        <v>8</v>
      </c>
      <c r="M6" s="4" t="s">
        <v>34</v>
      </c>
      <c r="N6" s="6">
        <v>4.38</v>
      </c>
      <c r="O6" s="4" t="s">
        <v>44</v>
      </c>
      <c r="P6" s="4" t="s">
        <v>25</v>
      </c>
      <c r="Q6" s="10">
        <v>29</v>
      </c>
      <c r="R6" t="str">
        <f>IFERROR(VLOOKUP(_supplyTable[[#This Row],[Lead Time]], Table7[#All], 3, TRUE), "No match")</f>
        <v>21-30</v>
      </c>
      <c r="S6" s="10">
        <v>929</v>
      </c>
      <c r="T6" s="10">
        <v>24</v>
      </c>
      <c r="U6" s="6">
        <v>87.21</v>
      </c>
      <c r="V6" s="4" t="s">
        <v>45</v>
      </c>
      <c r="W6" s="8">
        <v>2.85</v>
      </c>
      <c r="X6" s="4" t="s">
        <v>64</v>
      </c>
      <c r="Y6" s="4" t="s">
        <v>41</v>
      </c>
      <c r="Z6" s="6">
        <v>430.17</v>
      </c>
    </row>
    <row r="7" spans="1:32" x14ac:dyDescent="0.3">
      <c r="A7" s="4" t="s">
        <v>29</v>
      </c>
      <c r="B7" t="str">
        <f>PROPER(_supplyTable[[#This Row],[Product Type]])</f>
        <v>Skincare</v>
      </c>
      <c r="C7" s="4" t="s">
        <v>139</v>
      </c>
      <c r="D7" s="25">
        <v>44567</v>
      </c>
      <c r="E7" s="10">
        <f>MONTH(_supplyTable[[#This Row],[Date]])</f>
        <v>1</v>
      </c>
      <c r="F7" s="6">
        <v>64.02</v>
      </c>
      <c r="G7" s="10">
        <v>35</v>
      </c>
      <c r="H7" s="10">
        <v>980</v>
      </c>
      <c r="I7" s="6">
        <v>4971.1499999999996</v>
      </c>
      <c r="J7" s="4" t="s">
        <v>43</v>
      </c>
      <c r="K7" s="10">
        <v>83</v>
      </c>
      <c r="L7" s="10">
        <v>1</v>
      </c>
      <c r="M7" s="4" t="s">
        <v>32</v>
      </c>
      <c r="N7" s="6">
        <v>7.17</v>
      </c>
      <c r="O7" s="4" t="s">
        <v>39</v>
      </c>
      <c r="P7" s="4" t="s">
        <v>56</v>
      </c>
      <c r="Q7" s="10">
        <v>29</v>
      </c>
      <c r="R7" t="str">
        <f>IFERROR(VLOOKUP(_supplyTable[[#This Row],[Lead Time]], Table7[#All], 3, TRUE), "No match")</f>
        <v>21-30</v>
      </c>
      <c r="S7" s="10">
        <v>963</v>
      </c>
      <c r="T7" s="10">
        <v>23</v>
      </c>
      <c r="U7" s="6">
        <v>47.96</v>
      </c>
      <c r="V7" s="4" t="s">
        <v>26</v>
      </c>
      <c r="W7" s="8">
        <v>3.84</v>
      </c>
      <c r="X7" s="4" t="s">
        <v>64</v>
      </c>
      <c r="Y7" s="4" t="s">
        <v>28</v>
      </c>
      <c r="Z7" s="6">
        <v>995.93</v>
      </c>
      <c r="AC7">
        <v>1</v>
      </c>
      <c r="AD7">
        <v>10</v>
      </c>
      <c r="AE7" t="str">
        <f>CONCATENATE(AC7, "-", AD7)</f>
        <v>1-10</v>
      </c>
    </row>
    <row r="8" spans="1:32" x14ac:dyDescent="0.3">
      <c r="A8" s="4" t="s">
        <v>20</v>
      </c>
      <c r="B8" t="str">
        <f>PROPER(_supplyTable[[#This Row],[Product Type]])</f>
        <v>Haircare</v>
      </c>
      <c r="C8" s="4" t="s">
        <v>149</v>
      </c>
      <c r="D8" s="25">
        <v>44568</v>
      </c>
      <c r="E8" s="10">
        <f>MONTH(_supplyTable[[#This Row],[Date]])</f>
        <v>1</v>
      </c>
      <c r="F8" s="6">
        <v>68.52</v>
      </c>
      <c r="G8" s="10">
        <v>17</v>
      </c>
      <c r="H8" s="10">
        <v>627</v>
      </c>
      <c r="I8" s="6">
        <v>9185.19</v>
      </c>
      <c r="J8" s="4" t="s">
        <v>43</v>
      </c>
      <c r="K8" s="10">
        <v>59</v>
      </c>
      <c r="L8" s="10">
        <v>6</v>
      </c>
      <c r="M8" s="4" t="s">
        <v>23</v>
      </c>
      <c r="N8" s="6">
        <v>1.31</v>
      </c>
      <c r="O8" s="4" t="s">
        <v>39</v>
      </c>
      <c r="P8" s="4" t="s">
        <v>56</v>
      </c>
      <c r="Q8" s="10">
        <v>29</v>
      </c>
      <c r="R8" t="str">
        <f>IFERROR(VLOOKUP(_supplyTable[[#This Row],[Lead Time]], Table7[#All], 3, TRUE), "No match")</f>
        <v>21-30</v>
      </c>
      <c r="S8" s="10">
        <v>921</v>
      </c>
      <c r="T8" s="10">
        <v>2</v>
      </c>
      <c r="U8" s="6">
        <v>38.07</v>
      </c>
      <c r="V8" s="4" t="s">
        <v>45</v>
      </c>
      <c r="W8" s="8">
        <v>0.35</v>
      </c>
      <c r="X8" s="4" t="s">
        <v>64</v>
      </c>
      <c r="Y8" s="4" t="s">
        <v>28</v>
      </c>
      <c r="Z8" s="6">
        <v>210.74</v>
      </c>
      <c r="AC8">
        <v>11</v>
      </c>
      <c r="AD8">
        <v>20</v>
      </c>
      <c r="AE8" t="str">
        <f t="shared" ref="AE8:AE9" si="0">CONCATENATE(AC8, "-", AD8)</f>
        <v>11-20</v>
      </c>
    </row>
    <row r="9" spans="1:32" x14ac:dyDescent="0.3">
      <c r="A9" s="4" t="s">
        <v>29</v>
      </c>
      <c r="B9" t="str">
        <f>PROPER(_supplyTable[[#This Row],[Product Type]])</f>
        <v>Skincare</v>
      </c>
      <c r="C9" s="4" t="s">
        <v>38</v>
      </c>
      <c r="D9" s="25">
        <v>44569</v>
      </c>
      <c r="E9" s="10">
        <f>MONTH(_supplyTable[[#This Row],[Date]])</f>
        <v>1</v>
      </c>
      <c r="F9" s="6">
        <v>90.64</v>
      </c>
      <c r="G9" s="10">
        <v>95</v>
      </c>
      <c r="H9" s="10">
        <v>960</v>
      </c>
      <c r="I9" s="6">
        <v>6099.94</v>
      </c>
      <c r="J9" s="4" t="s">
        <v>31</v>
      </c>
      <c r="K9" s="10">
        <v>60</v>
      </c>
      <c r="L9" s="10">
        <v>1</v>
      </c>
      <c r="M9" s="4" t="s">
        <v>32</v>
      </c>
      <c r="N9" s="6">
        <v>4.5199999999999996</v>
      </c>
      <c r="O9" s="4" t="s">
        <v>39</v>
      </c>
      <c r="P9" s="4" t="s">
        <v>36</v>
      </c>
      <c r="Q9" s="10">
        <v>28</v>
      </c>
      <c r="R9" t="str">
        <f>IFERROR(VLOOKUP(_supplyTable[[#This Row],[Lead Time]], Table7[#All], 3, TRUE), "No match")</f>
        <v>21-30</v>
      </c>
      <c r="S9" s="10">
        <v>362</v>
      </c>
      <c r="T9" s="10">
        <v>11</v>
      </c>
      <c r="U9" s="6">
        <v>27.59</v>
      </c>
      <c r="V9" s="4" t="s">
        <v>26</v>
      </c>
      <c r="W9" s="8">
        <v>0.02</v>
      </c>
      <c r="X9" s="4" t="s">
        <v>40</v>
      </c>
      <c r="Y9" s="4" t="s">
        <v>41</v>
      </c>
      <c r="Z9" s="6">
        <v>126.72</v>
      </c>
      <c r="AC9">
        <v>21</v>
      </c>
      <c r="AD9">
        <v>30</v>
      </c>
      <c r="AE9" t="str">
        <f t="shared" si="0"/>
        <v>21-30</v>
      </c>
    </row>
    <row r="10" spans="1:32" x14ac:dyDescent="0.3">
      <c r="A10" s="4" t="s">
        <v>20</v>
      </c>
      <c r="B10" t="str">
        <f>PROPER(_supplyTable[[#This Row],[Product Type]])</f>
        <v>Haircare</v>
      </c>
      <c r="C10" s="4" t="s">
        <v>66</v>
      </c>
      <c r="D10" s="25">
        <v>44570</v>
      </c>
      <c r="E10" s="10">
        <f>MONTH(_supplyTable[[#This Row],[Date]])</f>
        <v>1</v>
      </c>
      <c r="F10" s="6">
        <v>4.16</v>
      </c>
      <c r="G10" s="10">
        <v>32</v>
      </c>
      <c r="H10" s="10">
        <v>209</v>
      </c>
      <c r="I10" s="6">
        <v>9049.08</v>
      </c>
      <c r="J10" s="4" t="s">
        <v>47</v>
      </c>
      <c r="K10" s="10">
        <v>2</v>
      </c>
      <c r="L10" s="10">
        <v>8</v>
      </c>
      <c r="M10" s="4" t="s">
        <v>34</v>
      </c>
      <c r="N10" s="6">
        <v>9.74</v>
      </c>
      <c r="O10" s="4" t="s">
        <v>39</v>
      </c>
      <c r="P10" s="4" t="s">
        <v>48</v>
      </c>
      <c r="Q10" s="10">
        <v>28</v>
      </c>
      <c r="R10" t="str">
        <f>IFERROR(VLOOKUP(_supplyTable[[#This Row],[Lead Time]], Table7[#All], 3, TRUE), "No match")</f>
        <v>21-30</v>
      </c>
      <c r="S10" s="10">
        <v>447</v>
      </c>
      <c r="T10" s="10">
        <v>3</v>
      </c>
      <c r="U10" s="6">
        <v>40.380000000000003</v>
      </c>
      <c r="V10" s="4" t="s">
        <v>26</v>
      </c>
      <c r="W10" s="8">
        <v>3.69</v>
      </c>
      <c r="X10" s="4" t="s">
        <v>40</v>
      </c>
      <c r="Y10" s="4" t="s">
        <v>41</v>
      </c>
      <c r="Z10" s="6">
        <v>758.72</v>
      </c>
    </row>
    <row r="11" spans="1:32" x14ac:dyDescent="0.3">
      <c r="A11" s="4" t="s">
        <v>54</v>
      </c>
      <c r="B11" t="str">
        <f>PROPER(_supplyTable[[#This Row],[Product Type]])</f>
        <v>Cosmetics</v>
      </c>
      <c r="C11" s="4" t="s">
        <v>94</v>
      </c>
      <c r="D11" s="25">
        <v>44571</v>
      </c>
      <c r="E11" s="10">
        <f>MONTH(_supplyTable[[#This Row],[Date]])</f>
        <v>1</v>
      </c>
      <c r="F11" s="6">
        <v>78.900000000000006</v>
      </c>
      <c r="G11" s="10">
        <v>19</v>
      </c>
      <c r="H11" s="10">
        <v>99</v>
      </c>
      <c r="I11" s="6">
        <v>8001.61</v>
      </c>
      <c r="J11" s="4" t="s">
        <v>43</v>
      </c>
      <c r="K11" s="10">
        <v>9</v>
      </c>
      <c r="L11" s="10">
        <v>6</v>
      </c>
      <c r="M11" s="4" t="s">
        <v>34</v>
      </c>
      <c r="N11" s="6">
        <v>2.5099999999999998</v>
      </c>
      <c r="O11" s="4" t="s">
        <v>35</v>
      </c>
      <c r="P11" s="4" t="s">
        <v>79</v>
      </c>
      <c r="Q11" s="10">
        <v>28</v>
      </c>
      <c r="R11" t="str">
        <f>IFERROR(VLOOKUP(_supplyTable[[#This Row],[Lead Time]], Table7[#All], 3, TRUE), "No match")</f>
        <v>21-30</v>
      </c>
      <c r="S11" s="10">
        <v>177</v>
      </c>
      <c r="T11" s="10">
        <v>28</v>
      </c>
      <c r="U11" s="6">
        <v>14.15</v>
      </c>
      <c r="V11" s="4" t="s">
        <v>37</v>
      </c>
      <c r="W11" s="8">
        <v>2.83</v>
      </c>
      <c r="X11" s="4" t="s">
        <v>64</v>
      </c>
      <c r="Y11" s="4" t="s">
        <v>41</v>
      </c>
      <c r="Z11" s="6">
        <v>336.89</v>
      </c>
    </row>
    <row r="12" spans="1:32" x14ac:dyDescent="0.3">
      <c r="A12" s="4" t="s">
        <v>20</v>
      </c>
      <c r="B12" t="str">
        <f>PROPER(_supplyTable[[#This Row],[Product Type]])</f>
        <v>Haircare</v>
      </c>
      <c r="C12" s="4" t="s">
        <v>130</v>
      </c>
      <c r="D12" s="25">
        <v>44572</v>
      </c>
      <c r="E12" s="10">
        <f>MONTH(_supplyTable[[#This Row],[Date]])</f>
        <v>1</v>
      </c>
      <c r="F12" s="6">
        <v>72.819999999999993</v>
      </c>
      <c r="G12" s="10">
        <v>9</v>
      </c>
      <c r="H12" s="10">
        <v>774</v>
      </c>
      <c r="I12" s="6">
        <v>4384.41</v>
      </c>
      <c r="J12" s="4" t="s">
        <v>43</v>
      </c>
      <c r="K12" s="10">
        <v>8</v>
      </c>
      <c r="L12" s="10">
        <v>5</v>
      </c>
      <c r="M12" s="4" t="s">
        <v>23</v>
      </c>
      <c r="N12" s="6">
        <v>4.07</v>
      </c>
      <c r="O12" s="4" t="s">
        <v>24</v>
      </c>
      <c r="P12" s="4" t="s">
        <v>79</v>
      </c>
      <c r="Q12" s="10">
        <v>28</v>
      </c>
      <c r="R12" t="str">
        <f>IFERROR(VLOOKUP(_supplyTable[[#This Row],[Lead Time]], Table7[#All], 3, TRUE), "No match")</f>
        <v>21-30</v>
      </c>
      <c r="S12" s="10">
        <v>698</v>
      </c>
      <c r="T12" s="10">
        <v>1</v>
      </c>
      <c r="U12" s="6">
        <v>19.79</v>
      </c>
      <c r="V12" s="4" t="s">
        <v>26</v>
      </c>
      <c r="W12" s="8">
        <v>2.5499999999999998</v>
      </c>
      <c r="X12" s="4" t="s">
        <v>64</v>
      </c>
      <c r="Y12" s="4" t="s">
        <v>28</v>
      </c>
      <c r="Z12" s="6">
        <v>276.77999999999997</v>
      </c>
    </row>
    <row r="13" spans="1:32" x14ac:dyDescent="0.3">
      <c r="A13" s="4" t="s">
        <v>54</v>
      </c>
      <c r="B13" t="str">
        <f>PROPER(_supplyTable[[#This Row],[Product Type]])</f>
        <v>Cosmetics</v>
      </c>
      <c r="C13" s="4" t="s">
        <v>146</v>
      </c>
      <c r="D13" s="25">
        <v>44573</v>
      </c>
      <c r="E13" s="10">
        <f>MONTH(_supplyTable[[#This Row],[Date]])</f>
        <v>1</v>
      </c>
      <c r="F13" s="6">
        <v>24.42</v>
      </c>
      <c r="G13" s="10">
        <v>29</v>
      </c>
      <c r="H13" s="10">
        <v>324</v>
      </c>
      <c r="I13" s="6">
        <v>7698.42</v>
      </c>
      <c r="J13" s="4" t="s">
        <v>22</v>
      </c>
      <c r="K13" s="10">
        <v>32</v>
      </c>
      <c r="L13" s="10">
        <v>3</v>
      </c>
      <c r="M13" s="4" t="s">
        <v>34</v>
      </c>
      <c r="N13" s="6">
        <v>5.35</v>
      </c>
      <c r="O13" s="4" t="s">
        <v>24</v>
      </c>
      <c r="P13" s="4" t="s">
        <v>25</v>
      </c>
      <c r="Q13" s="10">
        <v>28</v>
      </c>
      <c r="R13" t="str">
        <f>IFERROR(VLOOKUP(_supplyTable[[#This Row],[Lead Time]], Table7[#All], 3, TRUE), "No match")</f>
        <v>21-30</v>
      </c>
      <c r="S13" s="10">
        <v>648</v>
      </c>
      <c r="T13" s="10">
        <v>28</v>
      </c>
      <c r="U13" s="6">
        <v>17.8</v>
      </c>
      <c r="V13" s="4" t="s">
        <v>26</v>
      </c>
      <c r="W13" s="8">
        <v>3.87</v>
      </c>
      <c r="X13" s="4" t="s">
        <v>27</v>
      </c>
      <c r="Y13" s="4" t="s">
        <v>41</v>
      </c>
      <c r="Z13" s="6">
        <v>188.74</v>
      </c>
    </row>
    <row r="14" spans="1:32" x14ac:dyDescent="0.3">
      <c r="A14" s="4" t="s">
        <v>29</v>
      </c>
      <c r="B14" t="str">
        <f>PROPER(_supplyTable[[#This Row],[Product Type]])</f>
        <v>Skincare</v>
      </c>
      <c r="C14" s="4" t="s">
        <v>148</v>
      </c>
      <c r="D14" s="25">
        <v>44574</v>
      </c>
      <c r="E14" s="10">
        <f>MONTH(_supplyTable[[#This Row],[Date]])</f>
        <v>1</v>
      </c>
      <c r="F14" s="6">
        <v>19.75</v>
      </c>
      <c r="G14" s="10">
        <v>43</v>
      </c>
      <c r="H14" s="10">
        <v>913</v>
      </c>
      <c r="I14" s="6">
        <v>8525.9500000000007</v>
      </c>
      <c r="J14" s="4" t="s">
        <v>31</v>
      </c>
      <c r="K14" s="10">
        <v>27</v>
      </c>
      <c r="L14" s="10">
        <v>7</v>
      </c>
      <c r="M14" s="4" t="s">
        <v>23</v>
      </c>
      <c r="N14" s="6">
        <v>1.41</v>
      </c>
      <c r="O14" s="4" t="s">
        <v>35</v>
      </c>
      <c r="P14" s="4" t="s">
        <v>56</v>
      </c>
      <c r="Q14" s="10">
        <v>28</v>
      </c>
      <c r="R14" t="str">
        <f>IFERROR(VLOOKUP(_supplyTable[[#This Row],[Lead Time]], Table7[#All], 3, TRUE), "No match")</f>
        <v>21-30</v>
      </c>
      <c r="S14" s="10">
        <v>581</v>
      </c>
      <c r="T14" s="10">
        <v>9</v>
      </c>
      <c r="U14" s="6">
        <v>5.6</v>
      </c>
      <c r="V14" s="4" t="s">
        <v>26</v>
      </c>
      <c r="W14" s="8">
        <v>2.91</v>
      </c>
      <c r="X14" s="4" t="s">
        <v>64</v>
      </c>
      <c r="Y14" s="4" t="s">
        <v>41</v>
      </c>
      <c r="Z14" s="6">
        <v>882.2</v>
      </c>
    </row>
    <row r="15" spans="1:32" x14ac:dyDescent="0.3">
      <c r="A15" s="4" t="s">
        <v>20</v>
      </c>
      <c r="B15" t="str">
        <f>PROPER(_supplyTable[[#This Row],[Product Type]])</f>
        <v>Haircare</v>
      </c>
      <c r="C15" s="4" t="s">
        <v>73</v>
      </c>
      <c r="D15" s="25">
        <v>44575</v>
      </c>
      <c r="E15" s="10">
        <f>MONTH(_supplyTable[[#This Row],[Date]])</f>
        <v>1</v>
      </c>
      <c r="F15" s="6">
        <v>8.02</v>
      </c>
      <c r="G15" s="10">
        <v>10</v>
      </c>
      <c r="H15" s="10">
        <v>327</v>
      </c>
      <c r="I15" s="6">
        <v>2766.34</v>
      </c>
      <c r="J15" s="4" t="s">
        <v>47</v>
      </c>
      <c r="K15" s="10">
        <v>35</v>
      </c>
      <c r="L15" s="10">
        <v>7</v>
      </c>
      <c r="M15" s="4" t="s">
        <v>23</v>
      </c>
      <c r="N15" s="6">
        <v>8.9499999999999993</v>
      </c>
      <c r="O15" s="4" t="s">
        <v>44</v>
      </c>
      <c r="P15" s="4" t="s">
        <v>36</v>
      </c>
      <c r="Q15" s="10">
        <v>27</v>
      </c>
      <c r="R15" t="str">
        <f>IFERROR(VLOOKUP(_supplyTable[[#This Row],[Lead Time]], Table7[#All], 3, TRUE), "No match")</f>
        <v>21-30</v>
      </c>
      <c r="S15" s="10">
        <v>806</v>
      </c>
      <c r="T15" s="10">
        <v>30</v>
      </c>
      <c r="U15" s="6">
        <v>51.63</v>
      </c>
      <c r="V15" s="4" t="s">
        <v>26</v>
      </c>
      <c r="W15" s="8">
        <v>0.97</v>
      </c>
      <c r="X15" s="4" t="s">
        <v>27</v>
      </c>
      <c r="Y15" s="4" t="s">
        <v>57</v>
      </c>
      <c r="Z15" s="6">
        <v>880.08</v>
      </c>
    </row>
    <row r="16" spans="1:32" x14ac:dyDescent="0.3">
      <c r="A16" s="4" t="s">
        <v>20</v>
      </c>
      <c r="B16" t="str">
        <f>PROPER(_supplyTable[[#This Row],[Product Type]])</f>
        <v>Haircare</v>
      </c>
      <c r="C16" s="4" t="s">
        <v>101</v>
      </c>
      <c r="D16" s="25">
        <v>44576</v>
      </c>
      <c r="E16" s="10">
        <f>MONTH(_supplyTable[[#This Row],[Date]])</f>
        <v>1</v>
      </c>
      <c r="F16" s="6">
        <v>79.86</v>
      </c>
      <c r="G16" s="10">
        <v>16</v>
      </c>
      <c r="H16" s="10">
        <v>701</v>
      </c>
      <c r="I16" s="6">
        <v>2925.68</v>
      </c>
      <c r="J16" s="4" t="s">
        <v>47</v>
      </c>
      <c r="K16" s="10">
        <v>11</v>
      </c>
      <c r="L16" s="10">
        <v>5</v>
      </c>
      <c r="M16" s="4" t="s">
        <v>32</v>
      </c>
      <c r="N16" s="6">
        <v>5.01</v>
      </c>
      <c r="O16" s="4" t="s">
        <v>39</v>
      </c>
      <c r="P16" s="4" t="s">
        <v>79</v>
      </c>
      <c r="Q16" s="10">
        <v>27</v>
      </c>
      <c r="R16" t="str">
        <f>IFERROR(VLOOKUP(_supplyTable[[#This Row],[Lead Time]], Table7[#All], 3, TRUE), "No match")</f>
        <v>21-30</v>
      </c>
      <c r="S16" s="10">
        <v>918</v>
      </c>
      <c r="T16" s="10">
        <v>5</v>
      </c>
      <c r="U16" s="6">
        <v>30.32</v>
      </c>
      <c r="V16" s="4" t="s">
        <v>45</v>
      </c>
      <c r="W16" s="8">
        <v>4.55</v>
      </c>
      <c r="X16" s="4" t="s">
        <v>52</v>
      </c>
      <c r="Y16" s="4" t="s">
        <v>28</v>
      </c>
      <c r="Z16" s="6">
        <v>323.01</v>
      </c>
    </row>
    <row r="17" spans="1:26" x14ac:dyDescent="0.3">
      <c r="A17" s="4" t="s">
        <v>20</v>
      </c>
      <c r="B17" t="str">
        <f>PROPER(_supplyTable[[#This Row],[Product Type]])</f>
        <v>Haircare</v>
      </c>
      <c r="C17" s="4" t="s">
        <v>136</v>
      </c>
      <c r="D17" s="25">
        <v>44577</v>
      </c>
      <c r="E17" s="10">
        <f>MONTH(_supplyTable[[#This Row],[Date]])</f>
        <v>1</v>
      </c>
      <c r="F17" s="6">
        <v>80.41</v>
      </c>
      <c r="G17" s="10">
        <v>24</v>
      </c>
      <c r="H17" s="10">
        <v>79</v>
      </c>
      <c r="I17" s="6">
        <v>5133.8500000000004</v>
      </c>
      <c r="J17" s="4" t="s">
        <v>47</v>
      </c>
      <c r="K17" s="10">
        <v>55</v>
      </c>
      <c r="L17" s="10">
        <v>10</v>
      </c>
      <c r="M17" s="4" t="s">
        <v>32</v>
      </c>
      <c r="N17" s="6">
        <v>6.58</v>
      </c>
      <c r="O17" s="4" t="s">
        <v>24</v>
      </c>
      <c r="P17" s="4" t="s">
        <v>56</v>
      </c>
      <c r="Q17" s="10">
        <v>27</v>
      </c>
      <c r="R17" t="str">
        <f>IFERROR(VLOOKUP(_supplyTable[[#This Row],[Lead Time]], Table7[#All], 3, TRUE), "No match")</f>
        <v>21-30</v>
      </c>
      <c r="S17" s="10">
        <v>523</v>
      </c>
      <c r="T17" s="10">
        <v>17</v>
      </c>
      <c r="U17" s="6">
        <v>28.7</v>
      </c>
      <c r="V17" s="4" t="s">
        <v>45</v>
      </c>
      <c r="W17" s="8">
        <v>3.69</v>
      </c>
      <c r="X17" s="4" t="s">
        <v>52</v>
      </c>
      <c r="Y17" s="4" t="s">
        <v>28</v>
      </c>
      <c r="Z17" s="6">
        <v>879.36</v>
      </c>
    </row>
    <row r="18" spans="1:26" x14ac:dyDescent="0.3">
      <c r="A18" s="4" t="s">
        <v>20</v>
      </c>
      <c r="B18" t="str">
        <f>PROPER(_supplyTable[[#This Row],[Product Type]])</f>
        <v>Haircare</v>
      </c>
      <c r="C18" s="4" t="s">
        <v>68</v>
      </c>
      <c r="D18" s="25">
        <v>44578</v>
      </c>
      <c r="E18" s="10">
        <f>MONTH(_supplyTable[[#This Row],[Date]])</f>
        <v>1</v>
      </c>
      <c r="F18" s="6">
        <v>97.45</v>
      </c>
      <c r="G18" s="10">
        <v>9</v>
      </c>
      <c r="H18" s="10">
        <v>353</v>
      </c>
      <c r="I18" s="6">
        <v>3716.49</v>
      </c>
      <c r="J18" s="4" t="s">
        <v>47</v>
      </c>
      <c r="K18" s="10">
        <v>48</v>
      </c>
      <c r="L18" s="10">
        <v>4</v>
      </c>
      <c r="M18" s="4" t="s">
        <v>23</v>
      </c>
      <c r="N18" s="6">
        <v>6.51</v>
      </c>
      <c r="O18" s="4" t="s">
        <v>39</v>
      </c>
      <c r="P18" s="4" t="s">
        <v>48</v>
      </c>
      <c r="Q18" s="10">
        <v>26</v>
      </c>
      <c r="R18" t="str">
        <f>IFERROR(VLOOKUP(_supplyTable[[#This Row],[Lead Time]], Table7[#All], 3, TRUE), "No match")</f>
        <v>21-30</v>
      </c>
      <c r="S18" s="10">
        <v>171</v>
      </c>
      <c r="T18" s="10">
        <v>4</v>
      </c>
      <c r="U18" s="6">
        <v>15.97</v>
      </c>
      <c r="V18" s="4" t="s">
        <v>37</v>
      </c>
      <c r="W18" s="8">
        <v>2.12</v>
      </c>
      <c r="X18" s="4" t="s">
        <v>64</v>
      </c>
      <c r="Y18" s="4" t="s">
        <v>41</v>
      </c>
      <c r="Z18" s="6">
        <v>617.87</v>
      </c>
    </row>
    <row r="19" spans="1:26" x14ac:dyDescent="0.3">
      <c r="A19" s="4" t="s">
        <v>29</v>
      </c>
      <c r="B19" t="str">
        <f>PROPER(_supplyTable[[#This Row],[Product Type]])</f>
        <v>Skincare</v>
      </c>
      <c r="C19" s="4" t="s">
        <v>80</v>
      </c>
      <c r="D19" s="25">
        <v>44579</v>
      </c>
      <c r="E19" s="10">
        <f>MONTH(_supplyTable[[#This Row],[Date]])</f>
        <v>1</v>
      </c>
      <c r="F19" s="6">
        <v>9.81</v>
      </c>
      <c r="G19" s="10">
        <v>34</v>
      </c>
      <c r="H19" s="10">
        <v>963</v>
      </c>
      <c r="I19" s="6">
        <v>7573.4</v>
      </c>
      <c r="J19" s="4" t="s">
        <v>31</v>
      </c>
      <c r="K19" s="10">
        <v>28</v>
      </c>
      <c r="L19" s="10">
        <v>3</v>
      </c>
      <c r="M19" s="4" t="s">
        <v>23</v>
      </c>
      <c r="N19" s="6">
        <v>2.11</v>
      </c>
      <c r="O19" s="4" t="s">
        <v>39</v>
      </c>
      <c r="P19" s="4" t="s">
        <v>79</v>
      </c>
      <c r="Q19" s="10">
        <v>26</v>
      </c>
      <c r="R19" t="str">
        <f>IFERROR(VLOOKUP(_supplyTable[[#This Row],[Lead Time]], Table7[#All], 3, TRUE), "No match")</f>
        <v>21-30</v>
      </c>
      <c r="S19" s="10">
        <v>671</v>
      </c>
      <c r="T19" s="10">
        <v>19</v>
      </c>
      <c r="U19" s="6">
        <v>45.53</v>
      </c>
      <c r="V19" s="4" t="s">
        <v>45</v>
      </c>
      <c r="W19" s="8">
        <v>3.81</v>
      </c>
      <c r="X19" s="4" t="s">
        <v>40</v>
      </c>
      <c r="Y19" s="4" t="s">
        <v>57</v>
      </c>
      <c r="Z19" s="6">
        <v>403.81</v>
      </c>
    </row>
    <row r="20" spans="1:26" x14ac:dyDescent="0.3">
      <c r="A20" s="4" t="s">
        <v>29</v>
      </c>
      <c r="B20" t="str">
        <f>PROPER(_supplyTable[[#This Row],[Product Type]])</f>
        <v>Skincare</v>
      </c>
      <c r="C20" s="4" t="s">
        <v>87</v>
      </c>
      <c r="D20" s="25">
        <v>44580</v>
      </c>
      <c r="E20" s="10">
        <f>MONTH(_supplyTable[[#This Row],[Date]])</f>
        <v>1</v>
      </c>
      <c r="F20" s="6">
        <v>46.53</v>
      </c>
      <c r="G20" s="10">
        <v>98</v>
      </c>
      <c r="H20" s="10">
        <v>155</v>
      </c>
      <c r="I20" s="6">
        <v>1839.61</v>
      </c>
      <c r="J20" s="4" t="s">
        <v>31</v>
      </c>
      <c r="K20" s="10">
        <v>57</v>
      </c>
      <c r="L20" s="10">
        <v>4</v>
      </c>
      <c r="M20" s="4" t="s">
        <v>34</v>
      </c>
      <c r="N20" s="6">
        <v>7.53</v>
      </c>
      <c r="O20" s="4" t="s">
        <v>35</v>
      </c>
      <c r="P20" s="4" t="s">
        <v>48</v>
      </c>
      <c r="Q20" s="10">
        <v>26</v>
      </c>
      <c r="R20" t="str">
        <f>IFERROR(VLOOKUP(_supplyTable[[#This Row],[Lead Time]], Table7[#All], 3, TRUE), "No match")</f>
        <v>21-30</v>
      </c>
      <c r="S20" s="10">
        <v>179</v>
      </c>
      <c r="T20" s="10">
        <v>7</v>
      </c>
      <c r="U20" s="6">
        <v>96.42</v>
      </c>
      <c r="V20" s="4" t="s">
        <v>45</v>
      </c>
      <c r="W20" s="8">
        <v>4.9400000000000004</v>
      </c>
      <c r="X20" s="4" t="s">
        <v>27</v>
      </c>
      <c r="Y20" s="4" t="s">
        <v>41</v>
      </c>
      <c r="Z20" s="6">
        <v>635.66</v>
      </c>
    </row>
    <row r="21" spans="1:26" x14ac:dyDescent="0.3">
      <c r="A21" s="4" t="s">
        <v>20</v>
      </c>
      <c r="B21" t="str">
        <f>PROPER(_supplyTable[[#This Row],[Product Type]])</f>
        <v>Haircare</v>
      </c>
      <c r="C21" s="4" t="s">
        <v>100</v>
      </c>
      <c r="D21" s="25">
        <v>44581</v>
      </c>
      <c r="E21" s="10">
        <f>MONTH(_supplyTable[[#This Row],[Date]])</f>
        <v>1</v>
      </c>
      <c r="F21" s="6">
        <v>31.15</v>
      </c>
      <c r="G21" s="10">
        <v>11</v>
      </c>
      <c r="H21" s="10">
        <v>622</v>
      </c>
      <c r="I21" s="6">
        <v>6088.02</v>
      </c>
      <c r="J21" s="4" t="s">
        <v>22</v>
      </c>
      <c r="K21" s="10">
        <v>61</v>
      </c>
      <c r="L21" s="10">
        <v>3</v>
      </c>
      <c r="M21" s="4" t="s">
        <v>23</v>
      </c>
      <c r="N21" s="6">
        <v>4.3099999999999996</v>
      </c>
      <c r="O21" s="4" t="s">
        <v>50</v>
      </c>
      <c r="P21" s="4" t="s">
        <v>36</v>
      </c>
      <c r="Q21" s="10">
        <v>26</v>
      </c>
      <c r="R21" t="str">
        <f>IFERROR(VLOOKUP(_supplyTable[[#This Row],[Lead Time]], Table7[#All], 3, TRUE), "No match")</f>
        <v>21-30</v>
      </c>
      <c r="S21" s="10">
        <v>497</v>
      </c>
      <c r="T21" s="10">
        <v>29</v>
      </c>
      <c r="U21" s="6">
        <v>30.19</v>
      </c>
      <c r="V21" s="4" t="s">
        <v>37</v>
      </c>
      <c r="W21" s="8">
        <v>2.48</v>
      </c>
      <c r="X21" s="4" t="s">
        <v>27</v>
      </c>
      <c r="Y21" s="4" t="s">
        <v>28</v>
      </c>
      <c r="Z21" s="6">
        <v>814.07</v>
      </c>
    </row>
    <row r="22" spans="1:26" x14ac:dyDescent="0.3">
      <c r="A22" s="4" t="s">
        <v>20</v>
      </c>
      <c r="B22" t="str">
        <f>PROPER(_supplyTable[[#This Row],[Product Type]])</f>
        <v>Haircare</v>
      </c>
      <c r="C22" s="4" t="s">
        <v>125</v>
      </c>
      <c r="D22" s="25">
        <v>44582</v>
      </c>
      <c r="E22" s="10">
        <f>MONTH(_supplyTable[[#This Row],[Date]])</f>
        <v>1</v>
      </c>
      <c r="F22" s="6">
        <v>57.45</v>
      </c>
      <c r="G22" s="10">
        <v>14</v>
      </c>
      <c r="H22" s="10">
        <v>359</v>
      </c>
      <c r="I22" s="6">
        <v>2483.7600000000002</v>
      </c>
      <c r="J22" s="4" t="s">
        <v>43</v>
      </c>
      <c r="K22" s="10">
        <v>57</v>
      </c>
      <c r="L22" s="10">
        <v>4</v>
      </c>
      <c r="M22" s="4" t="s">
        <v>23</v>
      </c>
      <c r="N22" s="6">
        <v>6.78</v>
      </c>
      <c r="O22" s="4" t="s">
        <v>50</v>
      </c>
      <c r="P22" s="4" t="s">
        <v>36</v>
      </c>
      <c r="Q22" s="10">
        <v>26</v>
      </c>
      <c r="R22" t="str">
        <f>IFERROR(VLOOKUP(_supplyTable[[#This Row],[Lead Time]], Table7[#All], 3, TRUE), "No match")</f>
        <v>21-30</v>
      </c>
      <c r="S22" s="10">
        <v>334</v>
      </c>
      <c r="T22" s="10">
        <v>5</v>
      </c>
      <c r="U22" s="6">
        <v>42.95</v>
      </c>
      <c r="V22" s="4" t="s">
        <v>37</v>
      </c>
      <c r="W22" s="8">
        <v>3.06</v>
      </c>
      <c r="X22" s="4" t="s">
        <v>27</v>
      </c>
      <c r="Y22" s="4" t="s">
        <v>28</v>
      </c>
      <c r="Z22" s="6">
        <v>852.57</v>
      </c>
    </row>
    <row r="23" spans="1:26" x14ac:dyDescent="0.3">
      <c r="A23" s="4" t="s">
        <v>29</v>
      </c>
      <c r="B23" t="str">
        <f>PROPER(_supplyTable[[#This Row],[Product Type]])</f>
        <v>Skincare</v>
      </c>
      <c r="C23" s="4" t="s">
        <v>49</v>
      </c>
      <c r="D23" s="25">
        <v>44583</v>
      </c>
      <c r="E23" s="10">
        <f>MONTH(_supplyTable[[#This Row],[Date]])</f>
        <v>1</v>
      </c>
      <c r="F23" s="6">
        <v>99.17</v>
      </c>
      <c r="G23" s="10">
        <v>26</v>
      </c>
      <c r="H23" s="10">
        <v>562</v>
      </c>
      <c r="I23" s="6">
        <v>8653.57</v>
      </c>
      <c r="J23" s="4" t="s">
        <v>22</v>
      </c>
      <c r="K23" s="10">
        <v>78</v>
      </c>
      <c r="L23" s="10">
        <v>5</v>
      </c>
      <c r="M23" s="4" t="s">
        <v>23</v>
      </c>
      <c r="N23" s="6">
        <v>2.04</v>
      </c>
      <c r="O23" s="4" t="s">
        <v>50</v>
      </c>
      <c r="P23" s="4" t="s">
        <v>36</v>
      </c>
      <c r="Q23" s="10">
        <v>25</v>
      </c>
      <c r="R23" t="str">
        <f>IFERROR(VLOOKUP(_supplyTable[[#This Row],[Lead Time]], Table7[#All], 3, TRUE), "No match")</f>
        <v>21-30</v>
      </c>
      <c r="S23" s="10">
        <v>558</v>
      </c>
      <c r="T23" s="10">
        <v>14</v>
      </c>
      <c r="U23" s="6">
        <v>5.79</v>
      </c>
      <c r="V23" s="4" t="s">
        <v>26</v>
      </c>
      <c r="W23" s="8">
        <v>0.1</v>
      </c>
      <c r="X23" s="4" t="s">
        <v>40</v>
      </c>
      <c r="Y23" s="4" t="s">
        <v>28</v>
      </c>
      <c r="Z23" s="6">
        <v>929.24</v>
      </c>
    </row>
    <row r="24" spans="1:26" x14ac:dyDescent="0.3">
      <c r="A24" s="4" t="s">
        <v>54</v>
      </c>
      <c r="B24" t="str">
        <f>PROPER(_supplyTable[[#This Row],[Product Type]])</f>
        <v>Cosmetics</v>
      </c>
      <c r="C24" s="4" t="s">
        <v>69</v>
      </c>
      <c r="D24" s="25">
        <v>44584</v>
      </c>
      <c r="E24" s="10">
        <f>MONTH(_supplyTable[[#This Row],[Date]])</f>
        <v>1</v>
      </c>
      <c r="F24" s="6">
        <v>92.56</v>
      </c>
      <c r="G24" s="10">
        <v>42</v>
      </c>
      <c r="H24" s="10">
        <v>352</v>
      </c>
      <c r="I24" s="6">
        <v>2686.46</v>
      </c>
      <c r="J24" s="4" t="s">
        <v>43</v>
      </c>
      <c r="K24" s="10">
        <v>62</v>
      </c>
      <c r="L24" s="10">
        <v>8</v>
      </c>
      <c r="M24" s="4" t="s">
        <v>34</v>
      </c>
      <c r="N24" s="6">
        <v>7.41</v>
      </c>
      <c r="O24" s="4" t="s">
        <v>35</v>
      </c>
      <c r="P24" s="4" t="s">
        <v>25</v>
      </c>
      <c r="Q24" s="10">
        <v>25</v>
      </c>
      <c r="R24" t="str">
        <f>IFERROR(VLOOKUP(_supplyTable[[#This Row],[Lead Time]], Table7[#All], 3, TRUE), "No match")</f>
        <v>21-30</v>
      </c>
      <c r="S24" s="10">
        <v>291</v>
      </c>
      <c r="T24" s="10">
        <v>4</v>
      </c>
      <c r="U24" s="6">
        <v>10.53</v>
      </c>
      <c r="V24" s="4" t="s">
        <v>45</v>
      </c>
      <c r="W24" s="8">
        <v>2.86</v>
      </c>
      <c r="X24" s="4" t="s">
        <v>52</v>
      </c>
      <c r="Y24" s="4" t="s">
        <v>28</v>
      </c>
      <c r="Z24" s="6">
        <v>762.46</v>
      </c>
    </row>
    <row r="25" spans="1:26" x14ac:dyDescent="0.3">
      <c r="A25" s="4" t="s">
        <v>20</v>
      </c>
      <c r="B25" t="str">
        <f>PROPER(_supplyTable[[#This Row],[Product Type]])</f>
        <v>Haircare</v>
      </c>
      <c r="C25" s="4" t="s">
        <v>90</v>
      </c>
      <c r="D25" s="25">
        <v>44585</v>
      </c>
      <c r="E25" s="10">
        <f>MONTH(_supplyTable[[#This Row],[Date]])</f>
        <v>1</v>
      </c>
      <c r="F25" s="6">
        <v>33.78</v>
      </c>
      <c r="G25" s="10">
        <v>1</v>
      </c>
      <c r="H25" s="10">
        <v>24</v>
      </c>
      <c r="I25" s="6">
        <v>5267.96</v>
      </c>
      <c r="J25" s="4" t="s">
        <v>47</v>
      </c>
      <c r="K25" s="10">
        <v>52</v>
      </c>
      <c r="L25" s="10">
        <v>6</v>
      </c>
      <c r="M25" s="4" t="s">
        <v>23</v>
      </c>
      <c r="N25" s="6">
        <v>5.22</v>
      </c>
      <c r="O25" s="4" t="s">
        <v>39</v>
      </c>
      <c r="P25" s="4" t="s">
        <v>56</v>
      </c>
      <c r="Q25" s="10">
        <v>25</v>
      </c>
      <c r="R25" t="str">
        <f>IFERROR(VLOOKUP(_supplyTable[[#This Row],[Lead Time]], Table7[#All], 3, TRUE), "No match")</f>
        <v>21-30</v>
      </c>
      <c r="S25" s="10">
        <v>794</v>
      </c>
      <c r="T25" s="10">
        <v>25</v>
      </c>
      <c r="U25" s="6">
        <v>66.31</v>
      </c>
      <c r="V25" s="4" t="s">
        <v>37</v>
      </c>
      <c r="W25" s="8">
        <v>3.22</v>
      </c>
      <c r="X25" s="4" t="s">
        <v>64</v>
      </c>
      <c r="Y25" s="4" t="s">
        <v>41</v>
      </c>
      <c r="Z25" s="6">
        <v>495.31</v>
      </c>
    </row>
    <row r="26" spans="1:26" x14ac:dyDescent="0.3">
      <c r="A26" s="4" t="s">
        <v>29</v>
      </c>
      <c r="B26" t="str">
        <f>PROPER(_supplyTable[[#This Row],[Product Type]])</f>
        <v>Skincare</v>
      </c>
      <c r="C26" s="4" t="s">
        <v>123</v>
      </c>
      <c r="D26" s="25">
        <v>44586</v>
      </c>
      <c r="E26" s="10">
        <f>MONTH(_supplyTable[[#This Row],[Date]])</f>
        <v>1</v>
      </c>
      <c r="F26" s="6">
        <v>93</v>
      </c>
      <c r="G26" s="10">
        <v>29</v>
      </c>
      <c r="H26" s="10">
        <v>106</v>
      </c>
      <c r="I26" s="6">
        <v>1889.07</v>
      </c>
      <c r="J26" s="4" t="s">
        <v>22</v>
      </c>
      <c r="K26" s="10">
        <v>56</v>
      </c>
      <c r="L26" s="10">
        <v>10</v>
      </c>
      <c r="M26" s="4" t="s">
        <v>34</v>
      </c>
      <c r="N26" s="6">
        <v>2.4700000000000002</v>
      </c>
      <c r="O26" s="4" t="s">
        <v>50</v>
      </c>
      <c r="P26" s="4" t="s">
        <v>56</v>
      </c>
      <c r="Q26" s="10">
        <v>25</v>
      </c>
      <c r="R26" t="str">
        <f>IFERROR(VLOOKUP(_supplyTable[[#This Row],[Lead Time]], Table7[#All], 3, TRUE), "No match")</f>
        <v>21-30</v>
      </c>
      <c r="S26" s="10">
        <v>759</v>
      </c>
      <c r="T26" s="10">
        <v>11</v>
      </c>
      <c r="U26" s="6">
        <v>48.06</v>
      </c>
      <c r="V26" s="4" t="s">
        <v>37</v>
      </c>
      <c r="W26" s="8">
        <v>2.0299999999999998</v>
      </c>
      <c r="X26" s="4" t="s">
        <v>40</v>
      </c>
      <c r="Y26" s="4" t="s">
        <v>57</v>
      </c>
      <c r="Z26" s="6">
        <v>873.13</v>
      </c>
    </row>
    <row r="27" spans="1:26" x14ac:dyDescent="0.3">
      <c r="A27" s="4" t="s">
        <v>20</v>
      </c>
      <c r="B27" t="str">
        <f>PROPER(_supplyTable[[#This Row],[Product Type]])</f>
        <v>Haircare</v>
      </c>
      <c r="C27" s="4" t="s">
        <v>124</v>
      </c>
      <c r="D27" s="25">
        <v>44587</v>
      </c>
      <c r="E27" s="10">
        <f>MONTH(_supplyTable[[#This Row],[Date]])</f>
        <v>1</v>
      </c>
      <c r="F27" s="6">
        <v>69.11</v>
      </c>
      <c r="G27" s="10">
        <v>23</v>
      </c>
      <c r="H27" s="10">
        <v>241</v>
      </c>
      <c r="I27" s="6">
        <v>5328.38</v>
      </c>
      <c r="J27" s="4" t="s">
        <v>47</v>
      </c>
      <c r="K27" s="10">
        <v>22</v>
      </c>
      <c r="L27" s="10">
        <v>10</v>
      </c>
      <c r="M27" s="4" t="s">
        <v>32</v>
      </c>
      <c r="N27" s="6">
        <v>7.05</v>
      </c>
      <c r="O27" s="4" t="s">
        <v>39</v>
      </c>
      <c r="P27" s="4" t="s">
        <v>48</v>
      </c>
      <c r="Q27" s="10">
        <v>25</v>
      </c>
      <c r="R27" t="str">
        <f>IFERROR(VLOOKUP(_supplyTable[[#This Row],[Lead Time]], Table7[#All], 3, TRUE), "No match")</f>
        <v>21-30</v>
      </c>
      <c r="S27" s="10">
        <v>985</v>
      </c>
      <c r="T27" s="10">
        <v>24</v>
      </c>
      <c r="U27" s="6">
        <v>64.319999999999993</v>
      </c>
      <c r="V27" s="4" t="s">
        <v>26</v>
      </c>
      <c r="W27" s="8">
        <v>2.1800000000000002</v>
      </c>
      <c r="X27" s="4" t="s">
        <v>64</v>
      </c>
      <c r="Y27" s="4" t="s">
        <v>41</v>
      </c>
      <c r="Z27" s="6">
        <v>997.41</v>
      </c>
    </row>
    <row r="28" spans="1:26" x14ac:dyDescent="0.3">
      <c r="A28" s="4" t="s">
        <v>20</v>
      </c>
      <c r="B28" t="str">
        <f>PROPER(_supplyTable[[#This Row],[Product Type]])</f>
        <v>Haircare</v>
      </c>
      <c r="C28" s="4" t="s">
        <v>126</v>
      </c>
      <c r="D28" s="25">
        <v>44588</v>
      </c>
      <c r="E28" s="10">
        <f>MONTH(_supplyTable[[#This Row],[Date]])</f>
        <v>1</v>
      </c>
      <c r="F28" s="6">
        <v>6.31</v>
      </c>
      <c r="G28" s="10">
        <v>50</v>
      </c>
      <c r="H28" s="10">
        <v>946</v>
      </c>
      <c r="I28" s="6">
        <v>1292.46</v>
      </c>
      <c r="J28" s="4" t="s">
        <v>43</v>
      </c>
      <c r="K28" s="10">
        <v>51</v>
      </c>
      <c r="L28" s="10">
        <v>5</v>
      </c>
      <c r="M28" s="4" t="s">
        <v>23</v>
      </c>
      <c r="N28" s="6">
        <v>8.4700000000000006</v>
      </c>
      <c r="O28" s="4" t="s">
        <v>35</v>
      </c>
      <c r="P28" s="4" t="s">
        <v>25</v>
      </c>
      <c r="Q28" s="10">
        <v>25</v>
      </c>
      <c r="R28" t="str">
        <f>IFERROR(VLOOKUP(_supplyTable[[#This Row],[Lead Time]], Table7[#All], 3, TRUE), "No match")</f>
        <v>21-30</v>
      </c>
      <c r="S28" s="10">
        <v>858</v>
      </c>
      <c r="T28" s="10">
        <v>21</v>
      </c>
      <c r="U28" s="6">
        <v>71.13</v>
      </c>
      <c r="V28" s="4" t="s">
        <v>26</v>
      </c>
      <c r="W28" s="8">
        <v>4.0999999999999996</v>
      </c>
      <c r="X28" s="4" t="s">
        <v>52</v>
      </c>
      <c r="Y28" s="4" t="s">
        <v>57</v>
      </c>
      <c r="Z28" s="6">
        <v>323.58999999999997</v>
      </c>
    </row>
    <row r="29" spans="1:26" x14ac:dyDescent="0.3">
      <c r="A29" s="4" t="s">
        <v>29</v>
      </c>
      <c r="B29" t="str">
        <f>PROPER(_supplyTable[[#This Row],[Product Type]])</f>
        <v>Skincare</v>
      </c>
      <c r="C29" s="4" t="s">
        <v>72</v>
      </c>
      <c r="D29" s="25">
        <v>44589</v>
      </c>
      <c r="E29" s="10">
        <f>MONTH(_supplyTable[[#This Row],[Date]])</f>
        <v>1</v>
      </c>
      <c r="F29" s="6">
        <v>61.16</v>
      </c>
      <c r="G29" s="10">
        <v>68</v>
      </c>
      <c r="H29" s="10">
        <v>83</v>
      </c>
      <c r="I29" s="6">
        <v>7766.84</v>
      </c>
      <c r="J29" s="4" t="s">
        <v>22</v>
      </c>
      <c r="K29" s="10">
        <v>59</v>
      </c>
      <c r="L29" s="10">
        <v>6</v>
      </c>
      <c r="M29" s="4" t="s">
        <v>34</v>
      </c>
      <c r="N29" s="6">
        <v>1.73</v>
      </c>
      <c r="O29" s="4" t="s">
        <v>35</v>
      </c>
      <c r="P29" s="4" t="s">
        <v>36</v>
      </c>
      <c r="Q29" s="10">
        <v>24</v>
      </c>
      <c r="R29" t="str">
        <f>IFERROR(VLOOKUP(_supplyTable[[#This Row],[Lead Time]], Table7[#All], 3, TRUE), "No match")</f>
        <v>21-30</v>
      </c>
      <c r="S29" s="10">
        <v>937</v>
      </c>
      <c r="T29" s="10">
        <v>18</v>
      </c>
      <c r="U29" s="6">
        <v>35.619999999999997</v>
      </c>
      <c r="V29" s="4" t="s">
        <v>45</v>
      </c>
      <c r="W29" s="8">
        <v>4.75</v>
      </c>
      <c r="X29" s="4" t="s">
        <v>64</v>
      </c>
      <c r="Y29" s="4" t="s">
        <v>41</v>
      </c>
      <c r="Z29" s="6">
        <v>254.78</v>
      </c>
    </row>
    <row r="30" spans="1:26" x14ac:dyDescent="0.3">
      <c r="A30" s="4" t="s">
        <v>29</v>
      </c>
      <c r="B30" t="str">
        <f>PROPER(_supplyTable[[#This Row],[Product Type]])</f>
        <v>Skincare</v>
      </c>
      <c r="C30" s="4" t="s">
        <v>74</v>
      </c>
      <c r="D30" s="25">
        <v>44590</v>
      </c>
      <c r="E30" s="10">
        <f>MONTH(_supplyTable[[#This Row],[Date]])</f>
        <v>1</v>
      </c>
      <c r="F30" s="6">
        <v>50.85</v>
      </c>
      <c r="G30" s="10">
        <v>28</v>
      </c>
      <c r="H30" s="10">
        <v>168</v>
      </c>
      <c r="I30" s="6">
        <v>9655.14</v>
      </c>
      <c r="J30" s="4" t="s">
        <v>47</v>
      </c>
      <c r="K30" s="10">
        <v>44</v>
      </c>
      <c r="L30" s="10">
        <v>4</v>
      </c>
      <c r="M30" s="4" t="s">
        <v>23</v>
      </c>
      <c r="N30" s="6">
        <v>2.68</v>
      </c>
      <c r="O30" s="4" t="s">
        <v>24</v>
      </c>
      <c r="P30" s="4" t="s">
        <v>56</v>
      </c>
      <c r="Q30" s="10">
        <v>24</v>
      </c>
      <c r="R30" t="str">
        <f>IFERROR(VLOOKUP(_supplyTable[[#This Row],[Lead Time]], Table7[#All], 3, TRUE), "No match")</f>
        <v>21-30</v>
      </c>
      <c r="S30" s="10">
        <v>461</v>
      </c>
      <c r="T30" s="10">
        <v>8</v>
      </c>
      <c r="U30" s="6">
        <v>60.25</v>
      </c>
      <c r="V30" s="4" t="s">
        <v>26</v>
      </c>
      <c r="W30" s="8">
        <v>2.99</v>
      </c>
      <c r="X30" s="4" t="s">
        <v>64</v>
      </c>
      <c r="Y30" s="4" t="s">
        <v>57</v>
      </c>
      <c r="Z30" s="6">
        <v>609.38</v>
      </c>
    </row>
    <row r="31" spans="1:26" x14ac:dyDescent="0.3">
      <c r="A31" s="4" t="s">
        <v>29</v>
      </c>
      <c r="B31" t="str">
        <f>PROPER(_supplyTable[[#This Row],[Product Type]])</f>
        <v>Skincare</v>
      </c>
      <c r="C31" s="4" t="s">
        <v>81</v>
      </c>
      <c r="D31" s="25">
        <v>44591</v>
      </c>
      <c r="E31" s="10">
        <f>MONTH(_supplyTable[[#This Row],[Date]])</f>
        <v>1</v>
      </c>
      <c r="F31" s="6">
        <v>23.4</v>
      </c>
      <c r="G31" s="10">
        <v>5</v>
      </c>
      <c r="H31" s="10">
        <v>963</v>
      </c>
      <c r="I31" s="6">
        <v>2438.34</v>
      </c>
      <c r="J31" s="4" t="s">
        <v>31</v>
      </c>
      <c r="K31" s="10">
        <v>21</v>
      </c>
      <c r="L31" s="10">
        <v>9</v>
      </c>
      <c r="M31" s="4" t="s">
        <v>32</v>
      </c>
      <c r="N31" s="6">
        <v>1.53</v>
      </c>
      <c r="O31" s="4" t="s">
        <v>24</v>
      </c>
      <c r="P31" s="4" t="s">
        <v>36</v>
      </c>
      <c r="Q31" s="10">
        <v>24</v>
      </c>
      <c r="R31" t="str">
        <f>IFERROR(VLOOKUP(_supplyTable[[#This Row],[Lead Time]], Table7[#All], 3, TRUE), "No match")</f>
        <v>21-30</v>
      </c>
      <c r="S31" s="10">
        <v>867</v>
      </c>
      <c r="T31" s="10">
        <v>15</v>
      </c>
      <c r="U31" s="6">
        <v>34.340000000000003</v>
      </c>
      <c r="V31" s="4" t="s">
        <v>26</v>
      </c>
      <c r="W31" s="8">
        <v>2.61</v>
      </c>
      <c r="X31" s="4" t="s">
        <v>52</v>
      </c>
      <c r="Y31" s="4" t="s">
        <v>41</v>
      </c>
      <c r="Z31" s="6">
        <v>183.93</v>
      </c>
    </row>
    <row r="32" spans="1:26" x14ac:dyDescent="0.3">
      <c r="A32" s="4" t="s">
        <v>29</v>
      </c>
      <c r="B32" t="str">
        <f>PROPER(_supplyTable[[#This Row],[Product Type]])</f>
        <v>Skincare</v>
      </c>
      <c r="C32" s="4" t="s">
        <v>102</v>
      </c>
      <c r="D32" s="25">
        <v>44592</v>
      </c>
      <c r="E32" s="10">
        <f>MONTH(_supplyTable[[#This Row],[Date]])</f>
        <v>1</v>
      </c>
      <c r="F32" s="6">
        <v>20.99</v>
      </c>
      <c r="G32" s="10">
        <v>90</v>
      </c>
      <c r="H32" s="10">
        <v>93</v>
      </c>
      <c r="I32" s="6">
        <v>4767.0200000000004</v>
      </c>
      <c r="J32" s="4" t="s">
        <v>22</v>
      </c>
      <c r="K32" s="10">
        <v>83</v>
      </c>
      <c r="L32" s="10">
        <v>5</v>
      </c>
      <c r="M32" s="4" t="s">
        <v>34</v>
      </c>
      <c r="N32" s="6">
        <v>1.77</v>
      </c>
      <c r="O32" s="4" t="s">
        <v>50</v>
      </c>
      <c r="P32" s="4" t="s">
        <v>25</v>
      </c>
      <c r="Q32" s="10">
        <v>24</v>
      </c>
      <c r="R32" t="str">
        <f>IFERROR(VLOOKUP(_supplyTable[[#This Row],[Lead Time]], Table7[#All], 3, TRUE), "No match")</f>
        <v>21-30</v>
      </c>
      <c r="S32" s="10">
        <v>826</v>
      </c>
      <c r="T32" s="10">
        <v>28</v>
      </c>
      <c r="U32" s="6">
        <v>12.84</v>
      </c>
      <c r="V32" s="4" t="s">
        <v>37</v>
      </c>
      <c r="W32" s="8">
        <v>1.17</v>
      </c>
      <c r="X32" s="4" t="s">
        <v>40</v>
      </c>
      <c r="Y32" s="4" t="s">
        <v>28</v>
      </c>
      <c r="Z32" s="6">
        <v>832.21</v>
      </c>
    </row>
    <row r="33" spans="1:26" x14ac:dyDescent="0.3">
      <c r="A33" s="4" t="s">
        <v>29</v>
      </c>
      <c r="B33" t="str">
        <f>PROPER(_supplyTable[[#This Row],[Product Type]])</f>
        <v>Skincare</v>
      </c>
      <c r="C33" s="4" t="s">
        <v>113</v>
      </c>
      <c r="D33" s="25">
        <v>44593</v>
      </c>
      <c r="E33" s="10">
        <f>MONTH(_supplyTable[[#This Row],[Date]])</f>
        <v>2</v>
      </c>
      <c r="F33" s="6">
        <v>26.03</v>
      </c>
      <c r="G33" s="10">
        <v>52</v>
      </c>
      <c r="H33" s="10">
        <v>704</v>
      </c>
      <c r="I33" s="6">
        <v>8367.7199999999993</v>
      </c>
      <c r="J33" s="4" t="s">
        <v>31</v>
      </c>
      <c r="K33" s="10">
        <v>19</v>
      </c>
      <c r="L33" s="10">
        <v>8</v>
      </c>
      <c r="M33" s="4" t="s">
        <v>32</v>
      </c>
      <c r="N33" s="6">
        <v>2.2200000000000002</v>
      </c>
      <c r="O33" s="4" t="s">
        <v>35</v>
      </c>
      <c r="P33" s="4" t="s">
        <v>36</v>
      </c>
      <c r="Q33" s="10">
        <v>24</v>
      </c>
      <c r="R33" t="str">
        <f>IFERROR(VLOOKUP(_supplyTable[[#This Row],[Lead Time]], Table7[#All], 3, TRUE), "No match")</f>
        <v>21-30</v>
      </c>
      <c r="S33" s="10">
        <v>867</v>
      </c>
      <c r="T33" s="10">
        <v>28</v>
      </c>
      <c r="U33" s="6">
        <v>42.08</v>
      </c>
      <c r="V33" s="4" t="s">
        <v>45</v>
      </c>
      <c r="W33" s="8">
        <v>3.45</v>
      </c>
      <c r="X33" s="4" t="s">
        <v>27</v>
      </c>
      <c r="Y33" s="4" t="s">
        <v>41</v>
      </c>
      <c r="Z33" s="6">
        <v>393.84</v>
      </c>
    </row>
    <row r="34" spans="1:26" x14ac:dyDescent="0.3">
      <c r="A34" s="4" t="s">
        <v>20</v>
      </c>
      <c r="B34" t="str">
        <f>PROPER(_supplyTable[[#This Row],[Product Type]])</f>
        <v>Haircare</v>
      </c>
      <c r="C34" s="4" t="s">
        <v>133</v>
      </c>
      <c r="D34" s="25">
        <v>44594</v>
      </c>
      <c r="E34" s="10">
        <f>MONTH(_supplyTable[[#This Row],[Date]])</f>
        <v>2</v>
      </c>
      <c r="F34" s="6">
        <v>89.1</v>
      </c>
      <c r="G34" s="10">
        <v>99</v>
      </c>
      <c r="H34" s="10">
        <v>618</v>
      </c>
      <c r="I34" s="6">
        <v>2048.29</v>
      </c>
      <c r="J34" s="4" t="s">
        <v>43</v>
      </c>
      <c r="K34" s="10">
        <v>80</v>
      </c>
      <c r="L34" s="10">
        <v>10</v>
      </c>
      <c r="M34" s="4" t="s">
        <v>32</v>
      </c>
      <c r="N34" s="6">
        <v>8.3800000000000008</v>
      </c>
      <c r="O34" s="4" t="s">
        <v>35</v>
      </c>
      <c r="P34" s="4" t="s">
        <v>56</v>
      </c>
      <c r="Q34" s="10">
        <v>24</v>
      </c>
      <c r="R34" t="str">
        <f>IFERROR(VLOOKUP(_supplyTable[[#This Row],[Lead Time]], Table7[#All], 3, TRUE), "No match")</f>
        <v>21-30</v>
      </c>
      <c r="S34" s="10">
        <v>589</v>
      </c>
      <c r="T34" s="10">
        <v>22</v>
      </c>
      <c r="U34" s="6">
        <v>33.81</v>
      </c>
      <c r="V34" s="4" t="s">
        <v>37</v>
      </c>
      <c r="W34" s="8">
        <v>4.84</v>
      </c>
      <c r="X34" s="4" t="s">
        <v>40</v>
      </c>
      <c r="Y34" s="4" t="s">
        <v>28</v>
      </c>
      <c r="Z34" s="6">
        <v>465.46</v>
      </c>
    </row>
    <row r="35" spans="1:26" x14ac:dyDescent="0.3">
      <c r="A35" s="4" t="s">
        <v>29</v>
      </c>
      <c r="B35" t="str">
        <f>PROPER(_supplyTable[[#This Row],[Product Type]])</f>
        <v>Skincare</v>
      </c>
      <c r="C35" s="4" t="s">
        <v>30</v>
      </c>
      <c r="D35" s="25">
        <v>44595</v>
      </c>
      <c r="E35" s="10">
        <f>MONTH(_supplyTable[[#This Row],[Date]])</f>
        <v>2</v>
      </c>
      <c r="F35" s="6">
        <v>14.84</v>
      </c>
      <c r="G35" s="10">
        <v>95</v>
      </c>
      <c r="H35" s="10">
        <v>736</v>
      </c>
      <c r="I35" s="6">
        <v>7460.9</v>
      </c>
      <c r="J35" s="4" t="s">
        <v>31</v>
      </c>
      <c r="K35" s="10">
        <v>37</v>
      </c>
      <c r="L35" s="10">
        <v>2</v>
      </c>
      <c r="M35" s="4" t="s">
        <v>32</v>
      </c>
      <c r="N35" s="6">
        <v>9.7200000000000006</v>
      </c>
      <c r="O35" s="4" t="s">
        <v>24</v>
      </c>
      <c r="P35" s="4" t="s">
        <v>25</v>
      </c>
      <c r="Q35" s="10">
        <v>23</v>
      </c>
      <c r="R35" t="str">
        <f>IFERROR(VLOOKUP(_supplyTable[[#This Row],[Lead Time]], Table7[#All], 3, TRUE), "No match")</f>
        <v>21-30</v>
      </c>
      <c r="S35" s="10">
        <v>517</v>
      </c>
      <c r="T35" s="10">
        <v>30</v>
      </c>
      <c r="U35" s="6">
        <v>33.619999999999997</v>
      </c>
      <c r="V35" s="4" t="s">
        <v>26</v>
      </c>
      <c r="W35" s="8">
        <v>4.8499999999999996</v>
      </c>
      <c r="X35" s="4" t="s">
        <v>27</v>
      </c>
      <c r="Y35" s="4" t="s">
        <v>28</v>
      </c>
      <c r="Z35" s="6">
        <v>503.07</v>
      </c>
    </row>
    <row r="36" spans="1:26" x14ac:dyDescent="0.3">
      <c r="A36" s="4" t="s">
        <v>29</v>
      </c>
      <c r="B36" t="str">
        <f>PROPER(_supplyTable[[#This Row],[Product Type]])</f>
        <v>Skincare</v>
      </c>
      <c r="C36" s="4" t="s">
        <v>46</v>
      </c>
      <c r="D36" s="25">
        <v>44596</v>
      </c>
      <c r="E36" s="10">
        <f>MONTH(_supplyTable[[#This Row],[Date]])</f>
        <v>2</v>
      </c>
      <c r="F36" s="6">
        <v>16.16</v>
      </c>
      <c r="G36" s="10">
        <v>5</v>
      </c>
      <c r="H36" s="10">
        <v>249</v>
      </c>
      <c r="I36" s="6">
        <v>4052.74</v>
      </c>
      <c r="J36" s="4" t="s">
        <v>47</v>
      </c>
      <c r="K36" s="10">
        <v>48</v>
      </c>
      <c r="L36" s="10">
        <v>9</v>
      </c>
      <c r="M36" s="4" t="s">
        <v>32</v>
      </c>
      <c r="N36" s="6">
        <v>9.5399999999999991</v>
      </c>
      <c r="O36" s="4" t="s">
        <v>35</v>
      </c>
      <c r="P36" s="4" t="s">
        <v>48</v>
      </c>
      <c r="Q36" s="10">
        <v>23</v>
      </c>
      <c r="R36" t="str">
        <f>IFERROR(VLOOKUP(_supplyTable[[#This Row],[Lead Time]], Table7[#All], 3, TRUE), "No match")</f>
        <v>21-30</v>
      </c>
      <c r="S36" s="10">
        <v>173</v>
      </c>
      <c r="T36" s="10">
        <v>10</v>
      </c>
      <c r="U36" s="6">
        <v>97.83</v>
      </c>
      <c r="V36" s="4" t="s">
        <v>26</v>
      </c>
      <c r="W36" s="8">
        <v>1.63</v>
      </c>
      <c r="X36" s="4" t="s">
        <v>27</v>
      </c>
      <c r="Y36" s="4" t="s">
        <v>28</v>
      </c>
      <c r="Z36" s="6">
        <v>547.24</v>
      </c>
    </row>
    <row r="37" spans="1:26" x14ac:dyDescent="0.3">
      <c r="A37" s="4" t="s">
        <v>54</v>
      </c>
      <c r="B37" t="str">
        <f>PROPER(_supplyTable[[#This Row],[Product Type]])</f>
        <v>Cosmetics</v>
      </c>
      <c r="C37" s="4" t="s">
        <v>138</v>
      </c>
      <c r="D37" s="25">
        <v>44597</v>
      </c>
      <c r="E37" s="10">
        <f>MONTH(_supplyTable[[#This Row],[Date]])</f>
        <v>2</v>
      </c>
      <c r="F37" s="6">
        <v>97.76</v>
      </c>
      <c r="G37" s="10">
        <v>10</v>
      </c>
      <c r="H37" s="10">
        <v>134</v>
      </c>
      <c r="I37" s="6">
        <v>5924.68</v>
      </c>
      <c r="J37" s="4" t="s">
        <v>43</v>
      </c>
      <c r="K37" s="10">
        <v>27</v>
      </c>
      <c r="L37" s="10">
        <v>8</v>
      </c>
      <c r="M37" s="4" t="s">
        <v>23</v>
      </c>
      <c r="N37" s="6">
        <v>9.93</v>
      </c>
      <c r="O37" s="4" t="s">
        <v>50</v>
      </c>
      <c r="P37" s="4" t="s">
        <v>36</v>
      </c>
      <c r="Q37" s="10">
        <v>23</v>
      </c>
      <c r="R37" t="str">
        <f>IFERROR(VLOOKUP(_supplyTable[[#This Row],[Lead Time]], Table7[#All], 3, TRUE), "No match")</f>
        <v>21-30</v>
      </c>
      <c r="S37" s="10">
        <v>370</v>
      </c>
      <c r="T37" s="10">
        <v>11</v>
      </c>
      <c r="U37" s="6">
        <v>46.6</v>
      </c>
      <c r="V37" s="4" t="s">
        <v>26</v>
      </c>
      <c r="W37" s="8">
        <v>1.91</v>
      </c>
      <c r="X37" s="4" t="s">
        <v>64</v>
      </c>
      <c r="Y37" s="4" t="s">
        <v>28</v>
      </c>
      <c r="Z37" s="6">
        <v>517.5</v>
      </c>
    </row>
    <row r="38" spans="1:26" x14ac:dyDescent="0.3">
      <c r="A38" s="4" t="s">
        <v>20</v>
      </c>
      <c r="B38" t="str">
        <f>PROPER(_supplyTable[[#This Row],[Product Type]])</f>
        <v>Haircare</v>
      </c>
      <c r="C38" s="4" t="s">
        <v>63</v>
      </c>
      <c r="D38" s="25">
        <v>44598</v>
      </c>
      <c r="E38" s="10">
        <f>MONTH(_supplyTable[[#This Row],[Date]])</f>
        <v>2</v>
      </c>
      <c r="F38" s="6">
        <v>27.68</v>
      </c>
      <c r="G38" s="10">
        <v>55</v>
      </c>
      <c r="H38" s="10">
        <v>884</v>
      </c>
      <c r="I38" s="6">
        <v>2390.81</v>
      </c>
      <c r="J38" s="4" t="s">
        <v>43</v>
      </c>
      <c r="K38" s="10">
        <v>63</v>
      </c>
      <c r="L38" s="10">
        <v>10</v>
      </c>
      <c r="M38" s="4" t="s">
        <v>32</v>
      </c>
      <c r="N38" s="6">
        <v>9.57</v>
      </c>
      <c r="O38" s="4" t="s">
        <v>44</v>
      </c>
      <c r="P38" s="4" t="s">
        <v>36</v>
      </c>
      <c r="Q38" s="10">
        <v>22</v>
      </c>
      <c r="R38" t="str">
        <f>IFERROR(VLOOKUP(_supplyTable[[#This Row],[Lead Time]], Table7[#All], 3, TRUE), "No match")</f>
        <v>21-30</v>
      </c>
      <c r="S38" s="10">
        <v>780</v>
      </c>
      <c r="T38" s="10">
        <v>28</v>
      </c>
      <c r="U38" s="6">
        <v>50.12</v>
      </c>
      <c r="V38" s="4" t="s">
        <v>45</v>
      </c>
      <c r="W38" s="8">
        <v>2.59</v>
      </c>
      <c r="X38" s="4" t="s">
        <v>64</v>
      </c>
      <c r="Y38" s="4" t="s">
        <v>57</v>
      </c>
      <c r="Z38" s="6">
        <v>205.57</v>
      </c>
    </row>
    <row r="39" spans="1:26" x14ac:dyDescent="0.3">
      <c r="A39" s="4" t="s">
        <v>54</v>
      </c>
      <c r="B39" t="str">
        <f>PROPER(_supplyTable[[#This Row],[Product Type]])</f>
        <v>Cosmetics</v>
      </c>
      <c r="C39" s="4" t="s">
        <v>117</v>
      </c>
      <c r="D39" s="25">
        <v>44599</v>
      </c>
      <c r="E39" s="10">
        <f>MONTH(_supplyTable[[#This Row],[Date]])</f>
        <v>2</v>
      </c>
      <c r="F39" s="6">
        <v>42.96</v>
      </c>
      <c r="G39" s="10">
        <v>59</v>
      </c>
      <c r="H39" s="10">
        <v>426</v>
      </c>
      <c r="I39" s="6">
        <v>8496.1</v>
      </c>
      <c r="J39" s="4" t="s">
        <v>31</v>
      </c>
      <c r="K39" s="10">
        <v>11</v>
      </c>
      <c r="L39" s="10">
        <v>1</v>
      </c>
      <c r="M39" s="4" t="s">
        <v>23</v>
      </c>
      <c r="N39" s="6">
        <v>2.35</v>
      </c>
      <c r="O39" s="4" t="s">
        <v>44</v>
      </c>
      <c r="P39" s="4" t="s">
        <v>48</v>
      </c>
      <c r="Q39" s="10">
        <v>22</v>
      </c>
      <c r="R39" t="str">
        <f>IFERROR(VLOOKUP(_supplyTable[[#This Row],[Lead Time]], Table7[#All], 3, TRUE), "No match")</f>
        <v>21-30</v>
      </c>
      <c r="S39" s="10">
        <v>564</v>
      </c>
      <c r="T39" s="10">
        <v>1</v>
      </c>
      <c r="U39" s="6">
        <v>99.47</v>
      </c>
      <c r="V39" s="4" t="s">
        <v>45</v>
      </c>
      <c r="W39" s="8">
        <v>0.4</v>
      </c>
      <c r="X39" s="4" t="s">
        <v>27</v>
      </c>
      <c r="Y39" s="4" t="s">
        <v>57</v>
      </c>
      <c r="Z39" s="6">
        <v>802.06</v>
      </c>
    </row>
    <row r="40" spans="1:26" x14ac:dyDescent="0.3">
      <c r="A40" s="4" t="s">
        <v>20</v>
      </c>
      <c r="B40" t="str">
        <f>PROPER(_supplyTable[[#This Row],[Product Type]])</f>
        <v>Haircare</v>
      </c>
      <c r="C40" s="4" t="s">
        <v>118</v>
      </c>
      <c r="D40" s="25">
        <v>44600</v>
      </c>
      <c r="E40" s="10">
        <f>MONTH(_supplyTable[[#This Row],[Date]])</f>
        <v>2</v>
      </c>
      <c r="F40" s="6">
        <v>47.91</v>
      </c>
      <c r="G40" s="10">
        <v>90</v>
      </c>
      <c r="H40" s="10">
        <v>32</v>
      </c>
      <c r="I40" s="6">
        <v>7014.89</v>
      </c>
      <c r="J40" s="4" t="s">
        <v>31</v>
      </c>
      <c r="K40" s="10">
        <v>22</v>
      </c>
      <c r="L40" s="10">
        <v>4</v>
      </c>
      <c r="M40" s="4" t="s">
        <v>23</v>
      </c>
      <c r="N40" s="6">
        <v>6.32</v>
      </c>
      <c r="O40" s="4" t="s">
        <v>50</v>
      </c>
      <c r="P40" s="4" t="s">
        <v>48</v>
      </c>
      <c r="Q40" s="10">
        <v>22</v>
      </c>
      <c r="R40" t="str">
        <f>IFERROR(VLOOKUP(_supplyTable[[#This Row],[Lead Time]], Table7[#All], 3, TRUE), "No match")</f>
        <v>21-30</v>
      </c>
      <c r="S40" s="10">
        <v>775</v>
      </c>
      <c r="T40" s="10">
        <v>16</v>
      </c>
      <c r="U40" s="6">
        <v>11.44</v>
      </c>
      <c r="V40" s="4" t="s">
        <v>37</v>
      </c>
      <c r="W40" s="8">
        <v>1.83</v>
      </c>
      <c r="X40" s="4" t="s">
        <v>27</v>
      </c>
      <c r="Y40" s="4" t="s">
        <v>57</v>
      </c>
      <c r="Z40" s="6">
        <v>183.27</v>
      </c>
    </row>
    <row r="41" spans="1:26" x14ac:dyDescent="0.3">
      <c r="A41" s="4" t="s">
        <v>20</v>
      </c>
      <c r="B41" t="str">
        <f>PROPER(_supplyTable[[#This Row],[Product Type]])</f>
        <v>Haircare</v>
      </c>
      <c r="C41" s="4" t="s">
        <v>103</v>
      </c>
      <c r="D41" s="25">
        <v>44601</v>
      </c>
      <c r="E41" s="10">
        <f>MONTH(_supplyTable[[#This Row],[Date]])</f>
        <v>2</v>
      </c>
      <c r="F41" s="6">
        <v>49.26</v>
      </c>
      <c r="G41" s="10">
        <v>65</v>
      </c>
      <c r="H41" s="10">
        <v>227</v>
      </c>
      <c r="I41" s="6">
        <v>1605.87</v>
      </c>
      <c r="J41" s="4" t="s">
        <v>43</v>
      </c>
      <c r="K41" s="10">
        <v>51</v>
      </c>
      <c r="L41" s="10">
        <v>1</v>
      </c>
      <c r="M41" s="4" t="s">
        <v>23</v>
      </c>
      <c r="N41" s="6">
        <v>9.16</v>
      </c>
      <c r="O41" s="4" t="s">
        <v>39</v>
      </c>
      <c r="P41" s="4" t="s">
        <v>79</v>
      </c>
      <c r="Q41" s="10">
        <v>21</v>
      </c>
      <c r="R41" t="str">
        <f>IFERROR(VLOOKUP(_supplyTable[[#This Row],[Lead Time]], Table7[#All], 3, TRUE), "No match")</f>
        <v>21-30</v>
      </c>
      <c r="S41" s="10">
        <v>588</v>
      </c>
      <c r="T41" s="10">
        <v>25</v>
      </c>
      <c r="U41" s="6">
        <v>67.78</v>
      </c>
      <c r="V41" s="4" t="s">
        <v>26</v>
      </c>
      <c r="W41" s="8">
        <v>2.5099999999999998</v>
      </c>
      <c r="X41" s="4" t="s">
        <v>64</v>
      </c>
      <c r="Y41" s="4" t="s">
        <v>41</v>
      </c>
      <c r="Z41" s="6">
        <v>482.19</v>
      </c>
    </row>
    <row r="42" spans="1:26" x14ac:dyDescent="0.3">
      <c r="A42" s="4" t="s">
        <v>54</v>
      </c>
      <c r="B42" t="str">
        <f>PROPER(_supplyTable[[#This Row],[Product Type]])</f>
        <v>Cosmetics</v>
      </c>
      <c r="C42" s="4" t="s">
        <v>120</v>
      </c>
      <c r="D42" s="25">
        <v>44602</v>
      </c>
      <c r="E42" s="10">
        <f>MONTH(_supplyTable[[#This Row],[Date]])</f>
        <v>2</v>
      </c>
      <c r="F42" s="6">
        <v>90.2</v>
      </c>
      <c r="G42" s="10">
        <v>88</v>
      </c>
      <c r="H42" s="10">
        <v>478</v>
      </c>
      <c r="I42" s="6">
        <v>2633.12</v>
      </c>
      <c r="J42" s="4" t="s">
        <v>22</v>
      </c>
      <c r="K42" s="10">
        <v>77</v>
      </c>
      <c r="L42" s="10">
        <v>9</v>
      </c>
      <c r="M42" s="4" t="s">
        <v>32</v>
      </c>
      <c r="N42" s="6">
        <v>6.6</v>
      </c>
      <c r="O42" s="4" t="s">
        <v>50</v>
      </c>
      <c r="P42" s="4" t="s">
        <v>48</v>
      </c>
      <c r="Q42" s="10">
        <v>21</v>
      </c>
      <c r="R42" t="str">
        <f>IFERROR(VLOOKUP(_supplyTable[[#This Row],[Lead Time]], Table7[#All], 3, TRUE), "No match")</f>
        <v>21-30</v>
      </c>
      <c r="S42" s="10">
        <v>152</v>
      </c>
      <c r="T42" s="10">
        <v>11</v>
      </c>
      <c r="U42" s="6">
        <v>55.76</v>
      </c>
      <c r="V42" s="4" t="s">
        <v>26</v>
      </c>
      <c r="W42" s="8">
        <v>3.21</v>
      </c>
      <c r="X42" s="4" t="s">
        <v>64</v>
      </c>
      <c r="Y42" s="4" t="s">
        <v>28</v>
      </c>
      <c r="Z42" s="6">
        <v>677.94</v>
      </c>
    </row>
    <row r="43" spans="1:26" x14ac:dyDescent="0.3">
      <c r="A43" s="4" t="s">
        <v>54</v>
      </c>
      <c r="B43" t="str">
        <f>PROPER(_supplyTable[[#This Row],[Product Type]])</f>
        <v>Cosmetics</v>
      </c>
      <c r="C43" s="4" t="s">
        <v>137</v>
      </c>
      <c r="D43" s="25">
        <v>44603</v>
      </c>
      <c r="E43" s="10">
        <f>MONTH(_supplyTable[[#This Row],[Date]])</f>
        <v>2</v>
      </c>
      <c r="F43" s="6">
        <v>75.27</v>
      </c>
      <c r="G43" s="10">
        <v>58</v>
      </c>
      <c r="H43" s="10">
        <v>737</v>
      </c>
      <c r="I43" s="6">
        <v>9444.74</v>
      </c>
      <c r="J43" s="4" t="s">
        <v>47</v>
      </c>
      <c r="K43" s="10">
        <v>85</v>
      </c>
      <c r="L43" s="10">
        <v>7</v>
      </c>
      <c r="M43" s="4" t="s">
        <v>32</v>
      </c>
      <c r="N43" s="6">
        <v>3.8</v>
      </c>
      <c r="O43" s="4" t="s">
        <v>39</v>
      </c>
      <c r="P43" s="4" t="s">
        <v>25</v>
      </c>
      <c r="Q43" s="10">
        <v>21</v>
      </c>
      <c r="R43" t="str">
        <f>IFERROR(VLOOKUP(_supplyTable[[#This Row],[Lead Time]], Table7[#All], 3, TRUE), "No match")</f>
        <v>21-30</v>
      </c>
      <c r="S43" s="10">
        <v>953</v>
      </c>
      <c r="T43" s="10">
        <v>11</v>
      </c>
      <c r="U43" s="6">
        <v>68.180000000000007</v>
      </c>
      <c r="V43" s="4" t="s">
        <v>26</v>
      </c>
      <c r="W43" s="8">
        <v>0.72</v>
      </c>
      <c r="X43" s="4" t="s">
        <v>52</v>
      </c>
      <c r="Y43" s="4" t="s">
        <v>41</v>
      </c>
      <c r="Z43" s="6">
        <v>103.92</v>
      </c>
    </row>
    <row r="44" spans="1:26" x14ac:dyDescent="0.3">
      <c r="A44" s="4" t="s">
        <v>20</v>
      </c>
      <c r="B44" t="str">
        <f>PROPER(_supplyTable[[#This Row],[Product Type]])</f>
        <v>Haircare</v>
      </c>
      <c r="C44" s="4" t="s">
        <v>143</v>
      </c>
      <c r="D44" s="25">
        <v>44604</v>
      </c>
      <c r="E44" s="10">
        <f>MONTH(_supplyTable[[#This Row],[Date]])</f>
        <v>2</v>
      </c>
      <c r="F44" s="6">
        <v>69.290000000000006</v>
      </c>
      <c r="G44" s="10">
        <v>88</v>
      </c>
      <c r="H44" s="10">
        <v>114</v>
      </c>
      <c r="I44" s="6">
        <v>4531.3999999999996</v>
      </c>
      <c r="J44" s="4" t="s">
        <v>43</v>
      </c>
      <c r="K44" s="10">
        <v>66</v>
      </c>
      <c r="L44" s="10">
        <v>1</v>
      </c>
      <c r="M44" s="4" t="s">
        <v>34</v>
      </c>
      <c r="N44" s="6">
        <v>7.01</v>
      </c>
      <c r="O44" s="4" t="s">
        <v>44</v>
      </c>
      <c r="P44" s="4" t="s">
        <v>56</v>
      </c>
      <c r="Q44" s="10">
        <v>21</v>
      </c>
      <c r="R44" t="str">
        <f>IFERROR(VLOOKUP(_supplyTable[[#This Row],[Lead Time]], Table7[#All], 3, TRUE), "No match")</f>
        <v>21-30</v>
      </c>
      <c r="S44" s="10">
        <v>824</v>
      </c>
      <c r="T44" s="10">
        <v>20</v>
      </c>
      <c r="U44" s="6">
        <v>35.630000000000003</v>
      </c>
      <c r="V44" s="4" t="s">
        <v>45</v>
      </c>
      <c r="W44" s="8">
        <v>4.17</v>
      </c>
      <c r="X44" s="4" t="s">
        <v>40</v>
      </c>
      <c r="Y44" s="4" t="s">
        <v>41</v>
      </c>
      <c r="Z44" s="6">
        <v>823.52</v>
      </c>
    </row>
    <row r="45" spans="1:26" x14ac:dyDescent="0.3">
      <c r="A45" s="4" t="s">
        <v>29</v>
      </c>
      <c r="B45" t="str">
        <f>PROPER(_supplyTable[[#This Row],[Product Type]])</f>
        <v>Skincare</v>
      </c>
      <c r="C45" s="4" t="s">
        <v>59</v>
      </c>
      <c r="D45" s="25">
        <v>44605</v>
      </c>
      <c r="E45" s="10">
        <f>MONTH(_supplyTable[[#This Row],[Date]])</f>
        <v>2</v>
      </c>
      <c r="F45" s="6">
        <v>51.12</v>
      </c>
      <c r="G45" s="10">
        <v>100</v>
      </c>
      <c r="H45" s="10">
        <v>187</v>
      </c>
      <c r="I45" s="6">
        <v>2553.5</v>
      </c>
      <c r="J45" s="4" t="s">
        <v>43</v>
      </c>
      <c r="K45" s="10">
        <v>94</v>
      </c>
      <c r="L45" s="10">
        <v>3</v>
      </c>
      <c r="M45" s="4" t="s">
        <v>32</v>
      </c>
      <c r="N45" s="6">
        <v>4.74</v>
      </c>
      <c r="O45" s="4" t="s">
        <v>44</v>
      </c>
      <c r="P45" s="4" t="s">
        <v>56</v>
      </c>
      <c r="Q45" s="10">
        <v>20</v>
      </c>
      <c r="R45" t="str">
        <f>IFERROR(VLOOKUP(_supplyTable[[#This Row],[Lead Time]], Table7[#All], 3, TRUE), "No match")</f>
        <v>11-20</v>
      </c>
      <c r="S45" s="10">
        <v>694</v>
      </c>
      <c r="T45" s="10">
        <v>16</v>
      </c>
      <c r="U45" s="6">
        <v>82.37</v>
      </c>
      <c r="V45" s="4" t="s">
        <v>45</v>
      </c>
      <c r="W45" s="8">
        <v>3.65</v>
      </c>
      <c r="X45" s="4" t="s">
        <v>27</v>
      </c>
      <c r="Y45" s="4" t="s">
        <v>57</v>
      </c>
      <c r="Z45" s="6">
        <v>477.31</v>
      </c>
    </row>
    <row r="46" spans="1:26" x14ac:dyDescent="0.3">
      <c r="A46" s="4" t="s">
        <v>54</v>
      </c>
      <c r="B46" t="str">
        <f>PROPER(_supplyTable[[#This Row],[Product Type]])</f>
        <v>Cosmetics</v>
      </c>
      <c r="C46" s="4" t="s">
        <v>96</v>
      </c>
      <c r="D46" s="25">
        <v>44606</v>
      </c>
      <c r="E46" s="10">
        <f>MONTH(_supplyTable[[#This Row],[Date]])</f>
        <v>2</v>
      </c>
      <c r="F46" s="6">
        <v>14.2</v>
      </c>
      <c r="G46" s="10">
        <v>91</v>
      </c>
      <c r="H46" s="10">
        <v>633</v>
      </c>
      <c r="I46" s="6">
        <v>5910.89</v>
      </c>
      <c r="J46" s="4" t="s">
        <v>31</v>
      </c>
      <c r="K46" s="10">
        <v>82</v>
      </c>
      <c r="L46" s="10">
        <v>10</v>
      </c>
      <c r="M46" s="4" t="s">
        <v>32</v>
      </c>
      <c r="N46" s="6">
        <v>6.25</v>
      </c>
      <c r="O46" s="4" t="s">
        <v>39</v>
      </c>
      <c r="P46" s="4" t="s">
        <v>79</v>
      </c>
      <c r="Q46" s="10">
        <v>20</v>
      </c>
      <c r="R46" t="str">
        <f>IFERROR(VLOOKUP(_supplyTable[[#This Row],[Lead Time]], Table7[#All], 3, TRUE), "No match")</f>
        <v>11-20</v>
      </c>
      <c r="S46" s="10">
        <v>306</v>
      </c>
      <c r="T46" s="10">
        <v>21</v>
      </c>
      <c r="U46" s="6">
        <v>45.18</v>
      </c>
      <c r="V46" s="4" t="s">
        <v>45</v>
      </c>
      <c r="W46" s="8">
        <v>4.75</v>
      </c>
      <c r="X46" s="4" t="s">
        <v>64</v>
      </c>
      <c r="Y46" s="4" t="s">
        <v>28</v>
      </c>
      <c r="Z46" s="6">
        <v>496.25</v>
      </c>
    </row>
    <row r="47" spans="1:26" x14ac:dyDescent="0.3">
      <c r="A47" s="4" t="s">
        <v>20</v>
      </c>
      <c r="B47" t="str">
        <f>PROPER(_supplyTable[[#This Row],[Product Type]])</f>
        <v>Haircare</v>
      </c>
      <c r="C47" s="4" t="s">
        <v>132</v>
      </c>
      <c r="D47" s="25">
        <v>44607</v>
      </c>
      <c r="E47" s="10">
        <f>MONTH(_supplyTable[[#This Row],[Date]])</f>
        <v>2</v>
      </c>
      <c r="F47" s="6">
        <v>68.91</v>
      </c>
      <c r="G47" s="10">
        <v>82</v>
      </c>
      <c r="H47" s="10">
        <v>663</v>
      </c>
      <c r="I47" s="6">
        <v>2411.75</v>
      </c>
      <c r="J47" s="4" t="s">
        <v>43</v>
      </c>
      <c r="K47" s="10">
        <v>7</v>
      </c>
      <c r="L47" s="10">
        <v>8</v>
      </c>
      <c r="M47" s="4" t="s">
        <v>23</v>
      </c>
      <c r="N47" s="6">
        <v>4.95</v>
      </c>
      <c r="O47" s="4" t="s">
        <v>50</v>
      </c>
      <c r="P47" s="4" t="s">
        <v>48</v>
      </c>
      <c r="Q47" s="10">
        <v>20</v>
      </c>
      <c r="R47" t="str">
        <f>IFERROR(VLOOKUP(_supplyTable[[#This Row],[Lead Time]], Table7[#All], 3, TRUE), "No match")</f>
        <v>11-20</v>
      </c>
      <c r="S47" s="10">
        <v>443</v>
      </c>
      <c r="T47" s="10">
        <v>5</v>
      </c>
      <c r="U47" s="6">
        <v>97.73</v>
      </c>
      <c r="V47" s="4" t="s">
        <v>45</v>
      </c>
      <c r="W47" s="8">
        <v>0.77</v>
      </c>
      <c r="X47" s="4" t="s">
        <v>27</v>
      </c>
      <c r="Y47" s="4" t="s">
        <v>41</v>
      </c>
      <c r="Z47" s="6">
        <v>682.97</v>
      </c>
    </row>
    <row r="48" spans="1:26" x14ac:dyDescent="0.3">
      <c r="A48" s="4" t="s">
        <v>54</v>
      </c>
      <c r="B48" t="str">
        <f>PROPER(_supplyTable[[#This Row],[Product Type]])</f>
        <v>Cosmetics</v>
      </c>
      <c r="C48" s="4" t="s">
        <v>62</v>
      </c>
      <c r="D48" s="25">
        <v>44608</v>
      </c>
      <c r="E48" s="10">
        <f>MONTH(_supplyTable[[#This Row],[Date]])</f>
        <v>2</v>
      </c>
      <c r="F48" s="6">
        <v>84.89</v>
      </c>
      <c r="G48" s="10">
        <v>60</v>
      </c>
      <c r="H48" s="10">
        <v>601</v>
      </c>
      <c r="I48" s="6">
        <v>7087.05</v>
      </c>
      <c r="J48" s="4" t="s">
        <v>43</v>
      </c>
      <c r="K48" s="10">
        <v>7</v>
      </c>
      <c r="L48" s="10">
        <v>6</v>
      </c>
      <c r="M48" s="4" t="s">
        <v>23</v>
      </c>
      <c r="N48" s="6">
        <v>6.04</v>
      </c>
      <c r="O48" s="4" t="s">
        <v>35</v>
      </c>
      <c r="P48" s="4" t="s">
        <v>56</v>
      </c>
      <c r="Q48" s="10">
        <v>19</v>
      </c>
      <c r="R48" t="str">
        <f>IFERROR(VLOOKUP(_supplyTable[[#This Row],[Lead Time]], Table7[#All], 3, TRUE), "No match")</f>
        <v>11-20</v>
      </c>
      <c r="S48" s="10">
        <v>791</v>
      </c>
      <c r="T48" s="10">
        <v>4</v>
      </c>
      <c r="U48" s="6">
        <v>61.74</v>
      </c>
      <c r="V48" s="4" t="s">
        <v>26</v>
      </c>
      <c r="W48" s="8">
        <v>0.02</v>
      </c>
      <c r="X48" s="4" t="s">
        <v>40</v>
      </c>
      <c r="Y48" s="4" t="s">
        <v>57</v>
      </c>
      <c r="Z48" s="6">
        <v>523.36</v>
      </c>
    </row>
    <row r="49" spans="1:26" x14ac:dyDescent="0.3">
      <c r="A49" s="4" t="s">
        <v>20</v>
      </c>
      <c r="B49" t="str">
        <f>PROPER(_supplyTable[[#This Row],[Product Type]])</f>
        <v>Haircare</v>
      </c>
      <c r="C49" s="4" t="s">
        <v>67</v>
      </c>
      <c r="D49" s="25">
        <v>44609</v>
      </c>
      <c r="E49" s="10">
        <f>MONTH(_supplyTable[[#This Row],[Date]])</f>
        <v>2</v>
      </c>
      <c r="F49" s="6">
        <v>39.630000000000003</v>
      </c>
      <c r="G49" s="10">
        <v>73</v>
      </c>
      <c r="H49" s="10">
        <v>142</v>
      </c>
      <c r="I49" s="6">
        <v>2174.7800000000002</v>
      </c>
      <c r="J49" s="4" t="s">
        <v>47</v>
      </c>
      <c r="K49" s="10">
        <v>52</v>
      </c>
      <c r="L49" s="10">
        <v>3</v>
      </c>
      <c r="M49" s="4" t="s">
        <v>34</v>
      </c>
      <c r="N49" s="6">
        <v>2.23</v>
      </c>
      <c r="O49" s="4" t="s">
        <v>44</v>
      </c>
      <c r="P49" s="4" t="s">
        <v>36</v>
      </c>
      <c r="Q49" s="10">
        <v>19</v>
      </c>
      <c r="R49" t="str">
        <f>IFERROR(VLOOKUP(_supplyTable[[#This Row],[Lead Time]], Table7[#All], 3, TRUE), "No match")</f>
        <v>11-20</v>
      </c>
      <c r="S49" s="10">
        <v>934</v>
      </c>
      <c r="T49" s="10">
        <v>23</v>
      </c>
      <c r="U49" s="6">
        <v>78.28</v>
      </c>
      <c r="V49" s="4" t="s">
        <v>26</v>
      </c>
      <c r="W49" s="8">
        <v>3.8</v>
      </c>
      <c r="X49" s="4" t="s">
        <v>27</v>
      </c>
      <c r="Y49" s="4" t="s">
        <v>28</v>
      </c>
      <c r="Z49" s="6">
        <v>458.54</v>
      </c>
    </row>
    <row r="50" spans="1:26" x14ac:dyDescent="0.3">
      <c r="A50" s="4" t="s">
        <v>29</v>
      </c>
      <c r="B50" t="str">
        <f>PROPER(_supplyTable[[#This Row],[Product Type]])</f>
        <v>Skincare</v>
      </c>
      <c r="C50" s="4" t="s">
        <v>33</v>
      </c>
      <c r="D50" s="25">
        <v>44610</v>
      </c>
      <c r="E50" s="10">
        <f>MONTH(_supplyTable[[#This Row],[Date]])</f>
        <v>2</v>
      </c>
      <c r="F50" s="6">
        <v>15.71</v>
      </c>
      <c r="G50" s="10">
        <v>11</v>
      </c>
      <c r="H50" s="10">
        <v>996</v>
      </c>
      <c r="I50" s="6">
        <v>2330.9699999999998</v>
      </c>
      <c r="J50" s="4" t="s">
        <v>22</v>
      </c>
      <c r="K50" s="10">
        <v>80</v>
      </c>
      <c r="L50" s="10">
        <v>2</v>
      </c>
      <c r="M50" s="4" t="s">
        <v>34</v>
      </c>
      <c r="N50" s="6">
        <v>8.67</v>
      </c>
      <c r="O50" s="4" t="s">
        <v>35</v>
      </c>
      <c r="P50" s="4" t="s">
        <v>36</v>
      </c>
      <c r="Q50" s="10">
        <v>18</v>
      </c>
      <c r="R50" t="str">
        <f>IFERROR(VLOOKUP(_supplyTable[[#This Row],[Lead Time]], Table7[#All], 3, TRUE), "No match")</f>
        <v>11-20</v>
      </c>
      <c r="S50" s="10">
        <v>830</v>
      </c>
      <c r="T50" s="10">
        <v>5</v>
      </c>
      <c r="U50" s="6">
        <v>96.53</v>
      </c>
      <c r="V50" s="4" t="s">
        <v>37</v>
      </c>
      <c r="W50" s="8">
        <v>1.73</v>
      </c>
      <c r="X50" s="4" t="s">
        <v>27</v>
      </c>
      <c r="Y50" s="4" t="s">
        <v>28</v>
      </c>
      <c r="Z50" s="6">
        <v>806.1</v>
      </c>
    </row>
    <row r="51" spans="1:26" x14ac:dyDescent="0.3">
      <c r="A51" s="4" t="s">
        <v>20</v>
      </c>
      <c r="B51" t="str">
        <f>PROPER(_supplyTable[[#This Row],[Product Type]])</f>
        <v>Haircare</v>
      </c>
      <c r="C51" s="4" t="s">
        <v>58</v>
      </c>
      <c r="D51" s="25">
        <v>44611</v>
      </c>
      <c r="E51" s="10">
        <f>MONTH(_supplyTable[[#This Row],[Date]])</f>
        <v>2</v>
      </c>
      <c r="F51" s="6">
        <v>36.44</v>
      </c>
      <c r="G51" s="10">
        <v>23</v>
      </c>
      <c r="H51" s="10">
        <v>620</v>
      </c>
      <c r="I51" s="6">
        <v>9364.67</v>
      </c>
      <c r="J51" s="4" t="s">
        <v>43</v>
      </c>
      <c r="K51" s="10">
        <v>46</v>
      </c>
      <c r="L51" s="10">
        <v>8</v>
      </c>
      <c r="M51" s="4" t="s">
        <v>34</v>
      </c>
      <c r="N51" s="6">
        <v>4.34</v>
      </c>
      <c r="O51" s="4" t="s">
        <v>39</v>
      </c>
      <c r="P51" s="4" t="s">
        <v>36</v>
      </c>
      <c r="Q51" s="10">
        <v>18</v>
      </c>
      <c r="R51" t="str">
        <f>IFERROR(VLOOKUP(_supplyTable[[#This Row],[Lead Time]], Table7[#All], 3, TRUE), "No match")</f>
        <v>11-20</v>
      </c>
      <c r="S51" s="10">
        <v>374</v>
      </c>
      <c r="T51" s="10">
        <v>17</v>
      </c>
      <c r="U51" s="6">
        <v>27.11</v>
      </c>
      <c r="V51" s="4" t="s">
        <v>26</v>
      </c>
      <c r="W51" s="8">
        <v>2.23</v>
      </c>
      <c r="X51" s="4" t="s">
        <v>52</v>
      </c>
      <c r="Y51" s="4" t="s">
        <v>41</v>
      </c>
      <c r="Z51" s="6">
        <v>593.48</v>
      </c>
    </row>
    <row r="52" spans="1:26" x14ac:dyDescent="0.3">
      <c r="A52" s="4" t="s">
        <v>29</v>
      </c>
      <c r="B52" t="str">
        <f>PROPER(_supplyTable[[#This Row],[Product Type]])</f>
        <v>Skincare</v>
      </c>
      <c r="C52" s="4" t="s">
        <v>85</v>
      </c>
      <c r="D52" s="25">
        <v>44612</v>
      </c>
      <c r="E52" s="10">
        <f>MONTH(_supplyTable[[#This Row],[Date]])</f>
        <v>2</v>
      </c>
      <c r="F52" s="6">
        <v>80.540000000000006</v>
      </c>
      <c r="G52" s="10">
        <v>97</v>
      </c>
      <c r="H52" s="10">
        <v>933</v>
      </c>
      <c r="I52" s="6">
        <v>5724.96</v>
      </c>
      <c r="J52" s="4" t="s">
        <v>31</v>
      </c>
      <c r="K52" s="10">
        <v>39</v>
      </c>
      <c r="L52" s="10">
        <v>8</v>
      </c>
      <c r="M52" s="4" t="s">
        <v>34</v>
      </c>
      <c r="N52" s="6">
        <v>7.23</v>
      </c>
      <c r="O52" s="4" t="s">
        <v>50</v>
      </c>
      <c r="P52" s="4" t="s">
        <v>36</v>
      </c>
      <c r="Q52" s="10">
        <v>18</v>
      </c>
      <c r="R52" t="str">
        <f>IFERROR(VLOOKUP(_supplyTable[[#This Row],[Lead Time]], Table7[#All], 3, TRUE), "No match")</f>
        <v>11-20</v>
      </c>
      <c r="S52" s="10">
        <v>793</v>
      </c>
      <c r="T52" s="10">
        <v>1</v>
      </c>
      <c r="U52" s="6">
        <v>88.18</v>
      </c>
      <c r="V52" s="4" t="s">
        <v>26</v>
      </c>
      <c r="W52" s="8">
        <v>4.21</v>
      </c>
      <c r="X52" s="4" t="s">
        <v>27</v>
      </c>
      <c r="Y52" s="4" t="s">
        <v>41</v>
      </c>
      <c r="Z52" s="6">
        <v>529.80999999999995</v>
      </c>
    </row>
    <row r="53" spans="1:26" x14ac:dyDescent="0.3">
      <c r="A53" s="4" t="s">
        <v>29</v>
      </c>
      <c r="B53" t="str">
        <f>PROPER(_supplyTable[[#This Row],[Product Type]])</f>
        <v>Skincare</v>
      </c>
      <c r="C53" s="4" t="s">
        <v>86</v>
      </c>
      <c r="D53" s="25">
        <v>44613</v>
      </c>
      <c r="E53" s="10">
        <f>MONTH(_supplyTable[[#This Row],[Date]])</f>
        <v>2</v>
      </c>
      <c r="F53" s="6">
        <v>99.11</v>
      </c>
      <c r="G53" s="10">
        <v>35</v>
      </c>
      <c r="H53" s="10">
        <v>556</v>
      </c>
      <c r="I53" s="6">
        <v>5521.21</v>
      </c>
      <c r="J53" s="4" t="s">
        <v>31</v>
      </c>
      <c r="K53" s="10">
        <v>38</v>
      </c>
      <c r="L53" s="10">
        <v>8</v>
      </c>
      <c r="M53" s="4" t="s">
        <v>23</v>
      </c>
      <c r="N53" s="6">
        <v>5.77</v>
      </c>
      <c r="O53" s="4" t="s">
        <v>44</v>
      </c>
      <c r="P53" s="4" t="s">
        <v>56</v>
      </c>
      <c r="Q53" s="10">
        <v>18</v>
      </c>
      <c r="R53" t="str">
        <f>IFERROR(VLOOKUP(_supplyTable[[#This Row],[Lead Time]], Table7[#All], 3, TRUE), "No match")</f>
        <v>11-20</v>
      </c>
      <c r="S53" s="10">
        <v>892</v>
      </c>
      <c r="T53" s="10">
        <v>7</v>
      </c>
      <c r="U53" s="6">
        <v>95.33</v>
      </c>
      <c r="V53" s="4" t="s">
        <v>45</v>
      </c>
      <c r="W53" s="8">
        <v>0.05</v>
      </c>
      <c r="X53" s="4" t="s">
        <v>52</v>
      </c>
      <c r="Y53" s="4" t="s">
        <v>41</v>
      </c>
      <c r="Z53" s="6">
        <v>275.52</v>
      </c>
    </row>
    <row r="54" spans="1:26" x14ac:dyDescent="0.3">
      <c r="A54" s="4" t="s">
        <v>20</v>
      </c>
      <c r="B54" t="str">
        <f>PROPER(_supplyTable[[#This Row],[Product Type]])</f>
        <v>Haircare</v>
      </c>
      <c r="C54" s="4" t="s">
        <v>91</v>
      </c>
      <c r="D54" s="25">
        <v>44614</v>
      </c>
      <c r="E54" s="10">
        <f>MONTH(_supplyTable[[#This Row],[Date]])</f>
        <v>2</v>
      </c>
      <c r="F54" s="6">
        <v>27.08</v>
      </c>
      <c r="G54" s="10">
        <v>75</v>
      </c>
      <c r="H54" s="10">
        <v>859</v>
      </c>
      <c r="I54" s="6">
        <v>2556.77</v>
      </c>
      <c r="J54" s="4" t="s">
        <v>22</v>
      </c>
      <c r="K54" s="10">
        <v>6</v>
      </c>
      <c r="L54" s="10">
        <v>8</v>
      </c>
      <c r="M54" s="4" t="s">
        <v>23</v>
      </c>
      <c r="N54" s="6">
        <v>4.07</v>
      </c>
      <c r="O54" s="4" t="s">
        <v>24</v>
      </c>
      <c r="P54" s="4" t="s">
        <v>56</v>
      </c>
      <c r="Q54" s="10">
        <v>18</v>
      </c>
      <c r="R54" t="str">
        <f>IFERROR(VLOOKUP(_supplyTable[[#This Row],[Lead Time]], Table7[#All], 3, TRUE), "No match")</f>
        <v>11-20</v>
      </c>
      <c r="S54" s="10">
        <v>870</v>
      </c>
      <c r="T54" s="10">
        <v>23</v>
      </c>
      <c r="U54" s="6">
        <v>77.319999999999993</v>
      </c>
      <c r="V54" s="4" t="s">
        <v>26</v>
      </c>
      <c r="W54" s="8">
        <v>3.65</v>
      </c>
      <c r="X54" s="4" t="s">
        <v>27</v>
      </c>
      <c r="Y54" s="4" t="s">
        <v>28</v>
      </c>
      <c r="Z54" s="6">
        <v>380.44</v>
      </c>
    </row>
    <row r="55" spans="1:26" x14ac:dyDescent="0.3">
      <c r="A55" s="4" t="s">
        <v>20</v>
      </c>
      <c r="B55" t="str">
        <f>PROPER(_supplyTable[[#This Row],[Product Type]])</f>
        <v>Haircare</v>
      </c>
      <c r="C55" s="4" t="s">
        <v>97</v>
      </c>
      <c r="D55" s="25">
        <v>44615</v>
      </c>
      <c r="E55" s="10">
        <f>MONTH(_supplyTable[[#This Row],[Date]])</f>
        <v>2</v>
      </c>
      <c r="F55" s="6">
        <v>26.7</v>
      </c>
      <c r="G55" s="10">
        <v>61</v>
      </c>
      <c r="H55" s="10">
        <v>154</v>
      </c>
      <c r="I55" s="6">
        <v>9866.4699999999993</v>
      </c>
      <c r="J55" s="4" t="s">
        <v>47</v>
      </c>
      <c r="K55" s="10">
        <v>52</v>
      </c>
      <c r="L55" s="10">
        <v>1</v>
      </c>
      <c r="M55" s="4" t="s">
        <v>32</v>
      </c>
      <c r="N55" s="6">
        <v>4.78</v>
      </c>
      <c r="O55" s="4" t="s">
        <v>35</v>
      </c>
      <c r="P55" s="4" t="s">
        <v>48</v>
      </c>
      <c r="Q55" s="10">
        <v>18</v>
      </c>
      <c r="R55" t="str">
        <f>IFERROR(VLOOKUP(_supplyTable[[#This Row],[Lead Time]], Table7[#All], 3, TRUE), "No match")</f>
        <v>11-20</v>
      </c>
      <c r="S55" s="10">
        <v>673</v>
      </c>
      <c r="T55" s="10">
        <v>28</v>
      </c>
      <c r="U55" s="6">
        <v>14.19</v>
      </c>
      <c r="V55" s="4" t="s">
        <v>26</v>
      </c>
      <c r="W55" s="8">
        <v>1.77</v>
      </c>
      <c r="X55" s="4" t="s">
        <v>27</v>
      </c>
      <c r="Y55" s="4" t="s">
        <v>41</v>
      </c>
      <c r="Z55" s="6">
        <v>694.98</v>
      </c>
    </row>
    <row r="56" spans="1:26" x14ac:dyDescent="0.3">
      <c r="A56" s="4" t="s">
        <v>29</v>
      </c>
      <c r="B56" t="str">
        <f>PROPER(_supplyTable[[#This Row],[Product Type]])</f>
        <v>Skincare</v>
      </c>
      <c r="C56" s="4" t="s">
        <v>104</v>
      </c>
      <c r="D56" s="25">
        <v>44616</v>
      </c>
      <c r="E56" s="10">
        <f>MONTH(_supplyTable[[#This Row],[Date]])</f>
        <v>2</v>
      </c>
      <c r="F56" s="6">
        <v>59.84</v>
      </c>
      <c r="G56" s="10">
        <v>81</v>
      </c>
      <c r="H56" s="10">
        <v>896</v>
      </c>
      <c r="I56" s="6">
        <v>2021.15</v>
      </c>
      <c r="J56" s="4" t="s">
        <v>22</v>
      </c>
      <c r="K56" s="10">
        <v>44</v>
      </c>
      <c r="L56" s="10">
        <v>7</v>
      </c>
      <c r="M56" s="4" t="s">
        <v>32</v>
      </c>
      <c r="N56" s="6">
        <v>4.9400000000000004</v>
      </c>
      <c r="O56" s="4" t="s">
        <v>24</v>
      </c>
      <c r="P56" s="4" t="s">
        <v>79</v>
      </c>
      <c r="Q56" s="10">
        <v>18</v>
      </c>
      <c r="R56" t="str">
        <f>IFERROR(VLOOKUP(_supplyTable[[#This Row],[Lead Time]], Table7[#All], 3, TRUE), "No match")</f>
        <v>11-20</v>
      </c>
      <c r="S56" s="10">
        <v>396</v>
      </c>
      <c r="T56" s="10">
        <v>7</v>
      </c>
      <c r="U56" s="6">
        <v>65.05</v>
      </c>
      <c r="V56" s="4" t="s">
        <v>45</v>
      </c>
      <c r="W56" s="8">
        <v>1.73</v>
      </c>
      <c r="X56" s="4" t="s">
        <v>27</v>
      </c>
      <c r="Y56" s="4" t="s">
        <v>28</v>
      </c>
      <c r="Z56" s="6">
        <v>110.36</v>
      </c>
    </row>
    <row r="57" spans="1:26" x14ac:dyDescent="0.3">
      <c r="A57" s="4" t="s">
        <v>29</v>
      </c>
      <c r="B57" t="str">
        <f>PROPER(_supplyTable[[#This Row],[Product Type]])</f>
        <v>Skincare</v>
      </c>
      <c r="C57" s="4" t="s">
        <v>110</v>
      </c>
      <c r="D57" s="25">
        <v>44617</v>
      </c>
      <c r="E57" s="10">
        <f>MONTH(_supplyTable[[#This Row],[Date]])</f>
        <v>2</v>
      </c>
      <c r="F57" s="6">
        <v>13.02</v>
      </c>
      <c r="G57" s="10">
        <v>55</v>
      </c>
      <c r="H57" s="10">
        <v>246</v>
      </c>
      <c r="I57" s="6">
        <v>4256.95</v>
      </c>
      <c r="J57" s="4" t="s">
        <v>22</v>
      </c>
      <c r="K57" s="10">
        <v>10</v>
      </c>
      <c r="L57" s="10">
        <v>4</v>
      </c>
      <c r="M57" s="4" t="s">
        <v>32</v>
      </c>
      <c r="N57" s="6">
        <v>2.46</v>
      </c>
      <c r="O57" s="4" t="s">
        <v>24</v>
      </c>
      <c r="P57" s="4" t="s">
        <v>48</v>
      </c>
      <c r="Q57" s="10">
        <v>18</v>
      </c>
      <c r="R57" t="str">
        <f>IFERROR(VLOOKUP(_supplyTable[[#This Row],[Lead Time]], Table7[#All], 3, TRUE), "No match")</f>
        <v>11-20</v>
      </c>
      <c r="S57" s="10">
        <v>736</v>
      </c>
      <c r="T57" s="10">
        <v>10</v>
      </c>
      <c r="U57" s="6">
        <v>20.079999999999998</v>
      </c>
      <c r="V57" s="4" t="s">
        <v>26</v>
      </c>
      <c r="W57" s="8">
        <v>3.63</v>
      </c>
      <c r="X57" s="4" t="s">
        <v>52</v>
      </c>
      <c r="Y57" s="4" t="s">
        <v>41</v>
      </c>
      <c r="Z57" s="6">
        <v>687.29</v>
      </c>
    </row>
    <row r="58" spans="1:26" x14ac:dyDescent="0.3">
      <c r="A58" s="4" t="s">
        <v>20</v>
      </c>
      <c r="B58" t="str">
        <f>PROPER(_supplyTable[[#This Row],[Product Type]])</f>
        <v>Haircare</v>
      </c>
      <c r="C58" s="4" t="s">
        <v>145</v>
      </c>
      <c r="D58" s="25">
        <v>44618</v>
      </c>
      <c r="E58" s="10">
        <f>MONTH(_supplyTable[[#This Row],[Date]])</f>
        <v>2</v>
      </c>
      <c r="F58" s="6">
        <v>77.900000000000006</v>
      </c>
      <c r="G58" s="10">
        <v>65</v>
      </c>
      <c r="H58" s="10">
        <v>672</v>
      </c>
      <c r="I58" s="6">
        <v>7386.36</v>
      </c>
      <c r="J58" s="4" t="s">
        <v>43</v>
      </c>
      <c r="K58" s="10">
        <v>26</v>
      </c>
      <c r="L58" s="10">
        <v>9</v>
      </c>
      <c r="M58" s="4" t="s">
        <v>23</v>
      </c>
      <c r="N58" s="6">
        <v>8.6300000000000008</v>
      </c>
      <c r="O58" s="4" t="s">
        <v>44</v>
      </c>
      <c r="P58" s="4" t="s">
        <v>25</v>
      </c>
      <c r="Q58" s="10">
        <v>18</v>
      </c>
      <c r="R58" t="str">
        <f>IFERROR(VLOOKUP(_supplyTable[[#This Row],[Lead Time]], Table7[#All], 3, TRUE), "No match")</f>
        <v>11-20</v>
      </c>
      <c r="S58" s="10">
        <v>450</v>
      </c>
      <c r="T58" s="10">
        <v>26</v>
      </c>
      <c r="U58" s="6">
        <v>58.89</v>
      </c>
      <c r="V58" s="4" t="s">
        <v>26</v>
      </c>
      <c r="W58" s="8">
        <v>1.21</v>
      </c>
      <c r="X58" s="4" t="s">
        <v>40</v>
      </c>
      <c r="Y58" s="4" t="s">
        <v>41</v>
      </c>
      <c r="Z58" s="6">
        <v>778.86</v>
      </c>
    </row>
    <row r="59" spans="1:26" x14ac:dyDescent="0.3">
      <c r="A59" s="4" t="s">
        <v>29</v>
      </c>
      <c r="B59" t="str">
        <f>PROPER(_supplyTable[[#This Row],[Product Type]])</f>
        <v>Skincare</v>
      </c>
      <c r="C59" s="4" t="s">
        <v>111</v>
      </c>
      <c r="D59" s="25">
        <v>44619</v>
      </c>
      <c r="E59" s="10">
        <f>MONTH(_supplyTable[[#This Row],[Date]])</f>
        <v>2</v>
      </c>
      <c r="F59" s="6">
        <v>89.63</v>
      </c>
      <c r="G59" s="10">
        <v>11</v>
      </c>
      <c r="H59" s="10">
        <v>134</v>
      </c>
      <c r="I59" s="6">
        <v>8458.73</v>
      </c>
      <c r="J59" s="4" t="s">
        <v>31</v>
      </c>
      <c r="K59" s="10">
        <v>75</v>
      </c>
      <c r="L59" s="10">
        <v>6</v>
      </c>
      <c r="M59" s="4" t="s">
        <v>34</v>
      </c>
      <c r="N59" s="6">
        <v>4.59</v>
      </c>
      <c r="O59" s="4" t="s">
        <v>50</v>
      </c>
      <c r="P59" s="4" t="s">
        <v>79</v>
      </c>
      <c r="Q59" s="10">
        <v>17</v>
      </c>
      <c r="R59" t="str">
        <f>IFERROR(VLOOKUP(_supplyTable[[#This Row],[Lead Time]], Table7[#All], 3, TRUE), "No match")</f>
        <v>11-20</v>
      </c>
      <c r="S59" s="10">
        <v>328</v>
      </c>
      <c r="T59" s="10">
        <v>6</v>
      </c>
      <c r="U59" s="6">
        <v>8.69</v>
      </c>
      <c r="V59" s="4" t="s">
        <v>45</v>
      </c>
      <c r="W59" s="8">
        <v>0.16</v>
      </c>
      <c r="X59" s="4" t="s">
        <v>40</v>
      </c>
      <c r="Y59" s="4" t="s">
        <v>57</v>
      </c>
      <c r="Z59" s="6">
        <v>771.23</v>
      </c>
    </row>
    <row r="60" spans="1:26" x14ac:dyDescent="0.3">
      <c r="A60" s="4" t="s">
        <v>54</v>
      </c>
      <c r="B60" t="str">
        <f>PROPER(_supplyTable[[#This Row],[Product Type]])</f>
        <v>Cosmetics</v>
      </c>
      <c r="C60" s="4" t="s">
        <v>71</v>
      </c>
      <c r="D60" s="25">
        <v>44620</v>
      </c>
      <c r="E60" s="10">
        <f>MONTH(_supplyTable[[#This Row],[Date]])</f>
        <v>2</v>
      </c>
      <c r="F60" s="6">
        <v>63.45</v>
      </c>
      <c r="G60" s="10">
        <v>3</v>
      </c>
      <c r="H60" s="10">
        <v>253</v>
      </c>
      <c r="I60" s="6">
        <v>8318.9</v>
      </c>
      <c r="J60" s="4" t="s">
        <v>31</v>
      </c>
      <c r="K60" s="10">
        <v>67</v>
      </c>
      <c r="L60" s="10">
        <v>7</v>
      </c>
      <c r="M60" s="4" t="s">
        <v>23</v>
      </c>
      <c r="N60" s="6">
        <v>8.1</v>
      </c>
      <c r="O60" s="4" t="s">
        <v>50</v>
      </c>
      <c r="P60" s="4" t="s">
        <v>36</v>
      </c>
      <c r="Q60" s="10">
        <v>16</v>
      </c>
      <c r="R60" t="str">
        <f>IFERROR(VLOOKUP(_supplyTable[[#This Row],[Lead Time]], Table7[#All], 3, TRUE), "No match")</f>
        <v>11-20</v>
      </c>
      <c r="S60" s="10">
        <v>329</v>
      </c>
      <c r="T60" s="10">
        <v>7</v>
      </c>
      <c r="U60" s="6">
        <v>39.29</v>
      </c>
      <c r="V60" s="4" t="s">
        <v>37</v>
      </c>
      <c r="W60" s="8">
        <v>3.88</v>
      </c>
      <c r="X60" s="4" t="s">
        <v>27</v>
      </c>
      <c r="Y60" s="4" t="s">
        <v>28</v>
      </c>
      <c r="Z60" s="6">
        <v>764.94</v>
      </c>
    </row>
    <row r="61" spans="1:26" x14ac:dyDescent="0.3">
      <c r="A61" s="4" t="s">
        <v>29</v>
      </c>
      <c r="B61" t="str">
        <f>PROPER(_supplyTable[[#This Row],[Product Type]])</f>
        <v>Skincare</v>
      </c>
      <c r="C61" s="4" t="s">
        <v>112</v>
      </c>
      <c r="D61" s="25">
        <v>44621</v>
      </c>
      <c r="E61" s="10">
        <f>MONTH(_supplyTable[[#This Row],[Date]])</f>
        <v>3</v>
      </c>
      <c r="F61" s="6">
        <v>33.700000000000003</v>
      </c>
      <c r="G61" s="10">
        <v>72</v>
      </c>
      <c r="H61" s="10">
        <v>457</v>
      </c>
      <c r="I61" s="6">
        <v>8354.58</v>
      </c>
      <c r="J61" s="4" t="s">
        <v>47</v>
      </c>
      <c r="K61" s="10">
        <v>54</v>
      </c>
      <c r="L61" s="10">
        <v>8</v>
      </c>
      <c r="M61" s="4" t="s">
        <v>34</v>
      </c>
      <c r="N61" s="6">
        <v>6.58</v>
      </c>
      <c r="O61" s="4" t="s">
        <v>35</v>
      </c>
      <c r="P61" s="4" t="s">
        <v>36</v>
      </c>
      <c r="Q61" s="10">
        <v>16</v>
      </c>
      <c r="R61" t="str">
        <f>IFERROR(VLOOKUP(_supplyTable[[#This Row],[Lead Time]], Table7[#All], 3, TRUE), "No match")</f>
        <v>11-20</v>
      </c>
      <c r="S61" s="10">
        <v>358</v>
      </c>
      <c r="T61" s="10">
        <v>21</v>
      </c>
      <c r="U61" s="6">
        <v>1.6</v>
      </c>
      <c r="V61" s="4" t="s">
        <v>45</v>
      </c>
      <c r="W61" s="8">
        <v>4.91</v>
      </c>
      <c r="X61" s="4" t="s">
        <v>64</v>
      </c>
      <c r="Y61" s="4" t="s">
        <v>57</v>
      </c>
      <c r="Z61" s="6">
        <v>555.86</v>
      </c>
    </row>
    <row r="62" spans="1:26" x14ac:dyDescent="0.3">
      <c r="A62" s="4" t="s">
        <v>29</v>
      </c>
      <c r="B62" t="str">
        <f>PROPER(_supplyTable[[#This Row],[Product Type]])</f>
        <v>Skincare</v>
      </c>
      <c r="C62" s="4" t="s">
        <v>51</v>
      </c>
      <c r="D62" s="25">
        <v>44622</v>
      </c>
      <c r="E62" s="10">
        <f>MONTH(_supplyTable[[#This Row],[Date]])</f>
        <v>3</v>
      </c>
      <c r="F62" s="6">
        <v>36.99</v>
      </c>
      <c r="G62" s="10">
        <v>94</v>
      </c>
      <c r="H62" s="10">
        <v>469</v>
      </c>
      <c r="I62" s="6">
        <v>5442.09</v>
      </c>
      <c r="J62" s="4" t="s">
        <v>22</v>
      </c>
      <c r="K62" s="10">
        <v>69</v>
      </c>
      <c r="L62" s="10">
        <v>7</v>
      </c>
      <c r="M62" s="4" t="s">
        <v>23</v>
      </c>
      <c r="N62" s="6">
        <v>2.42</v>
      </c>
      <c r="O62" s="4" t="s">
        <v>50</v>
      </c>
      <c r="P62" s="4" t="s">
        <v>48</v>
      </c>
      <c r="Q62" s="10">
        <v>14</v>
      </c>
      <c r="R62" t="str">
        <f>IFERROR(VLOOKUP(_supplyTable[[#This Row],[Lead Time]], Table7[#All], 3, TRUE), "No match")</f>
        <v>11-20</v>
      </c>
      <c r="S62" s="10">
        <v>580</v>
      </c>
      <c r="T62" s="10">
        <v>7</v>
      </c>
      <c r="U62" s="6">
        <v>97.12</v>
      </c>
      <c r="V62" s="4" t="s">
        <v>37</v>
      </c>
      <c r="W62" s="8">
        <v>2.2599999999999998</v>
      </c>
      <c r="X62" s="4" t="s">
        <v>52</v>
      </c>
      <c r="Y62" s="4" t="s">
        <v>28</v>
      </c>
      <c r="Z62" s="6">
        <v>127.86</v>
      </c>
    </row>
    <row r="63" spans="1:26" x14ac:dyDescent="0.3">
      <c r="A63" s="4" t="s">
        <v>29</v>
      </c>
      <c r="B63" t="str">
        <f>PROPER(_supplyTable[[#This Row],[Product Type]])</f>
        <v>Skincare</v>
      </c>
      <c r="C63" s="4" t="s">
        <v>106</v>
      </c>
      <c r="D63" s="25">
        <v>44623</v>
      </c>
      <c r="E63" s="10">
        <f>MONTH(_supplyTable[[#This Row],[Date]])</f>
        <v>3</v>
      </c>
      <c r="F63" s="6">
        <v>4.08</v>
      </c>
      <c r="G63" s="10">
        <v>48</v>
      </c>
      <c r="H63" s="10">
        <v>65</v>
      </c>
      <c r="I63" s="6">
        <v>7823.48</v>
      </c>
      <c r="J63" s="4" t="s">
        <v>47</v>
      </c>
      <c r="K63" s="10">
        <v>58</v>
      </c>
      <c r="L63" s="10">
        <v>8</v>
      </c>
      <c r="M63" s="4" t="s">
        <v>34</v>
      </c>
      <c r="N63" s="6">
        <v>3.88</v>
      </c>
      <c r="O63" s="4" t="s">
        <v>24</v>
      </c>
      <c r="P63" s="4" t="s">
        <v>36</v>
      </c>
      <c r="Q63" s="10">
        <v>14</v>
      </c>
      <c r="R63" t="str">
        <f>IFERROR(VLOOKUP(_supplyTable[[#This Row],[Lead Time]], Table7[#All], 3, TRUE), "No match")</f>
        <v>11-20</v>
      </c>
      <c r="S63" s="10">
        <v>314</v>
      </c>
      <c r="T63" s="10">
        <v>24</v>
      </c>
      <c r="U63" s="6">
        <v>1.0900000000000001</v>
      </c>
      <c r="V63" s="4" t="s">
        <v>26</v>
      </c>
      <c r="W63" s="8">
        <v>1</v>
      </c>
      <c r="X63" s="4" t="s">
        <v>52</v>
      </c>
      <c r="Y63" s="4" t="s">
        <v>41</v>
      </c>
      <c r="Z63" s="6">
        <v>134.37</v>
      </c>
    </row>
    <row r="64" spans="1:26" x14ac:dyDescent="0.3">
      <c r="A64" s="4" t="s">
        <v>20</v>
      </c>
      <c r="B64" t="str">
        <f>PROPER(_supplyTable[[#This Row],[Product Type]])</f>
        <v>Haircare</v>
      </c>
      <c r="C64" s="4" t="s">
        <v>108</v>
      </c>
      <c r="D64" s="25">
        <v>44624</v>
      </c>
      <c r="E64" s="10">
        <f>MONTH(_supplyTable[[#This Row],[Date]])</f>
        <v>3</v>
      </c>
      <c r="F64" s="6">
        <v>52.03</v>
      </c>
      <c r="G64" s="10">
        <v>23</v>
      </c>
      <c r="H64" s="10">
        <v>117</v>
      </c>
      <c r="I64" s="6">
        <v>6885.59</v>
      </c>
      <c r="J64" s="4" t="s">
        <v>43</v>
      </c>
      <c r="K64" s="10">
        <v>36</v>
      </c>
      <c r="L64" s="10">
        <v>7</v>
      </c>
      <c r="M64" s="4" t="s">
        <v>34</v>
      </c>
      <c r="N64" s="6">
        <v>9.0299999999999994</v>
      </c>
      <c r="O64" s="4" t="s">
        <v>44</v>
      </c>
      <c r="P64" s="4" t="s">
        <v>36</v>
      </c>
      <c r="Q64" s="10">
        <v>14</v>
      </c>
      <c r="R64" t="str">
        <f>IFERROR(VLOOKUP(_supplyTable[[#This Row],[Lead Time]], Table7[#All], 3, TRUE), "No match")</f>
        <v>11-20</v>
      </c>
      <c r="S64" s="10">
        <v>480</v>
      </c>
      <c r="T64" s="10">
        <v>12</v>
      </c>
      <c r="U64" s="6">
        <v>78.7</v>
      </c>
      <c r="V64" s="4" t="s">
        <v>45</v>
      </c>
      <c r="W64" s="8">
        <v>4.37</v>
      </c>
      <c r="X64" s="4" t="s">
        <v>40</v>
      </c>
      <c r="Y64" s="4" t="s">
        <v>41</v>
      </c>
      <c r="Z64" s="6">
        <v>164.37</v>
      </c>
    </row>
    <row r="65" spans="1:26" x14ac:dyDescent="0.3">
      <c r="A65" s="4" t="s">
        <v>54</v>
      </c>
      <c r="B65" t="str">
        <f>PROPER(_supplyTable[[#This Row],[Product Type]])</f>
        <v>Cosmetics</v>
      </c>
      <c r="C65" s="4" t="s">
        <v>70</v>
      </c>
      <c r="D65" s="25">
        <v>44625</v>
      </c>
      <c r="E65" s="10">
        <f>MONTH(_supplyTable[[#This Row],[Date]])</f>
        <v>3</v>
      </c>
      <c r="F65" s="6">
        <v>2.4</v>
      </c>
      <c r="G65" s="10">
        <v>12</v>
      </c>
      <c r="H65" s="10">
        <v>394</v>
      </c>
      <c r="I65" s="6">
        <v>6117.32</v>
      </c>
      <c r="J65" s="4" t="s">
        <v>31</v>
      </c>
      <c r="K65" s="10">
        <v>24</v>
      </c>
      <c r="L65" s="10">
        <v>4</v>
      </c>
      <c r="M65" s="4" t="s">
        <v>23</v>
      </c>
      <c r="N65" s="6">
        <v>9.9</v>
      </c>
      <c r="O65" s="4" t="s">
        <v>50</v>
      </c>
      <c r="P65" s="4" t="s">
        <v>25</v>
      </c>
      <c r="Q65" s="10">
        <v>13</v>
      </c>
      <c r="R65" t="str">
        <f>IFERROR(VLOOKUP(_supplyTable[[#This Row],[Lead Time]], Table7[#All], 3, TRUE), "No match")</f>
        <v>11-20</v>
      </c>
      <c r="S65" s="10">
        <v>171</v>
      </c>
      <c r="T65" s="10">
        <v>7</v>
      </c>
      <c r="U65" s="6">
        <v>59.43</v>
      </c>
      <c r="V65" s="4" t="s">
        <v>45</v>
      </c>
      <c r="W65" s="8">
        <v>0.82</v>
      </c>
      <c r="X65" s="4" t="s">
        <v>40</v>
      </c>
      <c r="Y65" s="4" t="s">
        <v>41</v>
      </c>
      <c r="Z65" s="6">
        <v>123.44</v>
      </c>
    </row>
    <row r="66" spans="1:26" x14ac:dyDescent="0.3">
      <c r="A66" s="4" t="s">
        <v>54</v>
      </c>
      <c r="B66" t="str">
        <f>PROPER(_supplyTable[[#This Row],[Product Type]])</f>
        <v>Cosmetics</v>
      </c>
      <c r="C66" s="4" t="s">
        <v>109</v>
      </c>
      <c r="D66" s="25">
        <v>44626</v>
      </c>
      <c r="E66" s="10">
        <f>MONTH(_supplyTable[[#This Row],[Date]])</f>
        <v>3</v>
      </c>
      <c r="F66" s="6">
        <v>72.8</v>
      </c>
      <c r="G66" s="10">
        <v>89</v>
      </c>
      <c r="H66" s="10">
        <v>270</v>
      </c>
      <c r="I66" s="6">
        <v>3899.75</v>
      </c>
      <c r="J66" s="4" t="s">
        <v>43</v>
      </c>
      <c r="K66" s="10">
        <v>40</v>
      </c>
      <c r="L66" s="10">
        <v>7</v>
      </c>
      <c r="M66" s="4" t="s">
        <v>34</v>
      </c>
      <c r="N66" s="6">
        <v>7.29</v>
      </c>
      <c r="O66" s="4" t="s">
        <v>39</v>
      </c>
      <c r="P66" s="4" t="s">
        <v>25</v>
      </c>
      <c r="Q66" s="10">
        <v>13</v>
      </c>
      <c r="R66" t="str">
        <f>IFERROR(VLOOKUP(_supplyTable[[#This Row],[Lead Time]], Table7[#All], 3, TRUE), "No match")</f>
        <v>11-20</v>
      </c>
      <c r="S66" s="10">
        <v>751</v>
      </c>
      <c r="T66" s="10">
        <v>14</v>
      </c>
      <c r="U66" s="6">
        <v>21.05</v>
      </c>
      <c r="V66" s="4" t="s">
        <v>37</v>
      </c>
      <c r="W66" s="8">
        <v>1.87</v>
      </c>
      <c r="X66" s="4" t="s">
        <v>52</v>
      </c>
      <c r="Y66" s="4" t="s">
        <v>57</v>
      </c>
      <c r="Z66" s="6">
        <v>320.85000000000002</v>
      </c>
    </row>
    <row r="67" spans="1:26" x14ac:dyDescent="0.3">
      <c r="A67" s="4" t="s">
        <v>54</v>
      </c>
      <c r="B67" t="str">
        <f>PROPER(_supplyTable[[#This Row],[Product Type]])</f>
        <v>Cosmetics</v>
      </c>
      <c r="C67" s="4" t="s">
        <v>121</v>
      </c>
      <c r="D67" s="25">
        <v>44627</v>
      </c>
      <c r="E67" s="10">
        <f>MONTH(_supplyTable[[#This Row],[Date]])</f>
        <v>3</v>
      </c>
      <c r="F67" s="6">
        <v>83.85</v>
      </c>
      <c r="G67" s="10">
        <v>41</v>
      </c>
      <c r="H67" s="10">
        <v>375</v>
      </c>
      <c r="I67" s="6">
        <v>7910.89</v>
      </c>
      <c r="J67" s="4" t="s">
        <v>47</v>
      </c>
      <c r="K67" s="10">
        <v>66</v>
      </c>
      <c r="L67" s="10">
        <v>5</v>
      </c>
      <c r="M67" s="4" t="s">
        <v>23</v>
      </c>
      <c r="N67" s="6">
        <v>1.51</v>
      </c>
      <c r="O67" s="4" t="s">
        <v>44</v>
      </c>
      <c r="P67" s="4" t="s">
        <v>56</v>
      </c>
      <c r="Q67" s="10">
        <v>13</v>
      </c>
      <c r="R67" t="str">
        <f>IFERROR(VLOOKUP(_supplyTable[[#This Row],[Lead Time]], Table7[#All], 3, TRUE), "No match")</f>
        <v>11-20</v>
      </c>
      <c r="S67" s="10">
        <v>444</v>
      </c>
      <c r="T67" s="10">
        <v>4</v>
      </c>
      <c r="U67" s="6">
        <v>46.87</v>
      </c>
      <c r="V67" s="4" t="s">
        <v>45</v>
      </c>
      <c r="W67" s="8">
        <v>4.62</v>
      </c>
      <c r="X67" s="4" t="s">
        <v>27</v>
      </c>
      <c r="Y67" s="4" t="s">
        <v>41</v>
      </c>
      <c r="Z67" s="6">
        <v>866.47</v>
      </c>
    </row>
    <row r="68" spans="1:26" x14ac:dyDescent="0.3">
      <c r="A68" s="4" t="s">
        <v>54</v>
      </c>
      <c r="B68" t="str">
        <f>PROPER(_supplyTable[[#This Row],[Product Type]])</f>
        <v>Cosmetics</v>
      </c>
      <c r="C68" s="4" t="s">
        <v>128</v>
      </c>
      <c r="D68" s="25">
        <v>44628</v>
      </c>
      <c r="E68" s="10">
        <f>MONTH(_supplyTable[[#This Row],[Date]])</f>
        <v>3</v>
      </c>
      <c r="F68" s="6">
        <v>68.72</v>
      </c>
      <c r="G68" s="10">
        <v>78</v>
      </c>
      <c r="H68" s="10">
        <v>150</v>
      </c>
      <c r="I68" s="6">
        <v>7517.36</v>
      </c>
      <c r="J68" s="4" t="s">
        <v>31</v>
      </c>
      <c r="K68" s="10">
        <v>15</v>
      </c>
      <c r="L68" s="10">
        <v>7</v>
      </c>
      <c r="M68" s="4" t="s">
        <v>34</v>
      </c>
      <c r="N68" s="6">
        <v>3.4</v>
      </c>
      <c r="O68" s="4" t="s">
        <v>44</v>
      </c>
      <c r="P68" s="4" t="s">
        <v>25</v>
      </c>
      <c r="Q68" s="10">
        <v>13</v>
      </c>
      <c r="R68" t="str">
        <f>IFERROR(VLOOKUP(_supplyTable[[#This Row],[Lead Time]], Table7[#All], 3, TRUE), "No match")</f>
        <v>11-20</v>
      </c>
      <c r="S68" s="10">
        <v>769</v>
      </c>
      <c r="T68" s="10">
        <v>8</v>
      </c>
      <c r="U68" s="6">
        <v>11.42</v>
      </c>
      <c r="V68" s="4" t="s">
        <v>26</v>
      </c>
      <c r="W68" s="8">
        <v>2.71</v>
      </c>
      <c r="X68" s="4" t="s">
        <v>52</v>
      </c>
      <c r="Y68" s="4" t="s">
        <v>28</v>
      </c>
      <c r="Z68" s="6">
        <v>505.56</v>
      </c>
    </row>
    <row r="69" spans="1:26" x14ac:dyDescent="0.3">
      <c r="A69" s="4" t="s">
        <v>20</v>
      </c>
      <c r="B69" t="str">
        <f>PROPER(_supplyTable[[#This Row],[Product Type]])</f>
        <v>Haircare</v>
      </c>
      <c r="C69" s="4" t="s">
        <v>60</v>
      </c>
      <c r="D69" s="25">
        <v>44629</v>
      </c>
      <c r="E69" s="10">
        <f>MONTH(_supplyTable[[#This Row],[Date]])</f>
        <v>3</v>
      </c>
      <c r="F69" s="6">
        <v>11.32</v>
      </c>
      <c r="G69" s="10">
        <v>34</v>
      </c>
      <c r="H69" s="10">
        <v>8</v>
      </c>
      <c r="I69" s="6">
        <v>9577.75</v>
      </c>
      <c r="J69" s="4" t="s">
        <v>43</v>
      </c>
      <c r="K69" s="10">
        <v>88</v>
      </c>
      <c r="L69" s="10">
        <v>2</v>
      </c>
      <c r="M69" s="4" t="s">
        <v>23</v>
      </c>
      <c r="N69" s="6">
        <v>8.0500000000000007</v>
      </c>
      <c r="O69" s="4" t="s">
        <v>50</v>
      </c>
      <c r="P69" s="4" t="s">
        <v>25</v>
      </c>
      <c r="Q69" s="10">
        <v>12</v>
      </c>
      <c r="R69" t="str">
        <f>IFERROR(VLOOKUP(_supplyTable[[#This Row],[Lead Time]], Table7[#All], 3, TRUE), "No match")</f>
        <v>11-20</v>
      </c>
      <c r="S69" s="10">
        <v>971</v>
      </c>
      <c r="T69" s="10">
        <v>27</v>
      </c>
      <c r="U69" s="6">
        <v>30.69</v>
      </c>
      <c r="V69" s="4" t="s">
        <v>26</v>
      </c>
      <c r="W69" s="8">
        <v>4.58</v>
      </c>
      <c r="X69" s="4" t="s">
        <v>40</v>
      </c>
      <c r="Y69" s="4" t="s">
        <v>57</v>
      </c>
      <c r="Z69" s="6">
        <v>141.91999999999999</v>
      </c>
    </row>
    <row r="70" spans="1:26" x14ac:dyDescent="0.3">
      <c r="A70" s="4" t="s">
        <v>54</v>
      </c>
      <c r="B70" t="str">
        <f>PROPER(_supplyTable[[#This Row],[Product Type]])</f>
        <v>Cosmetics</v>
      </c>
      <c r="C70" s="4" t="s">
        <v>144</v>
      </c>
      <c r="D70" s="25">
        <v>44630</v>
      </c>
      <c r="E70" s="10">
        <f>MONTH(_supplyTable[[#This Row],[Date]])</f>
        <v>3</v>
      </c>
      <c r="F70" s="6">
        <v>3.04</v>
      </c>
      <c r="G70" s="10">
        <v>97</v>
      </c>
      <c r="H70" s="10">
        <v>987</v>
      </c>
      <c r="I70" s="6">
        <v>7888.36</v>
      </c>
      <c r="J70" s="4" t="s">
        <v>43</v>
      </c>
      <c r="K70" s="10">
        <v>72</v>
      </c>
      <c r="L70" s="10">
        <v>9</v>
      </c>
      <c r="M70" s="4" t="s">
        <v>23</v>
      </c>
      <c r="N70" s="6">
        <v>6.94</v>
      </c>
      <c r="O70" s="4" t="s">
        <v>39</v>
      </c>
      <c r="P70" s="4" t="s">
        <v>79</v>
      </c>
      <c r="Q70" s="10">
        <v>12</v>
      </c>
      <c r="R70" t="str">
        <f>IFERROR(VLOOKUP(_supplyTable[[#This Row],[Lead Time]], Table7[#All], 3, TRUE), "No match")</f>
        <v>11-20</v>
      </c>
      <c r="S70" s="10">
        <v>908</v>
      </c>
      <c r="T70" s="10">
        <v>14</v>
      </c>
      <c r="U70" s="6">
        <v>60.39</v>
      </c>
      <c r="V70" s="4" t="s">
        <v>37</v>
      </c>
      <c r="W70" s="8">
        <v>1.46</v>
      </c>
      <c r="X70" s="4" t="s">
        <v>64</v>
      </c>
      <c r="Y70" s="4" t="s">
        <v>28</v>
      </c>
      <c r="Z70" s="6">
        <v>846.67</v>
      </c>
    </row>
    <row r="71" spans="1:26" x14ac:dyDescent="0.3">
      <c r="A71" s="4" t="s">
        <v>54</v>
      </c>
      <c r="B71" t="str">
        <f>PROPER(_supplyTable[[#This Row],[Product Type]])</f>
        <v>Cosmetics</v>
      </c>
      <c r="C71" s="4" t="s">
        <v>65</v>
      </c>
      <c r="D71" s="25">
        <v>44631</v>
      </c>
      <c r="E71" s="10">
        <f>MONTH(_supplyTable[[#This Row],[Date]])</f>
        <v>3</v>
      </c>
      <c r="F71" s="6">
        <v>4.32</v>
      </c>
      <c r="G71" s="10">
        <v>30</v>
      </c>
      <c r="H71" s="10">
        <v>391</v>
      </c>
      <c r="I71" s="6">
        <v>8858.3700000000008</v>
      </c>
      <c r="J71" s="4" t="s">
        <v>43</v>
      </c>
      <c r="K71" s="10">
        <v>29</v>
      </c>
      <c r="L71" s="10">
        <v>7</v>
      </c>
      <c r="M71" s="4" t="s">
        <v>32</v>
      </c>
      <c r="N71" s="6">
        <v>2.92</v>
      </c>
      <c r="O71" s="4" t="s">
        <v>35</v>
      </c>
      <c r="P71" s="4" t="s">
        <v>36</v>
      </c>
      <c r="Q71" s="10">
        <v>11</v>
      </c>
      <c r="R71" t="str">
        <f>IFERROR(VLOOKUP(_supplyTable[[#This Row],[Lead Time]], Table7[#All], 3, TRUE), "No match")</f>
        <v>11-20</v>
      </c>
      <c r="S71" s="10">
        <v>568</v>
      </c>
      <c r="T71" s="10">
        <v>29</v>
      </c>
      <c r="U71" s="6">
        <v>98.61</v>
      </c>
      <c r="V71" s="4" t="s">
        <v>26</v>
      </c>
      <c r="W71" s="8">
        <v>1.34</v>
      </c>
      <c r="X71" s="4" t="s">
        <v>64</v>
      </c>
      <c r="Y71" s="4" t="s">
        <v>41</v>
      </c>
      <c r="Z71" s="6">
        <v>196.33</v>
      </c>
    </row>
    <row r="72" spans="1:26" x14ac:dyDescent="0.3">
      <c r="A72" s="4" t="s">
        <v>54</v>
      </c>
      <c r="B72" t="str">
        <f>PROPER(_supplyTable[[#This Row],[Product Type]])</f>
        <v>Cosmetics</v>
      </c>
      <c r="C72" s="4" t="s">
        <v>105</v>
      </c>
      <c r="D72" s="25">
        <v>44632</v>
      </c>
      <c r="E72" s="10">
        <f>MONTH(_supplyTable[[#This Row],[Date]])</f>
        <v>3</v>
      </c>
      <c r="F72" s="6">
        <v>63.83</v>
      </c>
      <c r="G72" s="10">
        <v>30</v>
      </c>
      <c r="H72" s="10">
        <v>484</v>
      </c>
      <c r="I72" s="6">
        <v>1061.6199999999999</v>
      </c>
      <c r="J72" s="4" t="s">
        <v>22</v>
      </c>
      <c r="K72" s="10">
        <v>26</v>
      </c>
      <c r="L72" s="10">
        <v>7</v>
      </c>
      <c r="M72" s="4" t="s">
        <v>23</v>
      </c>
      <c r="N72" s="6">
        <v>7.29</v>
      </c>
      <c r="O72" s="4" t="s">
        <v>50</v>
      </c>
      <c r="P72" s="4" t="s">
        <v>36</v>
      </c>
      <c r="Q72" s="10">
        <v>11</v>
      </c>
      <c r="R72" t="str">
        <f>IFERROR(VLOOKUP(_supplyTable[[#This Row],[Lead Time]], Table7[#All], 3, TRUE), "No match")</f>
        <v>11-20</v>
      </c>
      <c r="S72" s="10">
        <v>176</v>
      </c>
      <c r="T72" s="10">
        <v>4</v>
      </c>
      <c r="U72" s="6">
        <v>1.9</v>
      </c>
      <c r="V72" s="4" t="s">
        <v>45</v>
      </c>
      <c r="W72" s="8">
        <v>0.45</v>
      </c>
      <c r="X72" s="4" t="s">
        <v>40</v>
      </c>
      <c r="Y72" s="4" t="s">
        <v>41</v>
      </c>
      <c r="Z72" s="6">
        <v>312.57</v>
      </c>
    </row>
    <row r="73" spans="1:26" x14ac:dyDescent="0.3">
      <c r="A73" s="4" t="s">
        <v>54</v>
      </c>
      <c r="B73" t="str">
        <f>PROPER(_supplyTable[[#This Row],[Product Type]])</f>
        <v>Cosmetics</v>
      </c>
      <c r="C73" s="4" t="s">
        <v>82</v>
      </c>
      <c r="D73" s="25">
        <v>44633</v>
      </c>
      <c r="E73" s="10">
        <f>MONTH(_supplyTable[[#This Row],[Date]])</f>
        <v>3</v>
      </c>
      <c r="F73" s="6">
        <v>52.08</v>
      </c>
      <c r="G73" s="10">
        <v>75</v>
      </c>
      <c r="H73" s="10">
        <v>705</v>
      </c>
      <c r="I73" s="6">
        <v>9692.32</v>
      </c>
      <c r="J73" s="4" t="s">
        <v>22</v>
      </c>
      <c r="K73" s="10">
        <v>88</v>
      </c>
      <c r="L73" s="10">
        <v>5</v>
      </c>
      <c r="M73" s="4" t="s">
        <v>23</v>
      </c>
      <c r="N73" s="6">
        <v>9.24</v>
      </c>
      <c r="O73" s="4" t="s">
        <v>35</v>
      </c>
      <c r="P73" s="4" t="s">
        <v>25</v>
      </c>
      <c r="Q73" s="10">
        <v>10</v>
      </c>
      <c r="R73" t="str">
        <f>IFERROR(VLOOKUP(_supplyTable[[#This Row],[Lead Time]], Table7[#All], 3, TRUE), "No match")</f>
        <v>1-10</v>
      </c>
      <c r="S73" s="10">
        <v>841</v>
      </c>
      <c r="T73" s="10">
        <v>12</v>
      </c>
      <c r="U73" s="6">
        <v>5.93</v>
      </c>
      <c r="V73" s="4" t="s">
        <v>26</v>
      </c>
      <c r="W73" s="8">
        <v>0.61</v>
      </c>
      <c r="X73" s="4" t="s">
        <v>40</v>
      </c>
      <c r="Y73" s="4" t="s">
        <v>28</v>
      </c>
      <c r="Z73" s="6">
        <v>339.67</v>
      </c>
    </row>
    <row r="74" spans="1:26" x14ac:dyDescent="0.3">
      <c r="A74" s="4" t="s">
        <v>29</v>
      </c>
      <c r="B74" t="str">
        <f>PROPER(_supplyTable[[#This Row],[Product Type]])</f>
        <v>Skincare</v>
      </c>
      <c r="C74" s="4" t="s">
        <v>92</v>
      </c>
      <c r="D74" s="25">
        <v>44634</v>
      </c>
      <c r="E74" s="10">
        <f>MONTH(_supplyTable[[#This Row],[Date]])</f>
        <v>3</v>
      </c>
      <c r="F74" s="6">
        <v>95.71</v>
      </c>
      <c r="G74" s="10">
        <v>93</v>
      </c>
      <c r="H74" s="10">
        <v>910</v>
      </c>
      <c r="I74" s="6">
        <v>7089.47</v>
      </c>
      <c r="J74" s="4" t="s">
        <v>47</v>
      </c>
      <c r="K74" s="10">
        <v>51</v>
      </c>
      <c r="L74" s="10">
        <v>9</v>
      </c>
      <c r="M74" s="4" t="s">
        <v>23</v>
      </c>
      <c r="N74" s="6">
        <v>8.98</v>
      </c>
      <c r="O74" s="4" t="s">
        <v>50</v>
      </c>
      <c r="P74" s="4" t="s">
        <v>36</v>
      </c>
      <c r="Q74" s="10">
        <v>10</v>
      </c>
      <c r="R74" t="str">
        <f>IFERROR(VLOOKUP(_supplyTable[[#This Row],[Lead Time]], Table7[#All], 3, TRUE), "No match")</f>
        <v>1-10</v>
      </c>
      <c r="S74" s="10">
        <v>964</v>
      </c>
      <c r="T74" s="10">
        <v>20</v>
      </c>
      <c r="U74" s="6">
        <v>19.71</v>
      </c>
      <c r="V74" s="4" t="s">
        <v>26</v>
      </c>
      <c r="W74" s="8">
        <v>0.38</v>
      </c>
      <c r="X74" s="4" t="s">
        <v>64</v>
      </c>
      <c r="Y74" s="4" t="s">
        <v>41</v>
      </c>
      <c r="Z74" s="6">
        <v>581.6</v>
      </c>
    </row>
    <row r="75" spans="1:26" x14ac:dyDescent="0.3">
      <c r="A75" s="4" t="s">
        <v>20</v>
      </c>
      <c r="B75" t="str">
        <f>PROPER(_supplyTable[[#This Row],[Product Type]])</f>
        <v>Haircare</v>
      </c>
      <c r="C75" s="4" t="s">
        <v>95</v>
      </c>
      <c r="D75" s="25">
        <v>44635</v>
      </c>
      <c r="E75" s="10">
        <f>MONTH(_supplyTable[[#This Row],[Date]])</f>
        <v>3</v>
      </c>
      <c r="F75" s="6">
        <v>1.7</v>
      </c>
      <c r="G75" s="10">
        <v>87</v>
      </c>
      <c r="H75" s="10">
        <v>147</v>
      </c>
      <c r="I75" s="6">
        <v>2828.35</v>
      </c>
      <c r="J75" s="4" t="s">
        <v>22</v>
      </c>
      <c r="K75" s="10">
        <v>66</v>
      </c>
      <c r="L75" s="10">
        <v>3</v>
      </c>
      <c r="M75" s="4" t="s">
        <v>23</v>
      </c>
      <c r="N75" s="6">
        <v>4.4400000000000004</v>
      </c>
      <c r="O75" s="4" t="s">
        <v>44</v>
      </c>
      <c r="P75" s="4" t="s">
        <v>48</v>
      </c>
      <c r="Q75" s="10">
        <v>10</v>
      </c>
      <c r="R75" t="str">
        <f>IFERROR(VLOOKUP(_supplyTable[[#This Row],[Lead Time]], Table7[#All], 3, TRUE), "No match")</f>
        <v>1-10</v>
      </c>
      <c r="S75" s="10">
        <v>104</v>
      </c>
      <c r="T75" s="10">
        <v>17</v>
      </c>
      <c r="U75" s="6">
        <v>56.77</v>
      </c>
      <c r="V75" s="4" t="s">
        <v>45</v>
      </c>
      <c r="W75" s="8">
        <v>2.78</v>
      </c>
      <c r="X75" s="4" t="s">
        <v>27</v>
      </c>
      <c r="Y75" s="4" t="s">
        <v>41</v>
      </c>
      <c r="Z75" s="6">
        <v>235.46</v>
      </c>
    </row>
    <row r="76" spans="1:26" x14ac:dyDescent="0.3">
      <c r="A76" s="4" t="s">
        <v>29</v>
      </c>
      <c r="B76" t="str">
        <f>PROPER(_supplyTable[[#This Row],[Product Type]])</f>
        <v>Skincare</v>
      </c>
      <c r="C76" s="4" t="s">
        <v>98</v>
      </c>
      <c r="D76" s="25">
        <v>44636</v>
      </c>
      <c r="E76" s="10">
        <f>MONTH(_supplyTable[[#This Row],[Date]])</f>
        <v>3</v>
      </c>
      <c r="F76" s="6">
        <v>98.03</v>
      </c>
      <c r="G76" s="10">
        <v>1</v>
      </c>
      <c r="H76" s="10">
        <v>820</v>
      </c>
      <c r="I76" s="6">
        <v>9435.76</v>
      </c>
      <c r="J76" s="4" t="s">
        <v>47</v>
      </c>
      <c r="K76" s="10">
        <v>11</v>
      </c>
      <c r="L76" s="10">
        <v>1</v>
      </c>
      <c r="M76" s="4" t="s">
        <v>23</v>
      </c>
      <c r="N76" s="6">
        <v>8.6300000000000008</v>
      </c>
      <c r="O76" s="4" t="s">
        <v>50</v>
      </c>
      <c r="P76" s="4" t="s">
        <v>25</v>
      </c>
      <c r="Q76" s="10">
        <v>10</v>
      </c>
      <c r="R76" t="str">
        <f>IFERROR(VLOOKUP(_supplyTable[[#This Row],[Lead Time]], Table7[#All], 3, TRUE), "No match")</f>
        <v>1-10</v>
      </c>
      <c r="S76" s="10">
        <v>727</v>
      </c>
      <c r="T76" s="10">
        <v>27</v>
      </c>
      <c r="U76" s="6">
        <v>9.17</v>
      </c>
      <c r="V76" s="4" t="s">
        <v>26</v>
      </c>
      <c r="W76" s="8">
        <v>2.12</v>
      </c>
      <c r="X76" s="4" t="s">
        <v>40</v>
      </c>
      <c r="Y76" s="4" t="s">
        <v>57</v>
      </c>
      <c r="Z76" s="6">
        <v>602.9</v>
      </c>
    </row>
    <row r="77" spans="1:26" x14ac:dyDescent="0.3">
      <c r="A77" s="4" t="s">
        <v>29</v>
      </c>
      <c r="B77" t="str">
        <f>PROPER(_supplyTable[[#This Row],[Product Type]])</f>
        <v>Skincare</v>
      </c>
      <c r="C77" s="4" t="s">
        <v>114</v>
      </c>
      <c r="D77" s="25">
        <v>44637</v>
      </c>
      <c r="E77" s="10">
        <f>MONTH(_supplyTable[[#This Row],[Date]])</f>
        <v>3</v>
      </c>
      <c r="F77" s="6">
        <v>87.76</v>
      </c>
      <c r="G77" s="10">
        <v>16</v>
      </c>
      <c r="H77" s="10">
        <v>513</v>
      </c>
      <c r="I77" s="6">
        <v>9473.7999999999993</v>
      </c>
      <c r="J77" s="4" t="s">
        <v>43</v>
      </c>
      <c r="K77" s="10">
        <v>71</v>
      </c>
      <c r="L77" s="10">
        <v>9</v>
      </c>
      <c r="M77" s="4" t="s">
        <v>34</v>
      </c>
      <c r="N77" s="6">
        <v>9.15</v>
      </c>
      <c r="O77" s="4" t="s">
        <v>50</v>
      </c>
      <c r="P77" s="4" t="s">
        <v>25</v>
      </c>
      <c r="Q77" s="10">
        <v>10</v>
      </c>
      <c r="R77" t="str">
        <f>IFERROR(VLOOKUP(_supplyTable[[#This Row],[Lead Time]], Table7[#All], 3, TRUE), "No match")</f>
        <v>1-10</v>
      </c>
      <c r="S77" s="10">
        <v>198</v>
      </c>
      <c r="T77" s="10">
        <v>11</v>
      </c>
      <c r="U77" s="6">
        <v>7.06</v>
      </c>
      <c r="V77" s="4" t="s">
        <v>37</v>
      </c>
      <c r="W77" s="8">
        <v>0.13</v>
      </c>
      <c r="X77" s="4" t="s">
        <v>52</v>
      </c>
      <c r="Y77" s="4" t="s">
        <v>57</v>
      </c>
      <c r="Z77" s="6">
        <v>169.27</v>
      </c>
    </row>
    <row r="78" spans="1:26" x14ac:dyDescent="0.3">
      <c r="A78" s="4" t="s">
        <v>20</v>
      </c>
      <c r="B78" t="str">
        <f>PROPER(_supplyTable[[#This Row],[Product Type]])</f>
        <v>Haircare</v>
      </c>
      <c r="C78" s="4" t="s">
        <v>147</v>
      </c>
      <c r="D78" s="25">
        <v>44638</v>
      </c>
      <c r="E78" s="10">
        <f>MONTH(_supplyTable[[#This Row],[Date]])</f>
        <v>3</v>
      </c>
      <c r="F78" s="6">
        <v>3.53</v>
      </c>
      <c r="G78" s="10">
        <v>56</v>
      </c>
      <c r="H78" s="10">
        <v>62</v>
      </c>
      <c r="I78" s="6">
        <v>4370.92</v>
      </c>
      <c r="J78" s="4" t="s">
        <v>47</v>
      </c>
      <c r="K78" s="10">
        <v>4</v>
      </c>
      <c r="L78" s="10">
        <v>9</v>
      </c>
      <c r="M78" s="4" t="s">
        <v>32</v>
      </c>
      <c r="N78" s="6">
        <v>7.9</v>
      </c>
      <c r="O78" s="4" t="s">
        <v>44</v>
      </c>
      <c r="P78" s="4" t="s">
        <v>25</v>
      </c>
      <c r="Q78" s="10">
        <v>10</v>
      </c>
      <c r="R78" t="str">
        <f>IFERROR(VLOOKUP(_supplyTable[[#This Row],[Lead Time]], Table7[#All], 3, TRUE), "No match")</f>
        <v>1-10</v>
      </c>
      <c r="S78" s="10">
        <v>535</v>
      </c>
      <c r="T78" s="10">
        <v>13</v>
      </c>
      <c r="U78" s="6">
        <v>65.77</v>
      </c>
      <c r="V78" s="4" t="s">
        <v>45</v>
      </c>
      <c r="W78" s="8">
        <v>3.38</v>
      </c>
      <c r="X78" s="4" t="s">
        <v>27</v>
      </c>
      <c r="Y78" s="4" t="s">
        <v>41</v>
      </c>
      <c r="Z78" s="6">
        <v>540.13</v>
      </c>
    </row>
    <row r="79" spans="1:26" x14ac:dyDescent="0.3">
      <c r="A79" s="4" t="s">
        <v>20</v>
      </c>
      <c r="B79" t="str">
        <f>PROPER(_supplyTable[[#This Row],[Product Type]])</f>
        <v>Haircare</v>
      </c>
      <c r="C79" s="4" t="s">
        <v>93</v>
      </c>
      <c r="D79" s="25">
        <v>44639</v>
      </c>
      <c r="E79" s="10">
        <f>MONTH(_supplyTable[[#This Row],[Date]])</f>
        <v>3</v>
      </c>
      <c r="F79" s="6">
        <v>76.040000000000006</v>
      </c>
      <c r="G79" s="10">
        <v>28</v>
      </c>
      <c r="H79" s="10">
        <v>29</v>
      </c>
      <c r="I79" s="6">
        <v>7397.07</v>
      </c>
      <c r="J79" s="4" t="s">
        <v>22</v>
      </c>
      <c r="K79" s="10">
        <v>9</v>
      </c>
      <c r="L79" s="10">
        <v>3</v>
      </c>
      <c r="M79" s="4" t="s">
        <v>34</v>
      </c>
      <c r="N79" s="6">
        <v>7.1</v>
      </c>
      <c r="O79" s="4" t="s">
        <v>39</v>
      </c>
      <c r="P79" s="4" t="s">
        <v>25</v>
      </c>
      <c r="Q79" s="10">
        <v>9</v>
      </c>
      <c r="R79" t="str">
        <f>IFERROR(VLOOKUP(_supplyTable[[#This Row],[Lead Time]], Table7[#All], 3, TRUE), "No match")</f>
        <v>1-10</v>
      </c>
      <c r="S79" s="10">
        <v>109</v>
      </c>
      <c r="T79" s="10">
        <v>18</v>
      </c>
      <c r="U79" s="6">
        <v>23.13</v>
      </c>
      <c r="V79" s="4" t="s">
        <v>45</v>
      </c>
      <c r="W79" s="8">
        <v>1.7</v>
      </c>
      <c r="X79" s="4" t="s">
        <v>64</v>
      </c>
      <c r="Y79" s="4" t="s">
        <v>28</v>
      </c>
      <c r="Z79" s="6">
        <v>768.65</v>
      </c>
    </row>
    <row r="80" spans="1:26" x14ac:dyDescent="0.3">
      <c r="A80" s="4" t="s">
        <v>29</v>
      </c>
      <c r="B80" t="str">
        <f>PROPER(_supplyTable[[#This Row],[Product Type]])</f>
        <v>Skincare</v>
      </c>
      <c r="C80" s="4" t="s">
        <v>116</v>
      </c>
      <c r="D80" s="25">
        <v>44640</v>
      </c>
      <c r="E80" s="10">
        <f>MONTH(_supplyTable[[#This Row],[Date]])</f>
        <v>3</v>
      </c>
      <c r="F80" s="6">
        <v>54.87</v>
      </c>
      <c r="G80" s="10">
        <v>62</v>
      </c>
      <c r="H80" s="10">
        <v>511</v>
      </c>
      <c r="I80" s="6">
        <v>1752.38</v>
      </c>
      <c r="J80" s="4" t="s">
        <v>22</v>
      </c>
      <c r="K80" s="10">
        <v>27</v>
      </c>
      <c r="L80" s="10">
        <v>3</v>
      </c>
      <c r="M80" s="4" t="s">
        <v>23</v>
      </c>
      <c r="N80" s="6">
        <v>9.7100000000000009</v>
      </c>
      <c r="O80" s="4" t="s">
        <v>44</v>
      </c>
      <c r="P80" s="4" t="s">
        <v>36</v>
      </c>
      <c r="Q80" s="10">
        <v>9</v>
      </c>
      <c r="R80" t="str">
        <f>IFERROR(VLOOKUP(_supplyTable[[#This Row],[Lead Time]], Table7[#All], 3, TRUE), "No match")</f>
        <v>1-10</v>
      </c>
      <c r="S80" s="10">
        <v>862</v>
      </c>
      <c r="T80" s="10">
        <v>7</v>
      </c>
      <c r="U80" s="6">
        <v>77.63</v>
      </c>
      <c r="V80" s="4" t="s">
        <v>26</v>
      </c>
      <c r="W80" s="8">
        <v>1.36</v>
      </c>
      <c r="X80" s="4" t="s">
        <v>40</v>
      </c>
      <c r="Y80" s="4" t="s">
        <v>41</v>
      </c>
      <c r="Z80" s="6">
        <v>207.66</v>
      </c>
    </row>
    <row r="81" spans="1:26" x14ac:dyDescent="0.3">
      <c r="A81" s="4" t="s">
        <v>29</v>
      </c>
      <c r="B81" t="str">
        <f>PROPER(_supplyTable[[#This Row],[Product Type]])</f>
        <v>Skincare</v>
      </c>
      <c r="C81" s="4" t="s">
        <v>129</v>
      </c>
      <c r="D81" s="25">
        <v>44641</v>
      </c>
      <c r="E81" s="10">
        <f>MONTH(_supplyTable[[#This Row],[Date]])</f>
        <v>3</v>
      </c>
      <c r="F81" s="6">
        <v>91.13</v>
      </c>
      <c r="G81" s="10">
        <v>75</v>
      </c>
      <c r="H81" s="10">
        <v>872</v>
      </c>
      <c r="I81" s="6">
        <v>8651.67</v>
      </c>
      <c r="J81" s="4" t="s">
        <v>43</v>
      </c>
      <c r="K81" s="10">
        <v>41</v>
      </c>
      <c r="L81" s="10">
        <v>2</v>
      </c>
      <c r="M81" s="4" t="s">
        <v>34</v>
      </c>
      <c r="N81" s="6">
        <v>2.83</v>
      </c>
      <c r="O81" s="4" t="s">
        <v>24</v>
      </c>
      <c r="P81" s="4" t="s">
        <v>56</v>
      </c>
      <c r="Q81" s="10">
        <v>8</v>
      </c>
      <c r="R81" t="str">
        <f>IFERROR(VLOOKUP(_supplyTable[[#This Row],[Lead Time]], Table7[#All], 3, TRUE), "No match")</f>
        <v>1-10</v>
      </c>
      <c r="S81" s="10">
        <v>202</v>
      </c>
      <c r="T81" s="10">
        <v>5</v>
      </c>
      <c r="U81" s="6">
        <v>76.959999999999994</v>
      </c>
      <c r="V81" s="4" t="s">
        <v>45</v>
      </c>
      <c r="W81" s="8">
        <v>2.85</v>
      </c>
      <c r="X81" s="4" t="s">
        <v>52</v>
      </c>
      <c r="Y81" s="4" t="s">
        <v>28</v>
      </c>
      <c r="Z81" s="6">
        <v>787.78</v>
      </c>
    </row>
    <row r="82" spans="1:26" x14ac:dyDescent="0.3">
      <c r="A82" s="4" t="s">
        <v>29</v>
      </c>
      <c r="B82" t="str">
        <f>PROPER(_supplyTable[[#This Row],[Product Type]])</f>
        <v>Skincare</v>
      </c>
      <c r="C82" s="4" t="s">
        <v>140</v>
      </c>
      <c r="D82" s="25">
        <v>44642</v>
      </c>
      <c r="E82" s="10">
        <f>MONTH(_supplyTable[[#This Row],[Date]])</f>
        <v>3</v>
      </c>
      <c r="F82" s="6">
        <v>13.88</v>
      </c>
      <c r="G82" s="10">
        <v>56</v>
      </c>
      <c r="H82" s="10">
        <v>320</v>
      </c>
      <c r="I82" s="6">
        <v>9592.6299999999992</v>
      </c>
      <c r="J82" s="4" t="s">
        <v>22</v>
      </c>
      <c r="K82" s="10">
        <v>96</v>
      </c>
      <c r="L82" s="10">
        <v>7</v>
      </c>
      <c r="M82" s="4" t="s">
        <v>23</v>
      </c>
      <c r="N82" s="6">
        <v>7.67</v>
      </c>
      <c r="O82" s="4" t="s">
        <v>24</v>
      </c>
      <c r="P82" s="4" t="s">
        <v>48</v>
      </c>
      <c r="Q82" s="10">
        <v>8</v>
      </c>
      <c r="R82" t="str">
        <f>IFERROR(VLOOKUP(_supplyTable[[#This Row],[Lead Time]], Table7[#All], 3, TRUE), "No match")</f>
        <v>1-10</v>
      </c>
      <c r="S82" s="10">
        <v>585</v>
      </c>
      <c r="T82" s="10">
        <v>8</v>
      </c>
      <c r="U82" s="6">
        <v>85.68</v>
      </c>
      <c r="V82" s="4" t="s">
        <v>37</v>
      </c>
      <c r="W82" s="8">
        <v>1.22</v>
      </c>
      <c r="X82" s="4" t="s">
        <v>64</v>
      </c>
      <c r="Y82" s="4" t="s">
        <v>28</v>
      </c>
      <c r="Z82" s="6">
        <v>990.08</v>
      </c>
    </row>
    <row r="83" spans="1:26" x14ac:dyDescent="0.3">
      <c r="A83" s="4" t="s">
        <v>54</v>
      </c>
      <c r="B83" t="str">
        <f>PROPER(_supplyTable[[#This Row],[Product Type]])</f>
        <v>Cosmetics</v>
      </c>
      <c r="C83" s="4" t="s">
        <v>55</v>
      </c>
      <c r="D83" s="25">
        <v>44643</v>
      </c>
      <c r="E83" s="10">
        <f>MONTH(_supplyTable[[#This Row],[Date]])</f>
        <v>3</v>
      </c>
      <c r="F83" s="6">
        <v>81.459999999999994</v>
      </c>
      <c r="G83" s="10">
        <v>82</v>
      </c>
      <c r="H83" s="10">
        <v>126</v>
      </c>
      <c r="I83" s="6">
        <v>2629.4</v>
      </c>
      <c r="J83" s="4" t="s">
        <v>31</v>
      </c>
      <c r="K83" s="10">
        <v>85</v>
      </c>
      <c r="L83" s="10">
        <v>9</v>
      </c>
      <c r="M83" s="4" t="s">
        <v>34</v>
      </c>
      <c r="N83" s="6">
        <v>3.59</v>
      </c>
      <c r="O83" s="4" t="s">
        <v>50</v>
      </c>
      <c r="P83" s="4" t="s">
        <v>56</v>
      </c>
      <c r="Q83" s="10">
        <v>7</v>
      </c>
      <c r="R83" t="str">
        <f>IFERROR(VLOOKUP(_supplyTable[[#This Row],[Lead Time]], Table7[#All], 3, TRUE), "No match")</f>
        <v>1-10</v>
      </c>
      <c r="S83" s="10">
        <v>453</v>
      </c>
      <c r="T83" s="10">
        <v>16</v>
      </c>
      <c r="U83" s="6">
        <v>47.68</v>
      </c>
      <c r="V83" s="4" t="s">
        <v>45</v>
      </c>
      <c r="W83" s="8">
        <v>0.1</v>
      </c>
      <c r="X83" s="4" t="s">
        <v>40</v>
      </c>
      <c r="Y83" s="4" t="s">
        <v>57</v>
      </c>
      <c r="Z83" s="6">
        <v>670.93</v>
      </c>
    </row>
    <row r="84" spans="1:26" x14ac:dyDescent="0.3">
      <c r="A84" s="4" t="s">
        <v>54</v>
      </c>
      <c r="B84" t="str">
        <f>PROPER(_supplyTable[[#This Row],[Product Type]])</f>
        <v>Cosmetics</v>
      </c>
      <c r="C84" s="4" t="s">
        <v>89</v>
      </c>
      <c r="D84" s="25">
        <v>44644</v>
      </c>
      <c r="E84" s="10">
        <f>MONTH(_supplyTable[[#This Row],[Date]])</f>
        <v>3</v>
      </c>
      <c r="F84" s="6">
        <v>51.36</v>
      </c>
      <c r="G84" s="10">
        <v>34</v>
      </c>
      <c r="H84" s="10">
        <v>919</v>
      </c>
      <c r="I84" s="6">
        <v>7152.29</v>
      </c>
      <c r="J84" s="4" t="s">
        <v>31</v>
      </c>
      <c r="K84" s="10">
        <v>72</v>
      </c>
      <c r="L84" s="10">
        <v>6</v>
      </c>
      <c r="M84" s="4" t="s">
        <v>34</v>
      </c>
      <c r="N84" s="6">
        <v>7.58</v>
      </c>
      <c r="O84" s="4" t="s">
        <v>39</v>
      </c>
      <c r="P84" s="4" t="s">
        <v>79</v>
      </c>
      <c r="Q84" s="10">
        <v>7</v>
      </c>
      <c r="R84" t="str">
        <f>IFERROR(VLOOKUP(_supplyTable[[#This Row],[Lead Time]], Table7[#All], 3, TRUE), "No match")</f>
        <v>1-10</v>
      </c>
      <c r="S84" s="10">
        <v>834</v>
      </c>
      <c r="T84" s="10">
        <v>18</v>
      </c>
      <c r="U84" s="6">
        <v>22.55</v>
      </c>
      <c r="V84" s="4" t="s">
        <v>45</v>
      </c>
      <c r="W84" s="8">
        <v>2.96</v>
      </c>
      <c r="X84" s="4" t="s">
        <v>64</v>
      </c>
      <c r="Y84" s="4" t="s">
        <v>41</v>
      </c>
      <c r="Z84" s="6">
        <v>610.45000000000005</v>
      </c>
    </row>
    <row r="85" spans="1:26" x14ac:dyDescent="0.3">
      <c r="A85" s="4" t="s">
        <v>29</v>
      </c>
      <c r="B85" t="str">
        <f>PROPER(_supplyTable[[#This Row],[Product Type]])</f>
        <v>Skincare</v>
      </c>
      <c r="C85" s="4" t="s">
        <v>131</v>
      </c>
      <c r="D85" s="25">
        <v>44645</v>
      </c>
      <c r="E85" s="10">
        <f>MONTH(_supplyTable[[#This Row],[Date]])</f>
        <v>3</v>
      </c>
      <c r="F85" s="6">
        <v>17.03</v>
      </c>
      <c r="G85" s="10">
        <v>13</v>
      </c>
      <c r="H85" s="10">
        <v>336</v>
      </c>
      <c r="I85" s="6">
        <v>2943.38</v>
      </c>
      <c r="J85" s="4" t="s">
        <v>43</v>
      </c>
      <c r="K85" s="10">
        <v>72</v>
      </c>
      <c r="L85" s="10">
        <v>1</v>
      </c>
      <c r="M85" s="4" t="s">
        <v>32</v>
      </c>
      <c r="N85" s="6">
        <v>4.71</v>
      </c>
      <c r="O85" s="4" t="s">
        <v>39</v>
      </c>
      <c r="P85" s="4" t="s">
        <v>25</v>
      </c>
      <c r="Q85" s="10">
        <v>6</v>
      </c>
      <c r="R85" t="str">
        <f>IFERROR(VLOOKUP(_supplyTable[[#This Row],[Lead Time]], Table7[#All], 3, TRUE), "No match")</f>
        <v>1-10</v>
      </c>
      <c r="S85" s="10">
        <v>955</v>
      </c>
      <c r="T85" s="10">
        <v>26</v>
      </c>
      <c r="U85" s="6">
        <v>4.47</v>
      </c>
      <c r="V85" s="4" t="s">
        <v>26</v>
      </c>
      <c r="W85" s="8">
        <v>4.1399999999999997</v>
      </c>
      <c r="X85" s="4" t="s">
        <v>27</v>
      </c>
      <c r="Y85" s="4" t="s">
        <v>57</v>
      </c>
      <c r="Z85" s="6">
        <v>589.98</v>
      </c>
    </row>
    <row r="86" spans="1:26" x14ac:dyDescent="0.3">
      <c r="A86" s="4" t="s">
        <v>29</v>
      </c>
      <c r="B86" t="str">
        <f>PROPER(_supplyTable[[#This Row],[Product Type]])</f>
        <v>Skincare</v>
      </c>
      <c r="C86" s="4" t="s">
        <v>84</v>
      </c>
      <c r="D86" s="25">
        <v>44646</v>
      </c>
      <c r="E86" s="10">
        <f>MONTH(_supplyTable[[#This Row],[Date]])</f>
        <v>3</v>
      </c>
      <c r="F86" s="6">
        <v>4.8099999999999996</v>
      </c>
      <c r="G86" s="10">
        <v>26</v>
      </c>
      <c r="H86" s="10">
        <v>871</v>
      </c>
      <c r="I86" s="6">
        <v>2686.51</v>
      </c>
      <c r="J86" s="4" t="s">
        <v>22</v>
      </c>
      <c r="K86" s="10">
        <v>56</v>
      </c>
      <c r="L86" s="10">
        <v>8</v>
      </c>
      <c r="M86" s="4" t="s">
        <v>32</v>
      </c>
      <c r="N86" s="6">
        <v>3.89</v>
      </c>
      <c r="O86" s="4" t="s">
        <v>50</v>
      </c>
      <c r="P86" s="4" t="s">
        <v>79</v>
      </c>
      <c r="Q86" s="10">
        <v>5</v>
      </c>
      <c r="R86" t="str">
        <f>IFERROR(VLOOKUP(_supplyTable[[#This Row],[Lead Time]], Table7[#All], 3, TRUE), "No match")</f>
        <v>1-10</v>
      </c>
      <c r="S86" s="10">
        <v>414</v>
      </c>
      <c r="T86" s="10">
        <v>3</v>
      </c>
      <c r="U86" s="6">
        <v>92.07</v>
      </c>
      <c r="V86" s="4" t="s">
        <v>45</v>
      </c>
      <c r="W86" s="8">
        <v>3.15</v>
      </c>
      <c r="X86" s="4" t="s">
        <v>40</v>
      </c>
      <c r="Y86" s="4" t="s">
        <v>41</v>
      </c>
      <c r="Z86" s="6">
        <v>923.44</v>
      </c>
    </row>
    <row r="87" spans="1:26" x14ac:dyDescent="0.3">
      <c r="A87" s="4" t="s">
        <v>20</v>
      </c>
      <c r="B87" t="str">
        <f>PROPER(_supplyTable[[#This Row],[Product Type]])</f>
        <v>Haircare</v>
      </c>
      <c r="C87" s="4" t="s">
        <v>127</v>
      </c>
      <c r="D87" s="25">
        <v>44647</v>
      </c>
      <c r="E87" s="10">
        <f>MONTH(_supplyTable[[#This Row],[Date]])</f>
        <v>3</v>
      </c>
      <c r="F87" s="6">
        <v>57.06</v>
      </c>
      <c r="G87" s="10">
        <v>56</v>
      </c>
      <c r="H87" s="10">
        <v>198</v>
      </c>
      <c r="I87" s="6">
        <v>7888.72</v>
      </c>
      <c r="J87" s="4" t="s">
        <v>22</v>
      </c>
      <c r="K87" s="10">
        <v>20</v>
      </c>
      <c r="L87" s="10">
        <v>1</v>
      </c>
      <c r="M87" s="4" t="s">
        <v>23</v>
      </c>
      <c r="N87" s="6">
        <v>6.5</v>
      </c>
      <c r="O87" s="4" t="s">
        <v>24</v>
      </c>
      <c r="P87" s="4" t="s">
        <v>48</v>
      </c>
      <c r="Q87" s="10">
        <v>5</v>
      </c>
      <c r="R87" t="str">
        <f>IFERROR(VLOOKUP(_supplyTable[[#This Row],[Lead Time]], Table7[#All], 3, TRUE), "No match")</f>
        <v>1-10</v>
      </c>
      <c r="S87" s="10">
        <v>228</v>
      </c>
      <c r="T87" s="10">
        <v>12</v>
      </c>
      <c r="U87" s="6">
        <v>57.87</v>
      </c>
      <c r="V87" s="4" t="s">
        <v>26</v>
      </c>
      <c r="W87" s="8">
        <v>0.17</v>
      </c>
      <c r="X87" s="4" t="s">
        <v>40</v>
      </c>
      <c r="Y87" s="4" t="s">
        <v>57</v>
      </c>
      <c r="Z87" s="6">
        <v>351.5</v>
      </c>
    </row>
    <row r="88" spans="1:26" x14ac:dyDescent="0.3">
      <c r="A88" s="4" t="s">
        <v>54</v>
      </c>
      <c r="B88" t="str">
        <f>PROPER(_supplyTable[[#This Row],[Product Type]])</f>
        <v>Cosmetics</v>
      </c>
      <c r="C88" s="4" t="s">
        <v>141</v>
      </c>
      <c r="D88" s="25">
        <v>44648</v>
      </c>
      <c r="E88" s="10">
        <f>MONTH(_supplyTable[[#This Row],[Date]])</f>
        <v>3</v>
      </c>
      <c r="F88" s="6">
        <v>62.11</v>
      </c>
      <c r="G88" s="10">
        <v>90</v>
      </c>
      <c r="H88" s="10">
        <v>916</v>
      </c>
      <c r="I88" s="6">
        <v>1935.21</v>
      </c>
      <c r="J88" s="4" t="s">
        <v>47</v>
      </c>
      <c r="K88" s="10">
        <v>85</v>
      </c>
      <c r="L88" s="10">
        <v>7</v>
      </c>
      <c r="M88" s="4" t="s">
        <v>23</v>
      </c>
      <c r="N88" s="6">
        <v>7.47</v>
      </c>
      <c r="O88" s="4" t="s">
        <v>44</v>
      </c>
      <c r="P88" s="4" t="s">
        <v>79</v>
      </c>
      <c r="Q88" s="10">
        <v>5</v>
      </c>
      <c r="R88" t="str">
        <f>IFERROR(VLOOKUP(_supplyTable[[#This Row],[Lead Time]], Table7[#All], 3, TRUE), "No match")</f>
        <v>1-10</v>
      </c>
      <c r="S88" s="10">
        <v>207</v>
      </c>
      <c r="T88" s="10">
        <v>28</v>
      </c>
      <c r="U88" s="6">
        <v>39.770000000000003</v>
      </c>
      <c r="V88" s="4" t="s">
        <v>26</v>
      </c>
      <c r="W88" s="8">
        <v>0.63</v>
      </c>
      <c r="X88" s="4" t="s">
        <v>64</v>
      </c>
      <c r="Y88" s="4" t="s">
        <v>28</v>
      </c>
      <c r="Z88" s="6">
        <v>996.78</v>
      </c>
    </row>
    <row r="89" spans="1:26" x14ac:dyDescent="0.3">
      <c r="A89" s="4" t="s">
        <v>29</v>
      </c>
      <c r="B89" t="str">
        <f>PROPER(_supplyTable[[#This Row],[Product Type]])</f>
        <v>Skincare</v>
      </c>
      <c r="C89" s="4" t="s">
        <v>77</v>
      </c>
      <c r="D89" s="25">
        <v>44649</v>
      </c>
      <c r="E89" s="10">
        <f>MONTH(_supplyTable[[#This Row],[Date]])</f>
        <v>3</v>
      </c>
      <c r="F89" s="6">
        <v>37.47</v>
      </c>
      <c r="G89" s="10">
        <v>96</v>
      </c>
      <c r="H89" s="10">
        <v>602</v>
      </c>
      <c r="I89" s="6">
        <v>9061.7099999999991</v>
      </c>
      <c r="J89" s="4" t="s">
        <v>43</v>
      </c>
      <c r="K89" s="10">
        <v>21</v>
      </c>
      <c r="L89" s="10">
        <v>7</v>
      </c>
      <c r="M89" s="4" t="s">
        <v>32</v>
      </c>
      <c r="N89" s="6">
        <v>1.02</v>
      </c>
      <c r="O89" s="4" t="s">
        <v>50</v>
      </c>
      <c r="P89" s="4" t="s">
        <v>56</v>
      </c>
      <c r="Q89" s="10">
        <v>4</v>
      </c>
      <c r="R89" t="str">
        <f>IFERROR(VLOOKUP(_supplyTable[[#This Row],[Lead Time]], Table7[#All], 3, TRUE), "No match")</f>
        <v>1-10</v>
      </c>
      <c r="S89" s="10">
        <v>452</v>
      </c>
      <c r="T89" s="10">
        <v>10</v>
      </c>
      <c r="U89" s="6">
        <v>10.75</v>
      </c>
      <c r="V89" s="4" t="s">
        <v>37</v>
      </c>
      <c r="W89" s="8">
        <v>0.65</v>
      </c>
      <c r="X89" s="4" t="s">
        <v>27</v>
      </c>
      <c r="Y89" s="4" t="s">
        <v>28</v>
      </c>
      <c r="Z89" s="6">
        <v>510.36</v>
      </c>
    </row>
    <row r="90" spans="1:26" x14ac:dyDescent="0.3">
      <c r="A90" s="4" t="s">
        <v>54</v>
      </c>
      <c r="B90" t="str">
        <f>PROPER(_supplyTable[[#This Row],[Product Type]])</f>
        <v>Cosmetics</v>
      </c>
      <c r="C90" s="4" t="s">
        <v>134</v>
      </c>
      <c r="D90" s="25">
        <v>44650</v>
      </c>
      <c r="E90" s="10">
        <f>MONTH(_supplyTable[[#This Row],[Date]])</f>
        <v>3</v>
      </c>
      <c r="F90" s="6">
        <v>76.959999999999994</v>
      </c>
      <c r="G90" s="10">
        <v>83</v>
      </c>
      <c r="H90" s="10">
        <v>25</v>
      </c>
      <c r="I90" s="6">
        <v>8684.61</v>
      </c>
      <c r="J90" s="4" t="s">
        <v>31</v>
      </c>
      <c r="K90" s="10">
        <v>66</v>
      </c>
      <c r="L90" s="10">
        <v>2</v>
      </c>
      <c r="M90" s="4" t="s">
        <v>34</v>
      </c>
      <c r="N90" s="6">
        <v>8.25</v>
      </c>
      <c r="O90" s="4" t="s">
        <v>35</v>
      </c>
      <c r="P90" s="4" t="s">
        <v>56</v>
      </c>
      <c r="Q90" s="10">
        <v>4</v>
      </c>
      <c r="R90" t="str">
        <f>IFERROR(VLOOKUP(_supplyTable[[#This Row],[Lead Time]], Table7[#All], 3, TRUE), "No match")</f>
        <v>1-10</v>
      </c>
      <c r="S90" s="10">
        <v>211</v>
      </c>
      <c r="T90" s="10">
        <v>2</v>
      </c>
      <c r="U90" s="6">
        <v>69.930000000000007</v>
      </c>
      <c r="V90" s="4" t="s">
        <v>45</v>
      </c>
      <c r="W90" s="8">
        <v>1.37</v>
      </c>
      <c r="X90" s="4" t="s">
        <v>27</v>
      </c>
      <c r="Y90" s="4" t="s">
        <v>28</v>
      </c>
      <c r="Z90" s="6">
        <v>842.69</v>
      </c>
    </row>
    <row r="91" spans="1:26" x14ac:dyDescent="0.3">
      <c r="A91" s="4" t="s">
        <v>29</v>
      </c>
      <c r="B91" t="str">
        <f>PROPER(_supplyTable[[#This Row],[Product Type]])</f>
        <v>Skincare</v>
      </c>
      <c r="C91" s="4" t="s">
        <v>135</v>
      </c>
      <c r="D91" s="25">
        <v>44651</v>
      </c>
      <c r="E91" s="10">
        <f>MONTH(_supplyTable[[#This Row],[Date]])</f>
        <v>3</v>
      </c>
      <c r="F91" s="6">
        <v>20</v>
      </c>
      <c r="G91" s="10">
        <v>18</v>
      </c>
      <c r="H91" s="10">
        <v>223</v>
      </c>
      <c r="I91" s="6">
        <v>1229.5899999999999</v>
      </c>
      <c r="J91" s="4" t="s">
        <v>43</v>
      </c>
      <c r="K91" s="10">
        <v>22</v>
      </c>
      <c r="L91" s="10">
        <v>6</v>
      </c>
      <c r="M91" s="4" t="s">
        <v>23</v>
      </c>
      <c r="N91" s="6">
        <v>1.45</v>
      </c>
      <c r="O91" s="4" t="s">
        <v>50</v>
      </c>
      <c r="P91" s="4" t="s">
        <v>25</v>
      </c>
      <c r="Q91" s="10">
        <v>4</v>
      </c>
      <c r="R91" t="str">
        <f>IFERROR(VLOOKUP(_supplyTable[[#This Row],[Lead Time]], Table7[#All], 3, TRUE), "No match")</f>
        <v>1-10</v>
      </c>
      <c r="S91" s="10">
        <v>569</v>
      </c>
      <c r="T91" s="10">
        <v>18</v>
      </c>
      <c r="U91" s="6">
        <v>74.61</v>
      </c>
      <c r="V91" s="4" t="s">
        <v>37</v>
      </c>
      <c r="W91" s="8">
        <v>2.0499999999999998</v>
      </c>
      <c r="X91" s="4" t="s">
        <v>64</v>
      </c>
      <c r="Y91" s="4" t="s">
        <v>41</v>
      </c>
      <c r="Z91" s="6">
        <v>264.25</v>
      </c>
    </row>
    <row r="92" spans="1:26" x14ac:dyDescent="0.3">
      <c r="A92" s="4" t="s">
        <v>54</v>
      </c>
      <c r="B92" t="str">
        <f>PROPER(_supplyTable[[#This Row],[Product Type]])</f>
        <v>Cosmetics</v>
      </c>
      <c r="C92" s="4" t="s">
        <v>142</v>
      </c>
      <c r="D92" s="25">
        <v>44652</v>
      </c>
      <c r="E92" s="10">
        <f>MONTH(_supplyTable[[#This Row],[Date]])</f>
        <v>4</v>
      </c>
      <c r="F92" s="6">
        <v>47.71</v>
      </c>
      <c r="G92" s="10">
        <v>44</v>
      </c>
      <c r="H92" s="10">
        <v>276</v>
      </c>
      <c r="I92" s="6">
        <v>2100.13</v>
      </c>
      <c r="J92" s="4" t="s">
        <v>47</v>
      </c>
      <c r="K92" s="10">
        <v>10</v>
      </c>
      <c r="L92" s="10">
        <v>8</v>
      </c>
      <c r="M92" s="4" t="s">
        <v>23</v>
      </c>
      <c r="N92" s="6">
        <v>4.47</v>
      </c>
      <c r="O92" s="4" t="s">
        <v>39</v>
      </c>
      <c r="P92" s="4" t="s">
        <v>25</v>
      </c>
      <c r="Q92" s="10">
        <v>4</v>
      </c>
      <c r="R92" t="str">
        <f>IFERROR(VLOOKUP(_supplyTable[[#This Row],[Lead Time]], Table7[#All], 3, TRUE), "No match")</f>
        <v>1-10</v>
      </c>
      <c r="S92" s="10">
        <v>671</v>
      </c>
      <c r="T92" s="10">
        <v>29</v>
      </c>
      <c r="U92" s="6">
        <v>62.61</v>
      </c>
      <c r="V92" s="4" t="s">
        <v>37</v>
      </c>
      <c r="W92" s="8">
        <v>0.33</v>
      </c>
      <c r="X92" s="4" t="s">
        <v>64</v>
      </c>
      <c r="Y92" s="4" t="s">
        <v>28</v>
      </c>
      <c r="Z92" s="6">
        <v>230.09</v>
      </c>
    </row>
    <row r="93" spans="1:26" x14ac:dyDescent="0.3">
      <c r="A93" s="4" t="s">
        <v>20</v>
      </c>
      <c r="B93" t="str">
        <f>PROPER(_supplyTable[[#This Row],[Product Type]])</f>
        <v>Haircare</v>
      </c>
      <c r="C93" s="4" t="s">
        <v>42</v>
      </c>
      <c r="D93" s="25">
        <v>44653</v>
      </c>
      <c r="E93" s="10">
        <f>MONTH(_supplyTable[[#This Row],[Date]])</f>
        <v>4</v>
      </c>
      <c r="F93" s="6">
        <v>71.209999999999994</v>
      </c>
      <c r="G93" s="10">
        <v>41</v>
      </c>
      <c r="H93" s="10">
        <v>336</v>
      </c>
      <c r="I93" s="6">
        <v>2873.74</v>
      </c>
      <c r="J93" s="4" t="s">
        <v>43</v>
      </c>
      <c r="K93" s="10">
        <v>85</v>
      </c>
      <c r="L93" s="10">
        <v>4</v>
      </c>
      <c r="M93" s="4" t="s">
        <v>32</v>
      </c>
      <c r="N93" s="6">
        <v>1.33</v>
      </c>
      <c r="O93" s="4" t="s">
        <v>44</v>
      </c>
      <c r="P93" s="4" t="s">
        <v>36</v>
      </c>
      <c r="Q93" s="10">
        <v>3</v>
      </c>
      <c r="R93" t="str">
        <f>IFERROR(VLOOKUP(_supplyTable[[#This Row],[Lead Time]], Table7[#All], 3, TRUE), "No match")</f>
        <v>1-10</v>
      </c>
      <c r="S93" s="10">
        <v>563</v>
      </c>
      <c r="T93" s="10">
        <v>3</v>
      </c>
      <c r="U93" s="6">
        <v>32.32</v>
      </c>
      <c r="V93" s="4" t="s">
        <v>45</v>
      </c>
      <c r="W93" s="8">
        <v>2.16</v>
      </c>
      <c r="X93" s="4" t="s">
        <v>27</v>
      </c>
      <c r="Y93" s="4" t="s">
        <v>28</v>
      </c>
      <c r="Z93" s="6">
        <v>402.97</v>
      </c>
    </row>
    <row r="94" spans="1:26" x14ac:dyDescent="0.3">
      <c r="A94" s="4" t="s">
        <v>29</v>
      </c>
      <c r="B94" t="str">
        <f>PROPER(_supplyTable[[#This Row],[Product Type]])</f>
        <v>Skincare</v>
      </c>
      <c r="C94" s="4" t="s">
        <v>53</v>
      </c>
      <c r="D94" s="25">
        <v>44654</v>
      </c>
      <c r="E94" s="10">
        <f>MONTH(_supplyTable[[#This Row],[Date]])</f>
        <v>4</v>
      </c>
      <c r="F94" s="6">
        <v>7.55</v>
      </c>
      <c r="G94" s="10">
        <v>74</v>
      </c>
      <c r="H94" s="10">
        <v>280</v>
      </c>
      <c r="I94" s="6">
        <v>6453.8</v>
      </c>
      <c r="J94" s="4" t="s">
        <v>31</v>
      </c>
      <c r="K94" s="10">
        <v>78</v>
      </c>
      <c r="L94" s="10">
        <v>1</v>
      </c>
      <c r="M94" s="4" t="s">
        <v>23</v>
      </c>
      <c r="N94" s="6">
        <v>4.1900000000000004</v>
      </c>
      <c r="O94" s="4" t="s">
        <v>50</v>
      </c>
      <c r="P94" s="4" t="s">
        <v>48</v>
      </c>
      <c r="Q94" s="10">
        <v>3</v>
      </c>
      <c r="R94" t="str">
        <f>IFERROR(VLOOKUP(_supplyTable[[#This Row],[Lead Time]], Table7[#All], 3, TRUE), "No match")</f>
        <v>1-10</v>
      </c>
      <c r="S94" s="10">
        <v>399</v>
      </c>
      <c r="T94" s="10">
        <v>21</v>
      </c>
      <c r="U94" s="6">
        <v>77.11</v>
      </c>
      <c r="V94" s="4" t="s">
        <v>37</v>
      </c>
      <c r="W94" s="8">
        <v>1.01</v>
      </c>
      <c r="X94" s="4" t="s">
        <v>40</v>
      </c>
      <c r="Y94" s="4" t="s">
        <v>41</v>
      </c>
      <c r="Z94" s="6">
        <v>865.53</v>
      </c>
    </row>
    <row r="95" spans="1:26" x14ac:dyDescent="0.3">
      <c r="A95" s="4" t="s">
        <v>54</v>
      </c>
      <c r="B95" t="str">
        <f>PROPER(_supplyTable[[#This Row],[Product Type]])</f>
        <v>Cosmetics</v>
      </c>
      <c r="C95" s="4" t="s">
        <v>78</v>
      </c>
      <c r="D95" s="25">
        <v>44655</v>
      </c>
      <c r="E95" s="10">
        <f>MONTH(_supplyTable[[#This Row],[Date]])</f>
        <v>4</v>
      </c>
      <c r="F95" s="6">
        <v>84.96</v>
      </c>
      <c r="G95" s="10">
        <v>11</v>
      </c>
      <c r="H95" s="10">
        <v>449</v>
      </c>
      <c r="I95" s="6">
        <v>6541.33</v>
      </c>
      <c r="J95" s="4" t="s">
        <v>31</v>
      </c>
      <c r="K95" s="10">
        <v>85</v>
      </c>
      <c r="L95" s="10">
        <v>8</v>
      </c>
      <c r="M95" s="4" t="s">
        <v>34</v>
      </c>
      <c r="N95" s="6">
        <v>5.29</v>
      </c>
      <c r="O95" s="4" t="s">
        <v>50</v>
      </c>
      <c r="P95" s="4" t="s">
        <v>79</v>
      </c>
      <c r="Q95" s="10">
        <v>3</v>
      </c>
      <c r="R95" t="str">
        <f>IFERROR(VLOOKUP(_supplyTable[[#This Row],[Lead Time]], Table7[#All], 3, TRUE), "No match")</f>
        <v>1-10</v>
      </c>
      <c r="S95" s="10">
        <v>367</v>
      </c>
      <c r="T95" s="10">
        <v>2</v>
      </c>
      <c r="U95" s="6">
        <v>58</v>
      </c>
      <c r="V95" s="4" t="s">
        <v>37</v>
      </c>
      <c r="W95" s="8">
        <v>0.54</v>
      </c>
      <c r="X95" s="4" t="s">
        <v>52</v>
      </c>
      <c r="Y95" s="4" t="s">
        <v>57</v>
      </c>
      <c r="Z95" s="6">
        <v>553.41999999999996</v>
      </c>
    </row>
    <row r="96" spans="1:26" x14ac:dyDescent="0.3">
      <c r="A96" s="4" t="s">
        <v>20</v>
      </c>
      <c r="B96" t="str">
        <f>PROPER(_supplyTable[[#This Row],[Product Type]])</f>
        <v>Haircare</v>
      </c>
      <c r="C96" s="4" t="s">
        <v>115</v>
      </c>
      <c r="D96" s="25">
        <v>44656</v>
      </c>
      <c r="E96" s="10">
        <f>MONTH(_supplyTable[[#This Row],[Date]])</f>
        <v>4</v>
      </c>
      <c r="F96" s="6">
        <v>37.93</v>
      </c>
      <c r="G96" s="10">
        <v>29</v>
      </c>
      <c r="H96" s="10">
        <v>163</v>
      </c>
      <c r="I96" s="6">
        <v>3550.22</v>
      </c>
      <c r="J96" s="4" t="s">
        <v>22</v>
      </c>
      <c r="K96" s="10">
        <v>58</v>
      </c>
      <c r="L96" s="10">
        <v>8</v>
      </c>
      <c r="M96" s="4" t="s">
        <v>23</v>
      </c>
      <c r="N96" s="6">
        <v>1.19</v>
      </c>
      <c r="O96" s="4" t="s">
        <v>39</v>
      </c>
      <c r="P96" s="4" t="s">
        <v>48</v>
      </c>
      <c r="Q96" s="10">
        <v>2</v>
      </c>
      <c r="R96" t="str">
        <f>IFERROR(VLOOKUP(_supplyTable[[#This Row],[Lead Time]], Table7[#All], 3, TRUE), "No match")</f>
        <v>1-10</v>
      </c>
      <c r="S96" s="10">
        <v>375</v>
      </c>
      <c r="T96" s="10">
        <v>18</v>
      </c>
      <c r="U96" s="6">
        <v>97.11</v>
      </c>
      <c r="V96" s="4" t="s">
        <v>45</v>
      </c>
      <c r="W96" s="8">
        <v>1.98</v>
      </c>
      <c r="X96" s="4" t="s">
        <v>64</v>
      </c>
      <c r="Y96" s="4" t="s">
        <v>41</v>
      </c>
      <c r="Z96" s="6">
        <v>299.70999999999998</v>
      </c>
    </row>
    <row r="97" spans="1:26" x14ac:dyDescent="0.3">
      <c r="A97" s="4" t="s">
        <v>54</v>
      </c>
      <c r="B97" t="str">
        <f>PROPER(_supplyTable[[#This Row],[Product Type]])</f>
        <v>Cosmetics</v>
      </c>
      <c r="C97" s="4" t="s">
        <v>119</v>
      </c>
      <c r="D97" s="25">
        <v>44657</v>
      </c>
      <c r="E97" s="10">
        <f>MONTH(_supplyTable[[#This Row],[Date]])</f>
        <v>4</v>
      </c>
      <c r="F97" s="6">
        <v>6.38</v>
      </c>
      <c r="G97" s="10">
        <v>14</v>
      </c>
      <c r="H97" s="10">
        <v>637</v>
      </c>
      <c r="I97" s="6">
        <v>8180.34</v>
      </c>
      <c r="J97" s="4" t="s">
        <v>31</v>
      </c>
      <c r="K97" s="10">
        <v>26</v>
      </c>
      <c r="L97" s="10">
        <v>6</v>
      </c>
      <c r="M97" s="4" t="s">
        <v>32</v>
      </c>
      <c r="N97" s="6">
        <v>9.23</v>
      </c>
      <c r="O97" s="4" t="s">
        <v>39</v>
      </c>
      <c r="P97" s="4" t="s">
        <v>48</v>
      </c>
      <c r="Q97" s="10">
        <v>2</v>
      </c>
      <c r="R97" t="str">
        <f>IFERROR(VLOOKUP(_supplyTable[[#This Row],[Lead Time]], Table7[#All], 3, TRUE), "No match")</f>
        <v>1-10</v>
      </c>
      <c r="S97" s="10">
        <v>258</v>
      </c>
      <c r="T97" s="10">
        <v>10</v>
      </c>
      <c r="U97" s="6">
        <v>30.66</v>
      </c>
      <c r="V97" s="4" t="s">
        <v>26</v>
      </c>
      <c r="W97" s="8">
        <v>2.08</v>
      </c>
      <c r="X97" s="4" t="s">
        <v>27</v>
      </c>
      <c r="Y97" s="4" t="s">
        <v>41</v>
      </c>
      <c r="Z97" s="6">
        <v>405.17</v>
      </c>
    </row>
    <row r="98" spans="1:26" x14ac:dyDescent="0.3">
      <c r="A98" s="4" t="s">
        <v>54</v>
      </c>
      <c r="B98" t="str">
        <f>PROPER(_supplyTable[[#This Row],[Product Type]])</f>
        <v>Cosmetics</v>
      </c>
      <c r="C98" s="4" t="s">
        <v>76</v>
      </c>
      <c r="D98" s="25">
        <v>44658</v>
      </c>
      <c r="E98" s="10">
        <f>MONTH(_supplyTable[[#This Row],[Date]])</f>
        <v>4</v>
      </c>
      <c r="F98" s="6">
        <v>64.8</v>
      </c>
      <c r="G98" s="10">
        <v>63</v>
      </c>
      <c r="H98" s="10">
        <v>616</v>
      </c>
      <c r="I98" s="6">
        <v>5150</v>
      </c>
      <c r="J98" s="4" t="s">
        <v>22</v>
      </c>
      <c r="K98" s="10">
        <v>95</v>
      </c>
      <c r="L98" s="10">
        <v>9</v>
      </c>
      <c r="M98" s="4" t="s">
        <v>34</v>
      </c>
      <c r="N98" s="6">
        <v>4.8600000000000003</v>
      </c>
      <c r="O98" s="4" t="s">
        <v>35</v>
      </c>
      <c r="P98" s="4" t="s">
        <v>56</v>
      </c>
      <c r="Q98" s="10">
        <v>1</v>
      </c>
      <c r="R98" t="str">
        <f>IFERROR(VLOOKUP(_supplyTable[[#This Row],[Lead Time]], Table7[#All], 3, TRUE), "No match")</f>
        <v>1-10</v>
      </c>
      <c r="S98" s="10">
        <v>251</v>
      </c>
      <c r="T98" s="10">
        <v>23</v>
      </c>
      <c r="U98" s="6">
        <v>23.85</v>
      </c>
      <c r="V98" s="4" t="s">
        <v>45</v>
      </c>
      <c r="W98" s="8">
        <v>3.54</v>
      </c>
      <c r="X98" s="4" t="s">
        <v>52</v>
      </c>
      <c r="Y98" s="4" t="s">
        <v>41</v>
      </c>
      <c r="Z98" s="6">
        <v>371.26</v>
      </c>
    </row>
    <row r="99" spans="1:26" x14ac:dyDescent="0.3">
      <c r="A99" s="4" t="s">
        <v>20</v>
      </c>
      <c r="B99" t="str">
        <f>PROPER(_supplyTable[[#This Row],[Product Type]])</f>
        <v>Haircare</v>
      </c>
      <c r="C99" s="4" t="s">
        <v>88</v>
      </c>
      <c r="D99" s="25">
        <v>44659</v>
      </c>
      <c r="E99" s="10">
        <f>MONTH(_supplyTable[[#This Row],[Date]])</f>
        <v>4</v>
      </c>
      <c r="F99" s="6">
        <v>11.74</v>
      </c>
      <c r="G99" s="10">
        <v>6</v>
      </c>
      <c r="H99" s="10">
        <v>598</v>
      </c>
      <c r="I99" s="6">
        <v>5737.43</v>
      </c>
      <c r="J99" s="4" t="s">
        <v>43</v>
      </c>
      <c r="K99" s="10">
        <v>85</v>
      </c>
      <c r="L99" s="10">
        <v>9</v>
      </c>
      <c r="M99" s="4" t="s">
        <v>23</v>
      </c>
      <c r="N99" s="6">
        <v>3.69</v>
      </c>
      <c r="O99" s="4" t="s">
        <v>35</v>
      </c>
      <c r="P99" s="4" t="s">
        <v>25</v>
      </c>
      <c r="Q99" s="10">
        <v>1</v>
      </c>
      <c r="R99" t="str">
        <f>IFERROR(VLOOKUP(_supplyTable[[#This Row],[Lead Time]], Table7[#All], 3, TRUE), "No match")</f>
        <v>1-10</v>
      </c>
      <c r="S99" s="10">
        <v>206</v>
      </c>
      <c r="T99" s="10">
        <v>23</v>
      </c>
      <c r="U99" s="6">
        <v>26.28</v>
      </c>
      <c r="V99" s="4" t="s">
        <v>26</v>
      </c>
      <c r="W99" s="8">
        <v>0.37</v>
      </c>
      <c r="X99" s="4" t="s">
        <v>40</v>
      </c>
      <c r="Y99" s="4" t="s">
        <v>41</v>
      </c>
      <c r="Z99" s="6">
        <v>716.04</v>
      </c>
    </row>
    <row r="100" spans="1:26" x14ac:dyDescent="0.3">
      <c r="A100" s="4" t="s">
        <v>29</v>
      </c>
      <c r="B100" t="str">
        <f>PROPER(_supplyTable[[#This Row],[Product Type]])</f>
        <v>Skincare</v>
      </c>
      <c r="C100" s="4" t="s">
        <v>99</v>
      </c>
      <c r="D100" s="25">
        <v>44660</v>
      </c>
      <c r="E100" s="10">
        <f>MONTH(_supplyTable[[#This Row],[Date]])</f>
        <v>4</v>
      </c>
      <c r="F100" s="6">
        <v>30.34</v>
      </c>
      <c r="G100" s="10">
        <v>93</v>
      </c>
      <c r="H100" s="10">
        <v>242</v>
      </c>
      <c r="I100" s="6">
        <v>8232.33</v>
      </c>
      <c r="J100" s="4" t="s">
        <v>47</v>
      </c>
      <c r="K100" s="10">
        <v>54</v>
      </c>
      <c r="L100" s="10">
        <v>3</v>
      </c>
      <c r="M100" s="4" t="s">
        <v>23</v>
      </c>
      <c r="N100" s="6">
        <v>1.01</v>
      </c>
      <c r="O100" s="4" t="s">
        <v>50</v>
      </c>
      <c r="P100" s="4" t="s">
        <v>79</v>
      </c>
      <c r="Q100" s="10">
        <v>1</v>
      </c>
      <c r="R100" t="str">
        <f>IFERROR(VLOOKUP(_supplyTable[[#This Row],[Lead Time]], Table7[#All], 3, TRUE), "No match")</f>
        <v>1-10</v>
      </c>
      <c r="S100" s="10">
        <v>631</v>
      </c>
      <c r="T100" s="10">
        <v>17</v>
      </c>
      <c r="U100" s="6">
        <v>83.34</v>
      </c>
      <c r="V100" s="4" t="s">
        <v>26</v>
      </c>
      <c r="W100" s="8">
        <v>1.41</v>
      </c>
      <c r="X100" s="4" t="s">
        <v>40</v>
      </c>
      <c r="Y100" s="4" t="s">
        <v>28</v>
      </c>
      <c r="Z100" s="6">
        <v>750.74</v>
      </c>
    </row>
    <row r="101" spans="1:26" x14ac:dyDescent="0.3">
      <c r="A101" s="4" t="s">
        <v>20</v>
      </c>
      <c r="B101" t="str">
        <f>PROPER(_supplyTable[[#This Row],[Product Type]])</f>
        <v>Haircare</v>
      </c>
      <c r="C101" s="4" t="s">
        <v>122</v>
      </c>
      <c r="D101" s="25">
        <v>44661</v>
      </c>
      <c r="E101" s="10">
        <f>MONTH(_supplyTable[[#This Row],[Date]])</f>
        <v>4</v>
      </c>
      <c r="F101" s="6">
        <v>3.17</v>
      </c>
      <c r="G101" s="10">
        <v>64</v>
      </c>
      <c r="H101" s="10">
        <v>904</v>
      </c>
      <c r="I101" s="6">
        <v>5709.95</v>
      </c>
      <c r="J101" s="4" t="s">
        <v>31</v>
      </c>
      <c r="K101" s="10">
        <v>1</v>
      </c>
      <c r="L101" s="10">
        <v>5</v>
      </c>
      <c r="M101" s="4" t="s">
        <v>32</v>
      </c>
      <c r="N101" s="6">
        <v>5.24</v>
      </c>
      <c r="O101" s="4" t="s">
        <v>44</v>
      </c>
      <c r="P101" s="4" t="s">
        <v>79</v>
      </c>
      <c r="Q101" s="10">
        <v>1</v>
      </c>
      <c r="R101" t="str">
        <f>IFERROR(VLOOKUP(_supplyTable[[#This Row],[Lead Time]], Table7[#All], 3, TRUE), "No match")</f>
        <v>1-10</v>
      </c>
      <c r="S101" s="10">
        <v>919</v>
      </c>
      <c r="T101" s="10">
        <v>9</v>
      </c>
      <c r="U101" s="6">
        <v>80.58</v>
      </c>
      <c r="V101" s="4" t="s">
        <v>45</v>
      </c>
      <c r="W101" s="8">
        <v>0.4</v>
      </c>
      <c r="X101" s="4" t="s">
        <v>64</v>
      </c>
      <c r="Y101" s="4" t="s">
        <v>41</v>
      </c>
      <c r="Z101" s="6">
        <v>341.55</v>
      </c>
    </row>
  </sheetData>
  <mergeCells count="1">
    <mergeCell ref="AD4:AF4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667A4-81FC-4AE1-9552-90B1DB3E0ED2}">
  <dimension ref="A2:H28"/>
  <sheetViews>
    <sheetView workbookViewId="0">
      <selection activeCell="C29" sqref="C29"/>
    </sheetView>
  </sheetViews>
  <sheetFormatPr defaultRowHeight="14.4" x14ac:dyDescent="0.3"/>
  <cols>
    <col min="1" max="1" width="14.6640625" bestFit="1" customWidth="1"/>
    <col min="3" max="3" width="36.5546875" bestFit="1" customWidth="1"/>
    <col min="4" max="4" width="11.109375" bestFit="1" customWidth="1"/>
    <col min="7" max="7" width="11.109375" customWidth="1"/>
  </cols>
  <sheetData>
    <row r="2" spans="1:8" x14ac:dyDescent="0.3">
      <c r="B2" s="35" t="s">
        <v>151</v>
      </c>
      <c r="C2" s="35"/>
      <c r="D2" s="35"/>
      <c r="E2" s="35"/>
      <c r="F2" s="35"/>
      <c r="G2" s="35"/>
    </row>
    <row r="3" spans="1:8" x14ac:dyDescent="0.3">
      <c r="B3" s="11"/>
      <c r="C3" s="11"/>
      <c r="D3" s="11"/>
      <c r="E3" s="11"/>
      <c r="F3" s="11"/>
      <c r="G3" s="11"/>
    </row>
    <row r="4" spans="1:8" ht="18" x14ac:dyDescent="0.35">
      <c r="A4" s="13" t="s">
        <v>156</v>
      </c>
    </row>
    <row r="5" spans="1:8" x14ac:dyDescent="0.3">
      <c r="A5" s="34" t="s">
        <v>152</v>
      </c>
      <c r="B5" s="34"/>
      <c r="D5" s="12">
        <f>SUM('Supply Chain Data'!H:H)</f>
        <v>46099</v>
      </c>
      <c r="E5" s="34"/>
      <c r="F5" s="34"/>
      <c r="G5" s="34"/>
      <c r="H5" s="8"/>
    </row>
    <row r="6" spans="1:8" x14ac:dyDescent="0.3">
      <c r="A6" s="34" t="s">
        <v>153</v>
      </c>
      <c r="B6" s="34"/>
      <c r="C6" s="34"/>
      <c r="D6" s="12">
        <f>SUM('Supply Chain Data'!S:S)</f>
        <v>56784</v>
      </c>
    </row>
    <row r="7" spans="1:8" x14ac:dyDescent="0.3">
      <c r="A7" s="34" t="s">
        <v>154</v>
      </c>
      <c r="B7" s="34"/>
      <c r="C7" s="34"/>
      <c r="D7" s="12">
        <f>SUM('Supply Chain Data'!K:K)</f>
        <v>4922</v>
      </c>
    </row>
    <row r="8" spans="1:8" ht="18" x14ac:dyDescent="0.35">
      <c r="A8" s="13" t="s">
        <v>155</v>
      </c>
    </row>
    <row r="9" spans="1:8" x14ac:dyDescent="0.3">
      <c r="A9" s="34" t="s">
        <v>158</v>
      </c>
      <c r="B9" s="34"/>
      <c r="D9" s="10">
        <f xml:space="preserve"> AVERAGE('Supply Chain Data'!L:L)</f>
        <v>5.75</v>
      </c>
      <c r="E9" t="s">
        <v>157</v>
      </c>
    </row>
    <row r="10" spans="1:8" x14ac:dyDescent="0.3">
      <c r="A10" s="34" t="s">
        <v>159</v>
      </c>
      <c r="B10" s="34"/>
      <c r="D10" s="10">
        <f>AVERAGE('Supply Chain Data'!Q:Q)</f>
        <v>17.079999999999998</v>
      </c>
      <c r="E10" t="s">
        <v>157</v>
      </c>
    </row>
    <row r="11" spans="1:8" x14ac:dyDescent="0.3">
      <c r="A11" s="34"/>
      <c r="B11" s="34"/>
      <c r="C11" s="34"/>
      <c r="D11" s="10"/>
    </row>
    <row r="12" spans="1:8" x14ac:dyDescent="0.3">
      <c r="A12" s="2" t="s">
        <v>165</v>
      </c>
      <c r="B12" s="2"/>
      <c r="C12" t="s">
        <v>162</v>
      </c>
    </row>
    <row r="13" spans="1:8" x14ac:dyDescent="0.3">
      <c r="B13" t="s">
        <v>160</v>
      </c>
      <c r="D13">
        <f>_xlfn.DAYS('Supply Chain Data'!D101, 'Supply Chain Data'!D3)</f>
        <v>98</v>
      </c>
    </row>
    <row r="14" spans="1:8" x14ac:dyDescent="0.3">
      <c r="B14" t="s">
        <v>161</v>
      </c>
      <c r="D14" s="8">
        <f>D6/D13</f>
        <v>579.42857142857144</v>
      </c>
      <c r="E14" t="s">
        <v>163</v>
      </c>
      <c r="F14" t="s">
        <v>225</v>
      </c>
    </row>
    <row r="15" spans="1:8" x14ac:dyDescent="0.3">
      <c r="A15" s="2"/>
      <c r="B15" s="2"/>
    </row>
    <row r="16" spans="1:8" x14ac:dyDescent="0.3">
      <c r="A16" s="2" t="s">
        <v>164</v>
      </c>
      <c r="D16" s="14">
        <f>D5/D13</f>
        <v>470.39795918367349</v>
      </c>
      <c r="E16" t="s">
        <v>163</v>
      </c>
      <c r="F16" t="s">
        <v>226</v>
      </c>
    </row>
    <row r="17" spans="1:6" x14ac:dyDescent="0.3">
      <c r="F17">
        <v>580</v>
      </c>
    </row>
    <row r="18" spans="1:6" x14ac:dyDescent="0.3">
      <c r="A18" s="35" t="s">
        <v>174</v>
      </c>
      <c r="B18" s="35"/>
      <c r="D18" s="6">
        <f>SUM('Supply Chain Data'!U:U)</f>
        <v>4726.6399999999976</v>
      </c>
      <c r="F18">
        <v>471</v>
      </c>
    </row>
    <row r="19" spans="1:6" x14ac:dyDescent="0.3">
      <c r="A19" s="35" t="s">
        <v>175</v>
      </c>
      <c r="B19" s="35"/>
      <c r="D19" s="6">
        <f>SUM('Supply Chain Data'!Z:Z)</f>
        <v>52924.57</v>
      </c>
    </row>
    <row r="20" spans="1:6" x14ac:dyDescent="0.3">
      <c r="A20" s="2" t="s">
        <v>168</v>
      </c>
      <c r="D20" s="6">
        <f>SUM('Supply Chain Data'!I:I)</f>
        <v>577604.85999999987</v>
      </c>
    </row>
    <row r="21" spans="1:6" x14ac:dyDescent="0.3">
      <c r="A21" s="2" t="s">
        <v>173</v>
      </c>
      <c r="D21" s="6">
        <f>SUM('Supply Chain Data'!U:U, 'Supply Chain Data'!Z:Z)</f>
        <v>57651.210000000014</v>
      </c>
    </row>
    <row r="22" spans="1:6" x14ac:dyDescent="0.3">
      <c r="A22" s="2" t="s">
        <v>169</v>
      </c>
      <c r="B22" s="34" t="s">
        <v>170</v>
      </c>
      <c r="C22" s="34"/>
      <c r="D22" s="6">
        <f>D20-D21</f>
        <v>519953.64999999985</v>
      </c>
    </row>
    <row r="23" spans="1:6" x14ac:dyDescent="0.3">
      <c r="A23" s="11" t="s">
        <v>171</v>
      </c>
      <c r="B23" s="34" t="s">
        <v>172</v>
      </c>
      <c r="C23" s="34"/>
      <c r="D23" s="16">
        <f>(D22/D20)</f>
        <v>0.90018918815883919</v>
      </c>
    </row>
    <row r="25" spans="1:6" x14ac:dyDescent="0.3">
      <c r="A25" s="2" t="s">
        <v>223</v>
      </c>
      <c r="D25" s="8">
        <f>AVERAGE('Supply Chain Data'!W:W)</f>
        <v>2.2770999999999999</v>
      </c>
    </row>
    <row r="28" spans="1:6" x14ac:dyDescent="0.3">
      <c r="A28" s="2"/>
    </row>
  </sheetData>
  <mergeCells count="12">
    <mergeCell ref="A9:B9"/>
    <mergeCell ref="B2:G2"/>
    <mergeCell ref="A5:B5"/>
    <mergeCell ref="A6:C6"/>
    <mergeCell ref="A7:C7"/>
    <mergeCell ref="E5:G5"/>
    <mergeCell ref="B22:C22"/>
    <mergeCell ref="B23:C23"/>
    <mergeCell ref="A18:B18"/>
    <mergeCell ref="A19:B19"/>
    <mergeCell ref="A10:B10"/>
    <mergeCell ref="A11:C1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F901-6ADD-4326-BA59-11A0DB61CA39}">
  <dimension ref="A2:B15"/>
  <sheetViews>
    <sheetView workbookViewId="0">
      <selection activeCell="N7" sqref="N7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8.21875" bestFit="1" customWidth="1"/>
    <col min="4" max="4" width="9.88671875" bestFit="1" customWidth="1"/>
    <col min="5" max="5" width="10.5546875" bestFit="1" customWidth="1"/>
  </cols>
  <sheetData>
    <row r="2" spans="1:2" x14ac:dyDescent="0.3">
      <c r="A2" s="21" t="s">
        <v>191</v>
      </c>
      <c r="B2" t="s">
        <v>193</v>
      </c>
    </row>
    <row r="3" spans="1:2" x14ac:dyDescent="0.3">
      <c r="A3" s="22" t="s">
        <v>199</v>
      </c>
      <c r="B3">
        <v>1540</v>
      </c>
    </row>
    <row r="4" spans="1:2" x14ac:dyDescent="0.3">
      <c r="A4" s="23" t="s">
        <v>181</v>
      </c>
      <c r="B4">
        <v>612</v>
      </c>
    </row>
    <row r="5" spans="1:2" x14ac:dyDescent="0.3">
      <c r="A5" s="23" t="s">
        <v>177</v>
      </c>
      <c r="B5">
        <v>600</v>
      </c>
    </row>
    <row r="6" spans="1:2" x14ac:dyDescent="0.3">
      <c r="A6" s="23" t="s">
        <v>178</v>
      </c>
      <c r="B6">
        <v>328</v>
      </c>
    </row>
    <row r="7" spans="1:2" x14ac:dyDescent="0.3">
      <c r="A7" s="22" t="s">
        <v>200</v>
      </c>
      <c r="B7">
        <v>1302</v>
      </c>
    </row>
    <row r="8" spans="1:2" x14ac:dyDescent="0.3">
      <c r="A8" s="23" t="s">
        <v>177</v>
      </c>
      <c r="B8">
        <v>561</v>
      </c>
    </row>
    <row r="9" spans="1:2" x14ac:dyDescent="0.3">
      <c r="A9" s="23" t="s">
        <v>181</v>
      </c>
      <c r="B9">
        <v>428</v>
      </c>
    </row>
    <row r="10" spans="1:2" x14ac:dyDescent="0.3">
      <c r="A10" s="23" t="s">
        <v>178</v>
      </c>
      <c r="B10">
        <v>313</v>
      </c>
    </row>
    <row r="11" spans="1:2" x14ac:dyDescent="0.3">
      <c r="A11" s="22" t="s">
        <v>198</v>
      </c>
      <c r="B11">
        <v>2080</v>
      </c>
    </row>
    <row r="12" spans="1:2" x14ac:dyDescent="0.3">
      <c r="A12" s="23" t="s">
        <v>177</v>
      </c>
      <c r="B12">
        <v>938</v>
      </c>
    </row>
    <row r="13" spans="1:2" x14ac:dyDescent="0.3">
      <c r="A13" s="23" t="s">
        <v>178</v>
      </c>
      <c r="B13">
        <v>839</v>
      </c>
    </row>
    <row r="14" spans="1:2" x14ac:dyDescent="0.3">
      <c r="A14" s="23" t="s">
        <v>181</v>
      </c>
      <c r="B14">
        <v>303</v>
      </c>
    </row>
    <row r="15" spans="1:2" x14ac:dyDescent="0.3">
      <c r="A15" s="22" t="s">
        <v>192</v>
      </c>
      <c r="B15">
        <v>4922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E88F2-11E1-4020-BE22-A5847A8E1E2C}">
  <dimension ref="B4:J19"/>
  <sheetViews>
    <sheetView zoomScale="80" zoomScaleNormal="80" workbookViewId="0">
      <selection activeCell="D11" sqref="D11"/>
    </sheetView>
  </sheetViews>
  <sheetFormatPr defaultRowHeight="14.4" x14ac:dyDescent="0.3"/>
  <cols>
    <col min="2" max="2" width="10.6640625" customWidth="1"/>
    <col min="3" max="3" width="25" customWidth="1"/>
    <col min="4" max="4" width="21.77734375" bestFit="1" customWidth="1"/>
    <col min="5" max="5" width="14.77734375" bestFit="1" customWidth="1"/>
    <col min="6" max="6" width="19.88671875" bestFit="1" customWidth="1"/>
    <col min="7" max="7" width="16" bestFit="1" customWidth="1"/>
    <col min="8" max="8" width="18.6640625" customWidth="1"/>
    <col min="9" max="9" width="19.6640625" customWidth="1"/>
    <col min="10" max="10" width="20" customWidth="1"/>
  </cols>
  <sheetData>
    <row r="4" spans="2:10" x14ac:dyDescent="0.3">
      <c r="B4" s="2" t="s">
        <v>180</v>
      </c>
      <c r="C4" s="2" t="s">
        <v>183</v>
      </c>
      <c r="D4" s="2" t="s">
        <v>186</v>
      </c>
      <c r="E4" s="2" t="s">
        <v>182</v>
      </c>
      <c r="F4" s="2" t="s">
        <v>6</v>
      </c>
      <c r="G4" s="2" t="s">
        <v>184</v>
      </c>
      <c r="H4" s="2" t="s">
        <v>185</v>
      </c>
      <c r="I4" s="2" t="s">
        <v>15</v>
      </c>
      <c r="J4" s="2" t="s">
        <v>166</v>
      </c>
    </row>
    <row r="5" spans="2:10" x14ac:dyDescent="0.3">
      <c r="B5" t="s">
        <v>177</v>
      </c>
      <c r="C5">
        <f>SUMIF('Supply Chain Data'!B:B, 'Product Analysis'!B5, 'Supply Chain Data'!H:H)</f>
        <v>20731</v>
      </c>
      <c r="D5" s="6">
        <f>AVERAGEIF('Supply Chain Data'!B:B, 'Product Analysis'!B5, 'Supply Chain Data'!F:F)</f>
        <v>47.259499999999989</v>
      </c>
      <c r="E5" s="6">
        <f>SUMIF('Supply Chain Data'!B:B, 'Product Analysis'!B5, 'Supply Chain Data'!I:I)</f>
        <v>241628.17</v>
      </c>
      <c r="F5">
        <f>SUMIF('Supply Chain Data'!B:B, 'Product Analysis'!B5, 'Supply Chain Data'!K:K)</f>
        <v>2099</v>
      </c>
      <c r="G5" s="10">
        <f>AVERAGEIF('Supply Chain Data'!B:B, 'Product Analysis'!B5, 'Supply Chain Data'!Q:Q)</f>
        <v>18</v>
      </c>
      <c r="H5">
        <f>SUMIF('Supply Chain Data'!B:B, 'Product Analysis'!B5, 'Supply Chain Data'!S:S)</f>
        <v>24366</v>
      </c>
      <c r="I5" s="17">
        <f>SUMIF('Supply Chain Data'!B:B, 'Product Analysis'!B5, 'Supply Chain Data'!U:U)</f>
        <v>1959.7299999999996</v>
      </c>
      <c r="J5" s="6">
        <f>SUMIF('Supply Chain Data'!B:B, 'Product Analysis'!B5, 'Supply Chain Data'!Z:Z)</f>
        <v>22229.320000000003</v>
      </c>
    </row>
    <row r="6" spans="2:10" x14ac:dyDescent="0.3">
      <c r="B6" t="s">
        <v>178</v>
      </c>
      <c r="C6">
        <f>SUMIF('Supply Chain Data'!B:B, 'Product Analysis'!B6, 'Supply Chain Data'!H:H)</f>
        <v>13611</v>
      </c>
      <c r="D6" s="6">
        <f>AVERAGEIF('Supply Chain Data'!B:B, 'Product Analysis'!B6, 'Supply Chain Data'!F:F)</f>
        <v>46.014117647058832</v>
      </c>
      <c r="E6" s="6">
        <f>SUMIF('Supply Chain Data'!B:B, 'Product Analysis'!B6, 'Supply Chain Data'!I:I)</f>
        <v>174455.41999999998</v>
      </c>
      <c r="F6">
        <f>SUMIF('Supply Chain Data'!B:B, 'Product Analysis'!B6, 'Supply Chain Data'!K:K)</f>
        <v>1480</v>
      </c>
      <c r="G6" s="10">
        <f>AVERAGEIF('Supply Chain Data'!B:B, 'Product Analysis'!B6, 'Supply Chain Data'!Q:Q)</f>
        <v>18.705882352941178</v>
      </c>
      <c r="H6">
        <f>SUMIF('Supply Chain Data'!B:B, 'Product Analysis'!B6, 'Supply Chain Data'!S:S)</f>
        <v>19957</v>
      </c>
      <c r="I6" s="17">
        <f>SUMIF('Supply Chain Data'!B:B, 'Product Analysis'!B6, 'Supply Chain Data'!U:U)</f>
        <v>1647.56</v>
      </c>
      <c r="J6" s="6">
        <f>SUMIF('Supply Chain Data'!B:B, 'Product Analysis'!B6, 'Supply Chain Data'!Z:Z)</f>
        <v>17328.84</v>
      </c>
    </row>
    <row r="7" spans="2:10" x14ac:dyDescent="0.3">
      <c r="B7" t="s">
        <v>181</v>
      </c>
      <c r="C7">
        <f>SUMIF('Supply Chain Data'!B:B, 'Product Analysis'!B7, 'Supply Chain Data'!H:H)</f>
        <v>11757</v>
      </c>
      <c r="D7" s="6">
        <f>AVERAGEIF('Supply Chain Data'!B:B, 'Product Analysis'!B7, 'Supply Chain Data'!F:F)</f>
        <v>57.361153846153847</v>
      </c>
      <c r="E7" s="6">
        <f>SUMIF('Supply Chain Data'!B:B, 'Product Analysis'!B7, 'Supply Chain Data'!I:I)</f>
        <v>161521.26999999996</v>
      </c>
      <c r="F7">
        <f>SUMIF('Supply Chain Data'!B:B, 'Product Analysis'!B7, 'Supply Chain Data'!K:K)</f>
        <v>1343</v>
      </c>
      <c r="G7" s="10">
        <f>AVERAGEIF('Supply Chain Data'!B:B, 'Product Analysis'!B7, 'Supply Chain Data'!Q:Q)</f>
        <v>13.538461538461538</v>
      </c>
      <c r="H7">
        <f>SUMIF('Supply Chain Data'!B:B, 'Product Analysis'!B7, 'Supply Chain Data'!S:S)</f>
        <v>12461</v>
      </c>
      <c r="I7" s="17">
        <f>SUMIF('Supply Chain Data'!B:B, 'Product Analysis'!B7, 'Supply Chain Data'!U:U)</f>
        <v>1119.3499999999997</v>
      </c>
      <c r="J7" s="6">
        <f>SUMIF('Supply Chain Data'!B:B, 'Product Analysis'!B7, 'Supply Chain Data'!Z:Z)</f>
        <v>13366.410000000003</v>
      </c>
    </row>
    <row r="8" spans="2:10" x14ac:dyDescent="0.3">
      <c r="D8" s="6"/>
      <c r="E8" s="6"/>
      <c r="G8" s="10"/>
      <c r="I8" s="17"/>
      <c r="J8" s="6"/>
    </row>
    <row r="10" spans="2:10" x14ac:dyDescent="0.3">
      <c r="B10" t="s">
        <v>180</v>
      </c>
      <c r="C10" t="s">
        <v>187</v>
      </c>
      <c r="D10" t="s">
        <v>189</v>
      </c>
      <c r="E10" t="s">
        <v>179</v>
      </c>
      <c r="F10" t="s">
        <v>190</v>
      </c>
    </row>
    <row r="11" spans="2:10" x14ac:dyDescent="0.3">
      <c r="B11" t="s">
        <v>177</v>
      </c>
      <c r="C11">
        <v>2099</v>
      </c>
      <c r="D11" s="20">
        <f>C11/C14</f>
        <v>0.42645266151970745</v>
      </c>
      <c r="E11">
        <f t="shared" ref="E11:E13" si="0">C5</f>
        <v>20731</v>
      </c>
      <c r="F11" s="20">
        <f t="shared" ref="F11" si="1">E11/E14</f>
        <v>0.44970606737673269</v>
      </c>
    </row>
    <row r="12" spans="2:10" x14ac:dyDescent="0.3">
      <c r="B12" t="s">
        <v>178</v>
      </c>
      <c r="C12">
        <v>1480</v>
      </c>
      <c r="D12" s="20">
        <f>C12/C14</f>
        <v>0.30069077610727346</v>
      </c>
      <c r="E12">
        <f t="shared" si="0"/>
        <v>13611</v>
      </c>
      <c r="F12" s="20">
        <f>E12/E14</f>
        <v>0.29525586238313195</v>
      </c>
    </row>
    <row r="13" spans="2:10" x14ac:dyDescent="0.3">
      <c r="B13" t="s">
        <v>181</v>
      </c>
      <c r="C13">
        <v>1343</v>
      </c>
      <c r="D13" s="20">
        <f>C13/C14</f>
        <v>0.27285656237301908</v>
      </c>
      <c r="E13">
        <f t="shared" si="0"/>
        <v>11757</v>
      </c>
      <c r="F13" s="20">
        <f>E13/E14</f>
        <v>0.25503807024013536</v>
      </c>
    </row>
    <row r="14" spans="2:10" x14ac:dyDescent="0.3">
      <c r="B14" s="2" t="s">
        <v>188</v>
      </c>
      <c r="C14" s="2">
        <f>SUM(C11:C13)</f>
        <v>4922</v>
      </c>
      <c r="D14" s="19">
        <f>SUM(D11:D13)</f>
        <v>1</v>
      </c>
      <c r="E14" s="2">
        <f>SUM(E11:E13)</f>
        <v>46099</v>
      </c>
      <c r="F14" s="19">
        <f>SUM(F11:F13)</f>
        <v>1</v>
      </c>
    </row>
    <row r="16" spans="2:10" x14ac:dyDescent="0.3">
      <c r="B16" t="s">
        <v>201</v>
      </c>
    </row>
    <row r="17" spans="2:3" x14ac:dyDescent="0.3">
      <c r="B17" t="s">
        <v>177</v>
      </c>
      <c r="C17" s="10"/>
    </row>
    <row r="18" spans="2:3" x14ac:dyDescent="0.3">
      <c r="B18" t="s">
        <v>178</v>
      </c>
      <c r="C18" s="10"/>
    </row>
    <row r="19" spans="2:3" x14ac:dyDescent="0.3">
      <c r="B19" t="s">
        <v>181</v>
      </c>
      <c r="C19" s="10"/>
    </row>
  </sheetData>
  <conditionalFormatting sqref="E5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80CE-D168-4D06-8EB1-F559A860A30E}">
  <dimension ref="A2:J29"/>
  <sheetViews>
    <sheetView zoomScale="70" zoomScaleNormal="70" workbookViewId="0">
      <selection activeCell="R29" sqref="R29"/>
    </sheetView>
  </sheetViews>
  <sheetFormatPr defaultRowHeight="14.4" x14ac:dyDescent="0.3"/>
  <cols>
    <col min="1" max="1" width="12.33203125" style="1" customWidth="1"/>
    <col min="2" max="2" width="16.77734375" customWidth="1"/>
    <col min="3" max="3" width="18.6640625" customWidth="1"/>
    <col min="4" max="4" width="18.77734375" bestFit="1" customWidth="1"/>
    <col min="5" max="5" width="22.88671875" bestFit="1" customWidth="1"/>
    <col min="6" max="6" width="10.33203125" bestFit="1" customWidth="1"/>
    <col min="7" max="7" width="12.5546875" bestFit="1" customWidth="1"/>
    <col min="8" max="8" width="16.109375" bestFit="1" customWidth="1"/>
    <col min="9" max="9" width="16.5546875" bestFit="1" customWidth="1"/>
    <col min="10" max="10" width="12.77734375" bestFit="1" customWidth="1"/>
    <col min="11" max="11" width="17.44140625" bestFit="1" customWidth="1"/>
  </cols>
  <sheetData>
    <row r="2" spans="1:10" x14ac:dyDescent="0.3">
      <c r="A2" s="1" t="s">
        <v>202</v>
      </c>
      <c r="B2" t="s">
        <v>208</v>
      </c>
      <c r="C2" t="s">
        <v>203</v>
      </c>
      <c r="D2" t="s">
        <v>204</v>
      </c>
      <c r="E2" t="s">
        <v>207</v>
      </c>
      <c r="F2" t="s">
        <v>205</v>
      </c>
      <c r="G2" t="s">
        <v>206</v>
      </c>
    </row>
    <row r="3" spans="1:10" x14ac:dyDescent="0.3">
      <c r="A3" s="10">
        <v>1</v>
      </c>
      <c r="B3" s="6">
        <f>SUMIF('Supply Chain Data'!E:E, Table9[[#This Row],[Month]], 'Supply Chain Data'!I:I)</f>
        <v>177326.26999999996</v>
      </c>
      <c r="C3">
        <f>SUMIF('Supply Chain Data'!E:E, Table9[[#This Row],[Month]], 'Supply Chain Data'!H:H)</f>
        <v>14442</v>
      </c>
      <c r="D3" s="6">
        <f>Table9[[#This Row],[Current Revenue ]]</f>
        <v>177326.26999999996</v>
      </c>
      <c r="E3" s="6">
        <f>Table9[[#This Row],[Projected Revenue]]</f>
        <v>177326.26999999996</v>
      </c>
      <c r="F3" s="6"/>
      <c r="G3" s="15"/>
    </row>
    <row r="4" spans="1:10" x14ac:dyDescent="0.3">
      <c r="A4" s="10">
        <v>2</v>
      </c>
      <c r="B4" s="6">
        <f>SUMIF('Supply Chain Data'!E:E, Table9[[#This Row],[Month]], 'Supply Chain Data'!I:I)</f>
        <v>149916.37000000002</v>
      </c>
      <c r="C4">
        <f>SUMIF('Supply Chain Data'!E:E, Table9[[#This Row],[Month]], 'Supply Chain Data'!H:H)</f>
        <v>13884</v>
      </c>
      <c r="D4" s="6">
        <f>((5/100)*D3) + D3</f>
        <v>186192.58349999995</v>
      </c>
      <c r="E4" s="6">
        <f>Table9[[#This Row],[Current Revenue ]]-Table9[[#This Row],[Projected Revenue]]</f>
        <v>-36276.213499999925</v>
      </c>
      <c r="F4" s="6">
        <f>Table9[[#This Row],[Projected Revenue]]-D3</f>
        <v>8866.3134999999893</v>
      </c>
      <c r="G4" s="15">
        <v>0.05</v>
      </c>
    </row>
    <row r="5" spans="1:10" x14ac:dyDescent="0.3">
      <c r="A5" s="10">
        <v>3</v>
      </c>
      <c r="B5" s="6">
        <f>SUMIF('Supply Chain Data'!E:E, Table9[[#This Row],[Month]], 'Supply Chain Data'!I:I)</f>
        <v>195832.94999999998</v>
      </c>
      <c r="C5">
        <f>SUMIF('Supply Chain Data'!E:E, Table9[[#This Row],[Month]], 'Supply Chain Data'!H:H)</f>
        <v>13272</v>
      </c>
      <c r="D5" s="6">
        <f>((5/100)*D4) +D4</f>
        <v>195502.21267499996</v>
      </c>
      <c r="E5" s="6">
        <f>Table9[[#This Row],[Current Revenue ]]-Table9[[#This Row],[Projected Revenue]]</f>
        <v>330.7373250000237</v>
      </c>
      <c r="F5" s="6">
        <f>Table9[[#This Row],[Projected Revenue]]-D4</f>
        <v>9309.6291750000091</v>
      </c>
      <c r="G5" s="15">
        <v>0.05</v>
      </c>
    </row>
    <row r="6" spans="1:10" x14ac:dyDescent="0.3">
      <c r="A6" s="10">
        <v>4</v>
      </c>
      <c r="B6" s="6">
        <f>SUMIF('Supply Chain Data'!E:E, Table9[[#This Row],[Month]], 'Supply Chain Data'!I:I)</f>
        <v>54529.27</v>
      </c>
      <c r="C6">
        <f>SUMIF('Supply Chain Data'!E:E, Table9[[#This Row],[Month]], 'Supply Chain Data'!H:H)</f>
        <v>4501</v>
      </c>
      <c r="D6" s="6"/>
      <c r="E6" s="6">
        <f>D5</f>
        <v>195502.21267499996</v>
      </c>
      <c r="F6" s="6"/>
      <c r="G6" s="15"/>
    </row>
    <row r="7" spans="1:10" x14ac:dyDescent="0.3">
      <c r="H7" s="29" t="s">
        <v>202</v>
      </c>
      <c r="I7" s="28" t="s">
        <v>208</v>
      </c>
      <c r="J7" s="28" t="s">
        <v>204</v>
      </c>
    </row>
    <row r="8" spans="1:10" x14ac:dyDescent="0.3">
      <c r="H8" s="30">
        <v>1</v>
      </c>
      <c r="I8" s="31">
        <f>B3</f>
        <v>177326.26999999996</v>
      </c>
      <c r="J8" s="31">
        <f>D3</f>
        <v>177326.26999999996</v>
      </c>
    </row>
    <row r="9" spans="1:10" x14ac:dyDescent="0.3">
      <c r="A9" s="1" t="s">
        <v>209</v>
      </c>
      <c r="B9" t="s">
        <v>210</v>
      </c>
      <c r="C9" s="6" t="s">
        <v>211</v>
      </c>
      <c r="D9" t="s">
        <v>176</v>
      </c>
      <c r="H9" s="32">
        <v>2</v>
      </c>
      <c r="I9" s="31">
        <f t="shared" ref="I9:I10" si="0">B4</f>
        <v>149916.37000000002</v>
      </c>
      <c r="J9" s="33">
        <f>((5/100)*J8) + J8</f>
        <v>186192.58349999995</v>
      </c>
    </row>
    <row r="10" spans="1:10" x14ac:dyDescent="0.3">
      <c r="A10" s="10">
        <v>1</v>
      </c>
      <c r="B10" s="18">
        <f>E3/D3</f>
        <v>1</v>
      </c>
      <c r="C10" s="6">
        <f t="shared" ref="C10:C12" si="1">E3</f>
        <v>177326.26999999996</v>
      </c>
      <c r="D10" s="18">
        <f>1-Table10[[#This Row],[Performance %]]</f>
        <v>0</v>
      </c>
      <c r="E10" t="s">
        <v>228</v>
      </c>
      <c r="H10" s="30">
        <v>3</v>
      </c>
      <c r="I10" s="31">
        <f t="shared" si="0"/>
        <v>195832.94999999998</v>
      </c>
      <c r="J10" s="31">
        <f>((5/100)*J9) +J9</f>
        <v>195502.21267499996</v>
      </c>
    </row>
    <row r="11" spans="1:10" x14ac:dyDescent="0.3">
      <c r="A11" s="10">
        <v>2</v>
      </c>
      <c r="B11" s="18">
        <f>E4/D4</f>
        <v>-0.19483167813716884</v>
      </c>
      <c r="C11" s="6">
        <f t="shared" si="1"/>
        <v>-36276.213499999925</v>
      </c>
      <c r="D11" s="18">
        <f>1-Table10[[#This Row],[Performance %]]</f>
        <v>1.1948316781371688</v>
      </c>
      <c r="H11">
        <v>4</v>
      </c>
      <c r="I11" s="6">
        <f>B6</f>
        <v>54529.27</v>
      </c>
      <c r="J11" s="6">
        <f>C19</f>
        <v>205277.32330874997</v>
      </c>
    </row>
    <row r="12" spans="1:10" x14ac:dyDescent="0.3">
      <c r="A12" s="10">
        <v>3</v>
      </c>
      <c r="B12" s="18">
        <f>E5/D5</f>
        <v>1.6917318759447323E-3</v>
      </c>
      <c r="C12" s="6">
        <f t="shared" si="1"/>
        <v>330.7373250000237</v>
      </c>
      <c r="D12" s="16">
        <f>1-Table10[[#This Row],[Performance %]]</f>
        <v>0.99830826812405526</v>
      </c>
    </row>
    <row r="14" spans="1:10" x14ac:dyDescent="0.3">
      <c r="B14" s="18"/>
    </row>
    <row r="15" spans="1:10" x14ac:dyDescent="0.3">
      <c r="A15" s="1" t="s">
        <v>228</v>
      </c>
    </row>
    <row r="17" spans="1:6" x14ac:dyDescent="0.3">
      <c r="A17" s="1" t="s">
        <v>202</v>
      </c>
      <c r="B17" t="s">
        <v>208</v>
      </c>
      <c r="C17" t="s">
        <v>212</v>
      </c>
      <c r="D17" t="s">
        <v>206</v>
      </c>
    </row>
    <row r="18" spans="1:6" x14ac:dyDescent="0.3">
      <c r="A18" s="10">
        <v>3</v>
      </c>
      <c r="B18" s="6">
        <f>B5</f>
        <v>195832.94999999998</v>
      </c>
      <c r="C18" s="6">
        <f>D5</f>
        <v>195502.21267499996</v>
      </c>
      <c r="D18" s="15">
        <f>5/100</f>
        <v>0.05</v>
      </c>
    </row>
    <row r="19" spans="1:6" x14ac:dyDescent="0.3">
      <c r="A19" s="10">
        <v>4</v>
      </c>
      <c r="B19" s="6">
        <f>B6</f>
        <v>54529.27</v>
      </c>
      <c r="C19" s="6">
        <f>((5/100)*C18)+C18</f>
        <v>205277.32330874997</v>
      </c>
      <c r="D19" s="15">
        <f>5/100</f>
        <v>0.05</v>
      </c>
    </row>
    <row r="21" spans="1:6" x14ac:dyDescent="0.3">
      <c r="A21" s="36" t="s">
        <v>213</v>
      </c>
      <c r="B21" s="36"/>
      <c r="C21" s="36"/>
      <c r="D21" s="36"/>
      <c r="E21" s="36"/>
    </row>
    <row r="22" spans="1:6" x14ac:dyDescent="0.3">
      <c r="A22" s="1" t="s">
        <v>217</v>
      </c>
      <c r="C22" s="6">
        <f>C19-B19</f>
        <v>150748.05330874998</v>
      </c>
      <c r="E22" s="1">
        <v>44661</v>
      </c>
      <c r="F22" t="s">
        <v>216</v>
      </c>
    </row>
    <row r="23" spans="1:6" x14ac:dyDescent="0.3">
      <c r="A23" s="1" t="s">
        <v>218</v>
      </c>
      <c r="C23" s="6">
        <f>C22/E24</f>
        <v>7537.4026654374993</v>
      </c>
      <c r="E23" s="1">
        <v>44681</v>
      </c>
      <c r="F23" t="s">
        <v>215</v>
      </c>
    </row>
    <row r="24" spans="1:6" x14ac:dyDescent="0.3">
      <c r="E24">
        <f>_xlfn.DAYS(E23, E22)</f>
        <v>20</v>
      </c>
      <c r="F24" t="s">
        <v>214</v>
      </c>
    </row>
    <row r="25" spans="1:6" x14ac:dyDescent="0.3">
      <c r="A25" s="1" t="s">
        <v>219</v>
      </c>
      <c r="B25" s="6"/>
      <c r="C25" s="6">
        <f>SUM('Supply Chain Data'!I:I)</f>
        <v>577604.85999999987</v>
      </c>
      <c r="D25" s="6">
        <f>C25/C26</f>
        <v>12.529661380941015</v>
      </c>
    </row>
    <row r="26" spans="1:6" x14ac:dyDescent="0.3">
      <c r="C26" s="12">
        <f>SUM('Supply Chain Data'!H:H)</f>
        <v>46099</v>
      </c>
      <c r="D26" s="6"/>
    </row>
    <row r="27" spans="1:6" x14ac:dyDescent="0.3">
      <c r="A27" s="1" t="s">
        <v>220</v>
      </c>
      <c r="C27" s="10">
        <f>C23/D25</f>
        <v>601.56475392884226</v>
      </c>
      <c r="E27" s="12"/>
    </row>
    <row r="29" spans="1:6" x14ac:dyDescent="0.3">
      <c r="C29" s="10"/>
    </row>
  </sheetData>
  <mergeCells count="1">
    <mergeCell ref="A21:E21"/>
  </mergeCells>
  <phoneticPr fontId="19" type="noConversion"/>
  <conditionalFormatting sqref="B10:B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7777-CBAC-426B-9A94-CC7B88101BB0}">
  <dimension ref="A2:I24"/>
  <sheetViews>
    <sheetView zoomScale="60" zoomScaleNormal="60" workbookViewId="0">
      <selection activeCell="I35" sqref="I35"/>
    </sheetView>
  </sheetViews>
  <sheetFormatPr defaultRowHeight="14.4" x14ac:dyDescent="0.3"/>
  <cols>
    <col min="1" max="1" width="13.5546875" bestFit="1" customWidth="1"/>
    <col min="2" max="4" width="30" bestFit="1" customWidth="1"/>
    <col min="5" max="5" width="31.21875" customWidth="1"/>
    <col min="6" max="6" width="28.109375" customWidth="1"/>
    <col min="7" max="7" width="13.5546875" bestFit="1" customWidth="1"/>
    <col min="8" max="8" width="30" bestFit="1" customWidth="1"/>
    <col min="9" max="9" width="23.44140625" bestFit="1" customWidth="1"/>
  </cols>
  <sheetData>
    <row r="2" spans="1:8" x14ac:dyDescent="0.3">
      <c r="A2" s="21" t="s">
        <v>191</v>
      </c>
      <c r="B2" s="6" t="s">
        <v>221</v>
      </c>
      <c r="D2" t="s">
        <v>191</v>
      </c>
      <c r="E2" t="s">
        <v>221</v>
      </c>
      <c r="F2" s="18" t="s">
        <v>224</v>
      </c>
    </row>
    <row r="3" spans="1:8" x14ac:dyDescent="0.3">
      <c r="A3" s="22" t="s">
        <v>52</v>
      </c>
      <c r="B3" s="27">
        <v>8604</v>
      </c>
      <c r="D3" t="s">
        <v>52</v>
      </c>
      <c r="E3" s="10">
        <v>7539</v>
      </c>
      <c r="F3" s="18">
        <f>E3/E7</f>
        <v>0.18123467474397809</v>
      </c>
    </row>
    <row r="4" spans="1:8" x14ac:dyDescent="0.3">
      <c r="A4" s="22" t="s">
        <v>40</v>
      </c>
      <c r="B4" s="27">
        <v>10882</v>
      </c>
      <c r="D4" t="s">
        <v>40</v>
      </c>
      <c r="E4" s="10">
        <v>9762</v>
      </c>
      <c r="F4" s="18">
        <f>E4/E7</f>
        <v>0.23467474397807586</v>
      </c>
      <c r="G4" s="21" t="s">
        <v>191</v>
      </c>
      <c r="H4" t="s">
        <v>221</v>
      </c>
    </row>
    <row r="5" spans="1:8" x14ac:dyDescent="0.3">
      <c r="A5" s="22" t="s">
        <v>27</v>
      </c>
      <c r="B5" s="27">
        <v>13120</v>
      </c>
      <c r="D5" t="s">
        <v>27</v>
      </c>
      <c r="E5" s="10">
        <v>12147</v>
      </c>
      <c r="F5" s="18">
        <f>E5/E7</f>
        <v>0.29200923121303907</v>
      </c>
      <c r="G5" s="22" t="s">
        <v>48</v>
      </c>
      <c r="H5" s="27">
        <v>5420</v>
      </c>
    </row>
    <row r="6" spans="1:8" x14ac:dyDescent="0.3">
      <c r="A6" s="22" t="s">
        <v>64</v>
      </c>
      <c r="B6" s="27">
        <v>13493</v>
      </c>
      <c r="D6" t="s">
        <v>64</v>
      </c>
      <c r="E6" s="10">
        <v>12150</v>
      </c>
      <c r="F6" s="18">
        <f>E6/E7</f>
        <v>0.29208135006490699</v>
      </c>
      <c r="G6" s="22" t="s">
        <v>56</v>
      </c>
      <c r="H6" s="27">
        <v>8768</v>
      </c>
    </row>
    <row r="7" spans="1:8" x14ac:dyDescent="0.3">
      <c r="A7" s="22" t="s">
        <v>192</v>
      </c>
      <c r="B7" s="27">
        <v>46099</v>
      </c>
      <c r="D7" s="2" t="s">
        <v>192</v>
      </c>
      <c r="E7" s="2">
        <v>41598</v>
      </c>
      <c r="G7" s="22" t="s">
        <v>25</v>
      </c>
      <c r="H7" s="27">
        <v>9426</v>
      </c>
    </row>
    <row r="8" spans="1:8" x14ac:dyDescent="0.3">
      <c r="G8" s="22" t="s">
        <v>79</v>
      </c>
      <c r="H8" s="27">
        <v>9715</v>
      </c>
    </row>
    <row r="9" spans="1:8" x14ac:dyDescent="0.3">
      <c r="G9" s="22" t="s">
        <v>36</v>
      </c>
      <c r="H9" s="27">
        <v>12770</v>
      </c>
    </row>
    <row r="10" spans="1:8" x14ac:dyDescent="0.3">
      <c r="G10" s="22" t="s">
        <v>192</v>
      </c>
      <c r="H10" s="27">
        <v>46099</v>
      </c>
    </row>
    <row r="18" spans="7:9" x14ac:dyDescent="0.3">
      <c r="G18" t="s">
        <v>191</v>
      </c>
      <c r="H18" t="s">
        <v>221</v>
      </c>
      <c r="I18" t="s">
        <v>222</v>
      </c>
    </row>
    <row r="19" spans="7:9" x14ac:dyDescent="0.3">
      <c r="G19" t="s">
        <v>48</v>
      </c>
      <c r="H19" s="12">
        <v>5420</v>
      </c>
      <c r="I19" s="26">
        <f>Table12[[#This Row],[Sum of Number of Products Sold]]/H24</f>
        <v>0.1175730493069264</v>
      </c>
    </row>
    <row r="20" spans="7:9" x14ac:dyDescent="0.3">
      <c r="G20" t="s">
        <v>56</v>
      </c>
      <c r="H20" s="12">
        <v>8768</v>
      </c>
      <c r="I20" s="26">
        <f>Table12[[#This Row],[Sum of Number of Products Sold]]/H24</f>
        <v>0.19019935356515325</v>
      </c>
    </row>
    <row r="21" spans="7:9" x14ac:dyDescent="0.3">
      <c r="G21" t="s">
        <v>25</v>
      </c>
      <c r="H21" s="12">
        <v>9426</v>
      </c>
      <c r="I21" s="26">
        <f>Table12[[#This Row],[Sum of Number of Products Sold]]/H24</f>
        <v>0.20447298206034839</v>
      </c>
    </row>
    <row r="22" spans="7:9" x14ac:dyDescent="0.3">
      <c r="G22" t="s">
        <v>79</v>
      </c>
      <c r="H22" s="12">
        <v>9715</v>
      </c>
      <c r="I22" s="26">
        <f>Table12[[#This Row],[Sum of Number of Products Sold]]/H24</f>
        <v>0.210742098527083</v>
      </c>
    </row>
    <row r="23" spans="7:9" x14ac:dyDescent="0.3">
      <c r="G23" t="s">
        <v>36</v>
      </c>
      <c r="H23" s="12">
        <v>12770</v>
      </c>
      <c r="I23" s="26">
        <f>Table12[[#This Row],[Sum of Number of Products Sold]]/H24</f>
        <v>0.27701251654048897</v>
      </c>
    </row>
    <row r="24" spans="7:9" x14ac:dyDescent="0.3">
      <c r="G24" t="s">
        <v>192</v>
      </c>
      <c r="H24" s="12">
        <v>46099</v>
      </c>
      <c r="I24" s="18">
        <f>SUM(I19:I23)</f>
        <v>1</v>
      </c>
    </row>
  </sheetData>
  <conditionalFormatting pivot="1" sqref="H5:H9">
    <cfRule type="colorScale" priority="11">
      <colorScale>
        <cfvo type="min"/>
        <cfvo type="max"/>
        <color rgb="FFFCFCFF"/>
        <color rgb="FF63BE7B"/>
      </colorScale>
    </cfRule>
  </conditionalFormatting>
  <conditionalFormatting pivot="1" sqref="B3:B6">
    <cfRule type="colorScale" priority="3">
      <colorScale>
        <cfvo type="min"/>
        <cfvo type="max"/>
        <color rgb="FFFFEF9C"/>
        <color rgb="FF63BE7B"/>
      </colorScale>
    </cfRule>
  </conditionalFormatting>
  <conditionalFormatting sqref="F3:F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{43A3CB33-C421-4124-9855-852671E9D722}</x14:id>
        </ext>
      </extLst>
    </cfRule>
  </conditionalFormatting>
  <pageMargins left="0.7" right="0.7" top="0.75" bottom="0.75" header="0.3" footer="0.3"/>
  <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A3CB33-C421-4124-9855-852671E9D7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F3:F6</xm:sqref>
        </x14:conditionalFormatting>
      </x14:conditionalFormattings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f1103f-b4bc-4eb0-8693-8a7f9fa99ac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0C057B767DC7469BDD2E3C48087720" ma:contentTypeVersion="8" ma:contentTypeDescription="Create a new document." ma:contentTypeScope="" ma:versionID="91602b616d917485c12cf3a174458d15">
  <xsd:schema xmlns:xsd="http://www.w3.org/2001/XMLSchema" xmlns:xs="http://www.w3.org/2001/XMLSchema" xmlns:p="http://schemas.microsoft.com/office/2006/metadata/properties" xmlns:ns3="39f1103f-b4bc-4eb0-8693-8a7f9fa99ace" xmlns:ns4="ba475eaa-0e0b-4ca5-bef0-c69ab1605f48" targetNamespace="http://schemas.microsoft.com/office/2006/metadata/properties" ma:root="true" ma:fieldsID="7f177c11a866c481e343efd3b4e440d7" ns3:_="" ns4:_="">
    <xsd:import namespace="39f1103f-b4bc-4eb0-8693-8a7f9fa99ace"/>
    <xsd:import namespace="ba475eaa-0e0b-4ca5-bef0-c69ab1605f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f1103f-b4bc-4eb0-8693-8a7f9fa99a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75eaa-0e0b-4ca5-bef0-c69ab1605f4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CommonToolsData xmlns="Mapcite">
  <Data>{
    "AppConfig": [{
        "ConfigTitle": "MultiDataAndStyle",
        "ConfigWebTitle": "ConfigTitle",
        "startLatitude": 42.55,
        "startLongitude": -99.2,
        "startZoom": 4,
        "MaxZoom": 16,
        "DataArray": [],
      "UIArray": {
        "menuBarOpen": false,
        "scale": true,
        "zoomIn": true,
        "zoomOut": true,
        "myLocation": false,
        "baseLayers": [
          "osm",
          "open-topo",
          "blank" 
        ],
        "mapLayers": true,
        "drawTools": true,
        "dataLayers": true,
        "annotate": true,
        "print": true,
        "searchLocation": true
      }
    }]
}</Data>
</CommonToolsData>
</file>

<file path=customXml/itemProps1.xml><?xml version="1.0" encoding="utf-8"?>
<ds:datastoreItem xmlns:ds="http://schemas.openxmlformats.org/officeDocument/2006/customXml" ds:itemID="{5BB3DDDD-A884-4018-B7DB-33AD406C8656}">
  <ds:schemaRefs>
    <ds:schemaRef ds:uri="http://purl.org/dc/elements/1.1/"/>
    <ds:schemaRef ds:uri="ba475eaa-0e0b-4ca5-bef0-c69ab1605f48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39f1103f-b4bc-4eb0-8693-8a7f9fa99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97B6546-869E-4A1F-B433-841FC2D0E8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293415-921D-47B5-BBC9-0DEE21ABBE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f1103f-b4bc-4eb0-8693-8a7f9fa99ace"/>
    <ds:schemaRef ds:uri="ba475eaa-0e0b-4ca5-bef0-c69ab1605f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22EED53-8475-45BF-B88C-0C8540DB4CEF}">
  <ds:schemaRefs>
    <ds:schemaRef ds:uri="Mapci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Supply Chain Data</vt:lpstr>
      <vt:lpstr>Important values </vt:lpstr>
      <vt:lpstr>Demand</vt:lpstr>
      <vt:lpstr>Product Analysis</vt:lpstr>
      <vt:lpstr>Trend of Revenue </vt:lpstr>
      <vt:lpstr>Tranportation and 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Zilphar Mbula</dc:creator>
  <cp:lastModifiedBy>Zilphar Mbula</cp:lastModifiedBy>
  <dcterms:created xsi:type="dcterms:W3CDTF">2024-05-04T22:07:04Z</dcterms:created>
  <dcterms:modified xsi:type="dcterms:W3CDTF">2024-10-13T07:21:35Z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2024-05-04T22:07:18Z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ecea252b-90c9-4a3d-ae1b-2ed75c14a8f1</vt:lpwstr>
  </property>
  <property fmtid="{D5CDD505-2E9C-101B-9397-08002B2CF9AE}" pid="7" name="MSIP_Label_defa4170-0d19-0005-0004-bc88714345d2_ActionId">
    <vt:lpwstr>92c8b5d6-81a6-47c0-97e4-14cd16742efc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0x010100450C057B767DC7469BDD2E3C48087720</vt:lpwstr>
  </property>
</Properties>
</file>