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BULA\Downloads\"/>
    </mc:Choice>
  </mc:AlternateContent>
  <xr:revisionPtr revIDLastSave="0" documentId="13_ncr:1_{5E8D4007-A710-4DB1-8322-58E9DA289F01}" xr6:coauthVersionLast="47" xr6:coauthVersionMax="47" xr10:uidLastSave="{00000000-0000-0000-0000-000000000000}"/>
  <bookViews>
    <workbookView xWindow="-108" yWindow="-108" windowWidth="23256" windowHeight="12576" firstSheet="3" activeTab="4" xr2:uid="{8FF62ED8-A67E-423F-8325-F23DB684777C}"/>
  </bookViews>
  <sheets>
    <sheet name="Final Table" sheetId="13" state="hidden" r:id="rId1"/>
    <sheet name="Analysis" sheetId="14" state="hidden" r:id="rId2"/>
    <sheet name="pivot" sheetId="15" state="hidden" r:id="rId3"/>
    <sheet name="Efficiency" sheetId="18" r:id="rId4"/>
    <sheet name="Operator Downtime" sheetId="19" r:id="rId5"/>
    <sheet name="Line productivity" sheetId="1" state="hidden" r:id="rId6"/>
    <sheet name="Products" sheetId="8" state="hidden" r:id="rId7"/>
    <sheet name="Downtime factors" sheetId="3" state="hidden" r:id="rId8"/>
    <sheet name="Line downtime and factor" sheetId="2" state="hidden" r:id="rId9"/>
  </sheets>
  <definedNames>
    <definedName name="_xlnm._FilterDatabase" localSheetId="1" hidden="1">Analysis!$B$6:$F$27</definedName>
    <definedName name="_xlnm._FilterDatabase" localSheetId="7" hidden="1">'Downtime factors'!$A$1:$C$13</definedName>
    <definedName name="_xlnm._FilterDatabase" localSheetId="5" hidden="1">'Line productivity'!$A$1:$F$39</definedName>
    <definedName name="ExternalData_1" localSheetId="0" hidden="1">'Final Table'!$A$1:$M$65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4" l="1"/>
  <c r="K42" i="14"/>
  <c r="D59" i="14"/>
  <c r="D60" i="14"/>
  <c r="D61" i="14"/>
  <c r="D62" i="14"/>
  <c r="D63" i="14"/>
  <c r="D64" i="14"/>
  <c r="D65" i="14"/>
  <c r="D66" i="14"/>
  <c r="D67" i="14"/>
  <c r="D68" i="14"/>
  <c r="D58" i="14"/>
  <c r="N2" i="13"/>
  <c r="N3" i="13"/>
  <c r="N4" i="13"/>
  <c r="N5" i="13"/>
  <c r="N6" i="13"/>
  <c r="N13" i="13"/>
  <c r="N7" i="13"/>
  <c r="N8" i="13"/>
  <c r="N9" i="13"/>
  <c r="N10" i="13"/>
  <c r="N14" i="13"/>
  <c r="N11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12" i="13"/>
  <c r="N42" i="13"/>
  <c r="N43" i="13"/>
  <c r="O2" i="13"/>
  <c r="O3" i="13"/>
  <c r="O4" i="13"/>
  <c r="O5" i="13"/>
  <c r="O6" i="13"/>
  <c r="O13" i="13"/>
  <c r="O7" i="13"/>
  <c r="O8" i="13"/>
  <c r="O9" i="13"/>
  <c r="O10" i="13"/>
  <c r="O14" i="13"/>
  <c r="O11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12" i="13"/>
  <c r="O42" i="13"/>
  <c r="O43" i="13"/>
  <c r="C58" i="14"/>
  <c r="C59" i="14"/>
  <c r="C60" i="14"/>
  <c r="C61" i="14"/>
  <c r="C62" i="14"/>
  <c r="C63" i="14"/>
  <c r="C64" i="14"/>
  <c r="C65" i="14"/>
  <c r="C66" i="14"/>
  <c r="C67" i="14"/>
  <c r="C68" i="14"/>
  <c r="G11" i="14"/>
  <c r="B42" i="14" a="1"/>
  <c r="B42" i="14" s="1"/>
  <c r="C42" i="14" s="1"/>
  <c r="B34" i="14" a="1"/>
  <c r="B34" i="14" s="1"/>
  <c r="P55" i="13"/>
  <c r="P53" i="13"/>
  <c r="P4" i="13"/>
  <c r="D17" i="14" a="1"/>
  <c r="D17" i="14" s="1"/>
  <c r="D16" i="14" a="1"/>
  <c r="D16" i="14" s="1"/>
  <c r="D15" i="14" a="1"/>
  <c r="D15" i="14" s="1"/>
  <c r="D14" i="14" a="1"/>
  <c r="D14" i="14" s="1"/>
  <c r="C27" i="14"/>
  <c r="C26" i="14"/>
  <c r="C28" i="14" s="1"/>
  <c r="C19" i="14" a="1"/>
  <c r="C19" i="14" s="1"/>
  <c r="D19" i="14" s="1"/>
  <c r="C14" i="14" a="1"/>
  <c r="C14" i="14" s="1"/>
  <c r="G14" i="14" s="1" a="1"/>
  <c r="G14" i="14" s="1"/>
  <c r="C6" i="14" a="1"/>
  <c r="C6" i="14" s="1"/>
  <c r="D6" i="14" s="1"/>
  <c r="H4" i="14" s="1"/>
  <c r="C3" i="14"/>
  <c r="C2" i="14"/>
  <c r="C34" i="14" l="1"/>
  <c r="G9" i="14"/>
  <c r="G6" i="14"/>
  <c r="G8" i="14"/>
  <c r="G5" i="14"/>
  <c r="G7" i="14"/>
  <c r="G4" i="14"/>
  <c r="D23" i="14"/>
  <c r="D22" i="14"/>
  <c r="D21" i="14"/>
  <c r="D20" i="14"/>
  <c r="D42" i="14"/>
  <c r="C37" i="14"/>
  <c r="D35" i="14"/>
  <c r="C52" i="14"/>
  <c r="C48" i="14"/>
  <c r="C44" i="14"/>
  <c r="D10" i="14"/>
  <c r="C36" i="14"/>
  <c r="C51" i="14"/>
  <c r="C47" i="14"/>
  <c r="C43" i="14"/>
  <c r="D9" i="14"/>
  <c r="D34" i="14"/>
  <c r="C50" i="14"/>
  <c r="C46" i="14"/>
  <c r="D8" i="14"/>
  <c r="D37" i="14"/>
  <c r="C53" i="14"/>
  <c r="C49" i="14"/>
  <c r="C45" i="14"/>
  <c r="D11" i="14"/>
  <c r="H9" i="14" s="1"/>
  <c r="D7" i="14"/>
  <c r="C35" i="14"/>
  <c r="E35" i="14" s="1"/>
  <c r="D36" i="14"/>
  <c r="C30" i="14"/>
  <c r="C29" i="14"/>
  <c r="E14" i="14" a="1"/>
  <c r="E14" i="14" s="1"/>
  <c r="F14" i="14" a="1"/>
  <c r="F14" i="14" s="1"/>
  <c r="E17" i="14" a="1"/>
  <c r="E17" i="14" s="1"/>
  <c r="F15" i="14" a="1"/>
  <c r="F15" i="14" s="1"/>
  <c r="G17" i="14" a="1"/>
  <c r="G17" i="14" s="1"/>
  <c r="E16" i="14" a="1"/>
  <c r="E16" i="14" s="1"/>
  <c r="F16" i="14" a="1"/>
  <c r="F16" i="14" s="1"/>
  <c r="G16" i="14" a="1"/>
  <c r="G16" i="14" s="1"/>
  <c r="E15" i="14" a="1"/>
  <c r="E15" i="14" s="1"/>
  <c r="F17" i="14" a="1"/>
  <c r="F17" i="14" s="1"/>
  <c r="G15" i="14" a="1"/>
  <c r="G15" i="14" s="1"/>
  <c r="C4" i="14"/>
  <c r="E34" i="14" l="1"/>
  <c r="H8" i="14"/>
  <c r="H5" i="14"/>
  <c r="H6" i="14"/>
  <c r="H7" i="14"/>
  <c r="D24" i="14"/>
  <c r="D12" i="14"/>
  <c r="H11" i="14" s="1"/>
  <c r="D51" i="14"/>
  <c r="D38" i="14"/>
  <c r="D49" i="14"/>
  <c r="D54" i="14"/>
  <c r="E42" i="14" s="1"/>
  <c r="D44" i="14"/>
  <c r="C54" i="14"/>
  <c r="D53" i="14"/>
  <c r="E53" i="14" s="1"/>
  <c r="D43" i="14"/>
  <c r="E43" i="14" s="1"/>
  <c r="D48" i="14"/>
  <c r="E37" i="14"/>
  <c r="D47" i="14"/>
  <c r="D52" i="14"/>
  <c r="E52" i="14" s="1"/>
  <c r="D45" i="14"/>
  <c r="D50" i="14"/>
  <c r="C38" i="14"/>
  <c r="E36" i="14"/>
  <c r="E50" i="14" l="1"/>
  <c r="E48" i="14"/>
  <c r="E38" i="14"/>
  <c r="F38" i="14" s="1"/>
  <c r="E47" i="14"/>
  <c r="E44" i="14"/>
  <c r="E49" i="14"/>
  <c r="E45" i="14"/>
  <c r="E51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51540-3A46-4E89-AD2F-6BF70C693D96}" keepAlive="1" name="Query - downtimeandfactor" description="Connection to the 'downtimeandfactor' query in the workbook." type="5" refreshedVersion="0" background="1">
    <dbPr connection="Provider=Microsoft.Mashup.OleDb.1;Data Source=$Workbook$;Location=downtimeandfactor;Extended Properties=&quot;&quot;" command="SELECT * FROM [downtimeandfactor]"/>
  </connection>
  <connection id="2" xr16:uid="{38E0E69C-C766-4DC1-B993-76B2E5C36191}" keepAlive="1" name="Query - downtimefactor" description="Connection to the 'downtimefactor' query in the workbook." type="5" refreshedVersion="0" background="1">
    <dbPr connection="Provider=Microsoft.Mashup.OleDb.1;Data Source=$Workbook$;Location=downtimefactor;Extended Properties=&quot;&quot;" command="SELECT * FROM [downtimefactor]"/>
  </connection>
  <connection id="3" xr16:uid="{7280161A-2C5F-4BD6-9854-3A83B85EA0C4}" keepAlive="1" name="Query - Final Table" description="Connection to the 'Final Table' query in the workbook." type="5" refreshedVersion="8" background="1" saveData="1">
    <dbPr connection="Provider=Microsoft.Mashup.OleDb.1;Data Source=$Workbook$;Location=&quot;Final Table&quot;;Extended Properties=&quot;&quot;" command="SELECT * FROM [Final Table]"/>
  </connection>
  <connection id="4" xr16:uid="{71ADD16C-E347-4334-9377-96ABF0CC04DF}" keepAlive="1" name="Query - lineproductivity" description="Connection to the 'lineproductivity' query in the workbook." type="5" refreshedVersion="0" background="1">
    <dbPr connection="Provider=Microsoft.Mashup.OleDb.1;Data Source=$Workbook$;Location=lineproductivity;Extended Properties=&quot;&quot;" command="SELECT * FROM [lineproductivity]"/>
  </connection>
  <connection id="5" xr16:uid="{51E7014E-DF09-4182-9BA9-113824158222}" keepAlive="1" name="Query - Merge1&amp;downtimeandfactor" description="Connection to the 'Merge1&amp;downtimeandfactor' query in the workbook." type="5" refreshedVersion="0" background="1">
    <dbPr connection="Provider=Microsoft.Mashup.OleDb.1;Data Source=$Workbook$;Location=Merge1&amp;downtimeandfactor;Extended Properties=&quot;&quot;" command="SELECT * FROM [Merge1&amp;downtimeandfactor]"/>
  </connection>
  <connection id="6" xr16:uid="{8C0EFE72-B68D-4DEC-B33D-F20003262E7E}" keepAlive="1" name="Query - Mergelineproductivityandproducts" description="Connection to the 'Mergelineproductivityandproducts' query in the workbook." type="5" refreshedVersion="0" background="1">
    <dbPr connection="Provider=Microsoft.Mashup.OleDb.1;Data Source=$Workbook$;Location=Mergelineproductivityandproducts;Extended Properties=&quot;&quot;" command="SELECT * FROM [Mergelineproductivityandproducts]"/>
  </connection>
  <connection id="7" xr16:uid="{71D5469C-0990-41D3-A7EB-2295700F0A98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  <connection id="8" xr16:uid="{C3AD73ED-96E6-4A4A-9289-AF4AD7CE3271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<sst xmlns="http://schemas.openxmlformats.org/spreadsheetml/2006/main" count="770" uniqueCount="142">
  <si>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</si>
  <si>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</si>
  <si>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</si>
  <si>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</si>
  <si>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</si>
  <si>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</si>
  <si>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</si>
  <si>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</si>
  <si>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</si>
  <si>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</si>
  <si>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</si>
  <si>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</si>
  <si>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</si>
  <si>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</si>
  <si>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</si>
  <si>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</si>
  <si>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</si>
  <si>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</si>
  <si>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</si>
  <si>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</si>
  <si>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</si>
  <si>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</si>
  <si>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</si>
  <si>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</si>
  <si>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</si>
  <si>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</si>
  <si>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</si>
  <si>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</si>
  <si>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CO-2L</t>
  </si>
  <si>
    <t>Flavor</t>
  </si>
  <si>
    <t>Orange</t>
  </si>
  <si>
    <t>Lemon lime</t>
  </si>
  <si>
    <t>Cola</t>
  </si>
  <si>
    <t>Diet Cola</t>
  </si>
  <si>
    <t>Root Beer</t>
  </si>
  <si>
    <t>Min batch time</t>
  </si>
  <si>
    <t>Charlie</t>
  </si>
  <si>
    <t>Dee</t>
  </si>
  <si>
    <t>Dennis</t>
  </si>
  <si>
    <t>Mac</t>
  </si>
  <si>
    <t>Size in 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</si>
  <si>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</si>
  <si>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</si>
  <si>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</si>
  <si>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</si>
  <si>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</si>
  <si>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</si>
  <si>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</si>
  <si>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</si>
  <si>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</si>
  <si>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</si>
  <si>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</si>
  <si>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</si>
  <si>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Value</t>
  </si>
  <si>
    <t>422111</t>
  </si>
  <si>
    <t>422112</t>
  </si>
  <si>
    <t>422113</t>
  </si>
  <si>
    <t>422117</t>
  </si>
  <si>
    <t>422118</t>
  </si>
  <si>
    <t>422114</t>
  </si>
  <si>
    <t>422115</t>
  </si>
  <si>
    <t>422119</t>
  </si>
  <si>
    <t>422120</t>
  </si>
  <si>
    <t>422121</t>
  </si>
  <si>
    <t>422122</t>
  </si>
  <si>
    <t>422123</t>
  </si>
  <si>
    <t>422124</t>
  </si>
  <si>
    <t>422125</t>
  </si>
  <si>
    <t>422126</t>
  </si>
  <si>
    <t>422127</t>
  </si>
  <si>
    <t>422128</t>
  </si>
  <si>
    <t>422129</t>
  </si>
  <si>
    <t>422130</t>
  </si>
  <si>
    <t>422131</t>
  </si>
  <si>
    <t>422133</t>
  </si>
  <si>
    <t>422134</t>
  </si>
  <si>
    <t>422135</t>
  </si>
  <si>
    <t>422137</t>
  </si>
  <si>
    <t>422138</t>
  </si>
  <si>
    <t>422139</t>
  </si>
  <si>
    <t>422140</t>
  </si>
  <si>
    <t>422141</t>
  </si>
  <si>
    <t>422142</t>
  </si>
  <si>
    <t>422143</t>
  </si>
  <si>
    <t>422144</t>
  </si>
  <si>
    <t>422145</t>
  </si>
  <si>
    <t>422146</t>
  </si>
  <si>
    <t>422147</t>
  </si>
  <si>
    <t>422148</t>
  </si>
  <si>
    <t>fist data date</t>
  </si>
  <si>
    <t xml:space="preserve">last data date </t>
  </si>
  <si>
    <t xml:space="preserve">Total data days </t>
  </si>
  <si>
    <t xml:space="preserve">different products </t>
  </si>
  <si>
    <t>Operators</t>
  </si>
  <si>
    <t xml:space="preserve">Flavors </t>
  </si>
  <si>
    <t xml:space="preserve">Operator errors </t>
  </si>
  <si>
    <t>Error description</t>
  </si>
  <si>
    <t>Row Labels</t>
  </si>
  <si>
    <t>Grand Total</t>
  </si>
  <si>
    <t>earliest time to report</t>
  </si>
  <si>
    <t>latest to report</t>
  </si>
  <si>
    <t>earliest to leave</t>
  </si>
  <si>
    <t>latest to leave</t>
  </si>
  <si>
    <t>Operator stay</t>
  </si>
  <si>
    <t>Max time of sty</t>
  </si>
  <si>
    <t>Min time of stay</t>
  </si>
  <si>
    <t>Sum prod time</t>
  </si>
  <si>
    <t>Column1</t>
  </si>
  <si>
    <t>Operator stay in minutes</t>
  </si>
  <si>
    <t>422116</t>
  </si>
  <si>
    <t>422132</t>
  </si>
  <si>
    <t>422136</t>
  </si>
  <si>
    <t>Sum of Value</t>
  </si>
  <si>
    <t>Sum of Operator stay in minutes</t>
  </si>
  <si>
    <t>Sum time during downtime</t>
  </si>
  <si>
    <t>Total Efficiency</t>
  </si>
  <si>
    <t xml:space="preserve">Factor description </t>
  </si>
  <si>
    <t>Downtime minutes</t>
  </si>
  <si>
    <t>Sum</t>
  </si>
  <si>
    <t>Cumulative downtime</t>
  </si>
  <si>
    <t>Cum %</t>
  </si>
  <si>
    <t>Downtime(mins)</t>
  </si>
  <si>
    <t>%Cumulative</t>
  </si>
  <si>
    <t>Factor Description</t>
  </si>
  <si>
    <t>Total</t>
  </si>
  <si>
    <t>Sum of Size in Ml</t>
  </si>
  <si>
    <t>name</t>
  </si>
  <si>
    <t>Ml</t>
  </si>
  <si>
    <t xml:space="preserve">volume </t>
  </si>
  <si>
    <t>Overall</t>
  </si>
  <si>
    <t>Volume</t>
  </si>
  <si>
    <t>volume</t>
  </si>
  <si>
    <t xml:space="preserve">error </t>
  </si>
  <si>
    <t>volume sum</t>
  </si>
  <si>
    <t>errors count</t>
  </si>
  <si>
    <t>(blank)</t>
  </si>
  <si>
    <t>Count of Description</t>
  </si>
  <si>
    <t>downtime minutes</t>
  </si>
  <si>
    <t>operator</t>
  </si>
  <si>
    <t>prod time</t>
  </si>
  <si>
    <t>downtime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</si>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</sst>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400]h:mm:ss\ AM/PM"/>
    <numFmt numFmtId="165" formatCode="h:mm:ss;@"/>
    <numFmt numFmtId="166" formatCode="h:mm;@"/>
    <numFmt numFmtId="167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166" fontId="0" fillId="0" borderId="0" xfId="0" applyNumberFormat="1"/>
    <xf numFmtId="10" fontId="0" fillId="0" borderId="0" xfId="2" applyNumberFormat="1" applyFont="1"/>
    <xf numFmtId="10" fontId="1" fillId="0" borderId="0" xfId="2" applyNumberFormat="1" applyFont="1"/>
    <xf numFmtId="1" fontId="1" fillId="0" borderId="0" xfId="0" applyNumberFormat="1" applyFont="1"/>
    <xf numFmtId="10" fontId="0" fillId="0" borderId="0" xfId="0" applyNumberFormat="1"/>
    <xf numFmtId="0" fontId="0" fillId="3" borderId="0" xfId="0" applyFill="1" applyAlignment="1">
      <alignment horizontal="left"/>
    </xf>
    <xf numFmtId="167" fontId="0" fillId="0" borderId="0" xfId="1" applyNumberFormat="1" applyFont="1"/>
    <xf numFmtId="167" fontId="1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5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indexed="64"/>
          <bgColor theme="3" tint="0.89999084444715716"/>
        </patternFill>
      </fill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3" tint="0.89999084444715716"/>
        </patternFill>
      </fill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3" tint="0.89999084444715716"/>
        </patternFill>
      </fill>
    </dxf>
    <dxf>
      <font>
        <b val="0"/>
      </font>
    </dxf>
    <dxf>
      <font>
        <b val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6" formatCode="h:mm;@"/>
    </dxf>
    <dxf>
      <numFmt numFmtId="1" formatCode="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165" formatCode="h:mm:ss;@"/>
    </dxf>
    <dxf>
      <numFmt numFmtId="165" formatCode="h:mm:ss;@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03752553600825"/>
          <c:y val="0.17086784606469646"/>
          <c:w val="0.45022346073239583"/>
          <c:h val="0.7737606662803513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53D-430D-8DC3-1F0029AE76A9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3D-430D-8DC3-1F0029AE76A9}"/>
              </c:ext>
            </c:extLst>
          </c:dPt>
          <c:dLbls>
            <c:dLbl>
              <c:idx val="0"/>
              <c:layout>
                <c:manualLayout>
                  <c:x val="-0.10231972735146141"/>
                  <c:y val="-0.1972659667541557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54903905273801"/>
                      <c:h val="0.163465869957744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53D-430D-8DC3-1F0029AE76A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3D-430D-8DC3-1F0029AE7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Analysis!$E$38:$F$38</c:f>
              <c:numCache>
                <c:formatCode>0.00%</c:formatCode>
                <c:ptCount val="2"/>
                <c:pt idx="0">
                  <c:v>0.80270078180525939</c:v>
                </c:pt>
                <c:pt idx="1">
                  <c:v>0.19729921819474061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D-430D-8DC3-1F0029AE76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Operator Efficiency</a:t>
            </a:r>
          </a:p>
        </c:rich>
      </c:tx>
      <c:layout>
        <c:manualLayout>
          <c:xMode val="edge"/>
          <c:yMode val="edge"/>
          <c:x val="0.313920934301816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61592300962376E-2"/>
          <c:y val="0.17171296296296298"/>
          <c:w val="0.86496062992125988"/>
          <c:h val="0.72125801983085447"/>
        </c:manualLayout>
      </c:layout>
      <c:bubbleChart>
        <c:varyColors val="0"/>
        <c:ser>
          <c:idx val="0"/>
          <c:order val="0"/>
          <c:tx>
            <c:strRef>
              <c:f>Analysis!$B$33</c:f>
              <c:strCache>
                <c:ptCount val="1"/>
                <c:pt idx="0">
                  <c:v>Operator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70-45BA-9A3E-C02B280821F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670-45BA-9A3E-C02B280821F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70-45BA-9A3E-C02B280821F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670-45BA-9A3E-C02B280821F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670-45BA-9A3E-C02B280821F0}"/>
              </c:ext>
            </c:extLst>
          </c:dPt>
          <c:dLbls>
            <c:dLbl>
              <c:idx val="0"/>
              <c:layout>
                <c:manualLayout>
                  <c:x val="-7.9242782152230976E-2"/>
                  <c:y val="9.9502405949256301E-2"/>
                </c:manualLayout>
              </c:layout>
              <c:tx>
                <c:rich>
                  <a:bodyPr/>
                  <a:lstStyle/>
                  <a:p>
                    <a:fld id="{1CBAD8B4-53CC-4277-9B3E-EF43D4AF302E}" type="XVALUE">
                      <a:rPr lang="en-US"/>
                      <a:pPr/>
                      <a:t>[X VALUE]</a:t>
                    </a:fld>
                    <a:r>
                      <a:rPr lang="en-US" baseline="0"/>
                      <a:t>,</a:t>
                    </a:r>
                  </a:p>
                  <a:p>
                    <a:r>
                      <a:rPr lang="en-US" baseline="0"/>
                      <a:t> </a:t>
                    </a:r>
                    <a:fld id="{BD049A45-CC87-4902-B945-E51A7393DD0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670-45BA-9A3E-C02B280821F0}"/>
                </c:ext>
              </c:extLst>
            </c:dLbl>
            <c:dLbl>
              <c:idx val="1"/>
              <c:layout>
                <c:manualLayout>
                  <c:x val="-7.7562335958005255E-2"/>
                  <c:y val="0.13190981335666371"/>
                </c:manualLayout>
              </c:layout>
              <c:tx>
                <c:rich>
                  <a:bodyPr/>
                  <a:lstStyle/>
                  <a:p>
                    <a:fld id="{E18C5257-109D-4381-B1AD-9404E442CF30}" type="XVALUE">
                      <a:rPr lang="en-US"/>
                      <a:pPr/>
                      <a:t>[X VALUE]</a:t>
                    </a:fld>
                    <a:r>
                      <a:rPr lang="en-US" baseline="0"/>
                      <a:t>,</a:t>
                    </a:r>
                  </a:p>
                  <a:p>
                    <a:fld id="{5E4C8016-5E22-4BB6-A5D0-FFB53BC06EB0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8670-45BA-9A3E-C02B280821F0}"/>
                </c:ext>
              </c:extLst>
            </c:dLbl>
            <c:dLbl>
              <c:idx val="2"/>
              <c:layout>
                <c:manualLayout>
                  <c:x val="-6.9777559055118218E-2"/>
                  <c:y val="0.12728018372703412"/>
                </c:manualLayout>
              </c:layout>
              <c:tx>
                <c:rich>
                  <a:bodyPr/>
                  <a:lstStyle/>
                  <a:p>
                    <a:fld id="{5A28AB37-05E7-48F7-934F-5448691793BA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</a:p>
                  <a:p>
                    <a:fld id="{ACE80762-FEF6-4375-842B-47CA13C3A648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670-45BA-9A3E-C02B280821F0}"/>
                </c:ext>
              </c:extLst>
            </c:dLbl>
            <c:dLbl>
              <c:idx val="3"/>
              <c:layout>
                <c:manualLayout>
                  <c:x val="-7.081922572178477E-2"/>
                  <c:y val="9.490740740740737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4D2398D-19AA-481C-9116-D9204C56C864}" type="XVALUE">
                      <a:rPr lang="en-US"/>
                      <a:pPr>
                        <a:defRPr/>
                      </a:pPr>
                      <a:t>[X VALUE]</a:t>
                    </a:fld>
                    <a:endParaRPr lang="en-US" baseline="0"/>
                  </a:p>
                  <a:p>
                    <a:pPr>
                      <a:defRPr/>
                    </a:pPr>
                    <a:fld id="{1140D2DA-3AA5-42EF-B57F-3D61FC02A8E3}" type="YVALUE">
                      <a:rPr lang="en-US" baseline="0"/>
                      <a:pPr>
                        <a:defRPr/>
                      </a:pPr>
                      <a:t>[Y 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162489063867015"/>
                      <c:h val="0.1156714785651793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8670-45BA-9A3E-C02B280821F0}"/>
                </c:ext>
              </c:extLst>
            </c:dLbl>
            <c:dLbl>
              <c:idx val="4"/>
              <c:layout>
                <c:manualLayout>
                  <c:x val="-4.3736001749781379E-2"/>
                  <c:y val="8.7962962962962923E-2"/>
                </c:manualLayout>
              </c:layout>
              <c:tx>
                <c:rich>
                  <a:bodyPr/>
                  <a:lstStyle/>
                  <a:p>
                    <a:fld id="{85AA37FD-6322-4263-A8DC-BBAC0E9C0A83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</a:p>
                  <a:p>
                    <a:fld id="{B838C07B-E8C2-4CDA-821D-734CBA2D71E9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670-45BA-9A3E-C02B280821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Analysis!$B$34:$B$38</c:f>
              <c:strCache>
                <c:ptCount val="5"/>
                <c:pt idx="0">
                  <c:v>Mac</c:v>
                </c:pt>
                <c:pt idx="1">
                  <c:v>Charlie</c:v>
                </c:pt>
                <c:pt idx="2">
                  <c:v>Dee</c:v>
                </c:pt>
                <c:pt idx="3">
                  <c:v>Dennis</c:v>
                </c:pt>
                <c:pt idx="4">
                  <c:v>Overall</c:v>
                </c:pt>
              </c:strCache>
            </c:strRef>
          </c:xVal>
          <c:yVal>
            <c:numRef>
              <c:f>Analysis!$E$34:$E$38</c:f>
              <c:numCache>
                <c:formatCode>0.00%</c:formatCode>
                <c:ptCount val="5"/>
                <c:pt idx="0">
                  <c:v>0.78300653594771241</c:v>
                </c:pt>
                <c:pt idx="1">
                  <c:v>0.82180974477958235</c:v>
                </c:pt>
                <c:pt idx="2">
                  <c:v>0.8174642328564381</c:v>
                </c:pt>
                <c:pt idx="3">
                  <c:v>0.77173091458805743</c:v>
                </c:pt>
                <c:pt idx="4">
                  <c:v>0.80270078180525939</c:v>
                </c:pt>
              </c:numCache>
            </c:numRef>
          </c:yVal>
          <c:bubbleSize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670-45BA-9A3E-C02B280821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30"/>
        <c:showNegBubbles val="0"/>
        <c:axId val="462354880"/>
        <c:axId val="304786624"/>
      </c:bubbleChart>
      <c:valAx>
        <c:axId val="462354880"/>
        <c:scaling>
          <c:orientation val="minMax"/>
          <c:max val="6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86624"/>
        <c:crosses val="autoZero"/>
        <c:crossBetween val="midCat"/>
      </c:valAx>
      <c:valAx>
        <c:axId val="304786624"/>
        <c:scaling>
          <c:orientation val="minMax"/>
          <c:max val="1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</a:t>
            </a:r>
            <a:r>
              <a:rPr lang="en-US"/>
              <a:t>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Analysis!$M$4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Analysis!$L$5:$L$10</c:f>
              <c:strCache>
                <c:ptCount val="6"/>
                <c:pt idx="0">
                  <c:v>CO-2L</c:v>
                </c:pt>
                <c:pt idx="1">
                  <c:v>CO-600</c:v>
                </c:pt>
                <c:pt idx="2">
                  <c:v>RB-600</c:v>
                </c:pt>
                <c:pt idx="3">
                  <c:v>LE-600</c:v>
                </c:pt>
                <c:pt idx="4">
                  <c:v>DC-600</c:v>
                </c:pt>
                <c:pt idx="5">
                  <c:v>OR-600</c:v>
                </c:pt>
              </c:strCache>
            </c:strRef>
          </c:cat>
          <c:val>
            <c:numRef>
              <c:f>Analysis!$M$5:$M$10</c:f>
              <c:numCache>
                <c:formatCode>General</c:formatCode>
                <c:ptCount val="6"/>
                <c:pt idx="0">
                  <c:v>22000</c:v>
                </c:pt>
                <c:pt idx="1">
                  <c:v>15000</c:v>
                </c:pt>
                <c:pt idx="2">
                  <c:v>6600</c:v>
                </c:pt>
                <c:pt idx="3">
                  <c:v>5400</c:v>
                </c:pt>
                <c:pt idx="4">
                  <c:v>3600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9-4F24-B0AC-08FFCF1AEC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22824239"/>
        <c:axId val="1041159743"/>
      </c:barChart>
      <c:catAx>
        <c:axId val="14228242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59743"/>
        <c:crosses val="autoZero"/>
        <c:auto val="1"/>
        <c:lblAlgn val="ctr"/>
        <c:lblOffset val="100"/>
        <c:noMultiLvlLbl val="0"/>
      </c:catAx>
      <c:valAx>
        <c:axId val="104115974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4228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Flavor</a:t>
            </a:r>
            <a:r>
              <a:rPr lang="en-US" baseline="0"/>
              <a:t>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Analysis!$M$13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Analysis!$L$14:$L$18</c:f>
              <c:strCache>
                <c:ptCount val="5"/>
                <c:pt idx="0">
                  <c:v>Orange</c:v>
                </c:pt>
                <c:pt idx="1">
                  <c:v>Diet Cola</c:v>
                </c:pt>
                <c:pt idx="2">
                  <c:v>Lemon lime</c:v>
                </c:pt>
                <c:pt idx="3">
                  <c:v>Root Beer</c:v>
                </c:pt>
                <c:pt idx="4">
                  <c:v>Cola</c:v>
                </c:pt>
              </c:strCache>
            </c:strRef>
          </c:cat>
          <c:val>
            <c:numRef>
              <c:f>Analysis!$M$14:$M$18</c:f>
              <c:numCache>
                <c:formatCode>General</c:formatCode>
                <c:ptCount val="5"/>
                <c:pt idx="0">
                  <c:v>1200</c:v>
                </c:pt>
                <c:pt idx="1">
                  <c:v>3600</c:v>
                </c:pt>
                <c:pt idx="2">
                  <c:v>5400</c:v>
                </c:pt>
                <c:pt idx="3">
                  <c:v>6600</c:v>
                </c:pt>
                <c:pt idx="4">
                  <c:v>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F-47BA-AEC6-5A026445FE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98335632"/>
        <c:axId val="1422492303"/>
      </c:barChart>
      <c:catAx>
        <c:axId val="29833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92303"/>
        <c:crosses val="autoZero"/>
        <c:auto val="1"/>
        <c:lblAlgn val="ctr"/>
        <c:lblOffset val="100"/>
        <c:noMultiLvlLbl val="0"/>
      </c:catAx>
      <c:valAx>
        <c:axId val="1422492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833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46981627296588"/>
          <c:y val="4.3351866197298201E-2"/>
          <c:w val="0.85230796150481192"/>
          <c:h val="0.84961937354343786"/>
        </c:manualLayout>
      </c:layout>
      <c:bubbleChart>
        <c:varyColors val="0"/>
        <c:ser>
          <c:idx val="0"/>
          <c:order val="0"/>
          <c:tx>
            <c:strRef>
              <c:f>Analysis!$C$57</c:f>
              <c:strCache>
                <c:ptCount val="1"/>
                <c:pt idx="0">
                  <c:v>volume sum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Analysis!$B$58:$B$68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Analysis!$C$58:$C$68</c:f>
              <c:numCache>
                <c:formatCode>General</c:formatCode>
                <c:ptCount val="11"/>
                <c:pt idx="0">
                  <c:v>3000</c:v>
                </c:pt>
                <c:pt idx="1">
                  <c:v>2600</c:v>
                </c:pt>
                <c:pt idx="2">
                  <c:v>8200</c:v>
                </c:pt>
                <c:pt idx="3">
                  <c:v>1800</c:v>
                </c:pt>
                <c:pt idx="4">
                  <c:v>11400</c:v>
                </c:pt>
                <c:pt idx="5">
                  <c:v>9400</c:v>
                </c:pt>
                <c:pt idx="6">
                  <c:v>6400</c:v>
                </c:pt>
                <c:pt idx="7">
                  <c:v>600</c:v>
                </c:pt>
                <c:pt idx="8">
                  <c:v>1800</c:v>
                </c:pt>
                <c:pt idx="9">
                  <c:v>1800</c:v>
                </c:pt>
                <c:pt idx="10">
                  <c:v>5000</c:v>
                </c:pt>
              </c:numCache>
            </c:numRef>
          </c:yVal>
          <c:bubbleSize>
            <c:numRef>
              <c:f>Analysis!$D$58:$D$68</c:f>
              <c:numCache>
                <c:formatCode>General</c:formatCode>
                <c:ptCount val="11"/>
                <c:pt idx="0">
                  <c:v>5</c:v>
                </c:pt>
                <c:pt idx="1">
                  <c:v>2</c:v>
                </c:pt>
                <c:pt idx="2">
                  <c:v>9</c:v>
                </c:pt>
                <c:pt idx="3">
                  <c:v>3</c:v>
                </c:pt>
                <c:pt idx="4">
                  <c:v>12</c:v>
                </c:pt>
                <c:pt idx="5">
                  <c:v>11</c:v>
                </c:pt>
                <c:pt idx="6">
                  <c:v>6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CA6F-4800-8AA3-7009DF8882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399702496"/>
        <c:axId val="1417512255"/>
      </c:bubbleChart>
      <c:valAx>
        <c:axId val="39970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12255"/>
        <c:crosses val="autoZero"/>
        <c:crossBetween val="midCat"/>
      </c:valAx>
      <c:valAx>
        <c:axId val="1417512255"/>
        <c:scaling>
          <c:orientation val="minMax"/>
          <c:max val="13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sum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0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Analysis!$K$37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Analysis!$H$38:$H$41</c:f>
              <c:strCache>
                <c:ptCount val="4"/>
                <c:pt idx="0">
                  <c:v>Dennis</c:v>
                </c:pt>
                <c:pt idx="1">
                  <c:v>Mac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Analysis!$K$38:$K$41</c:f>
              <c:numCache>
                <c:formatCode>0.00%</c:formatCode>
                <c:ptCount val="4"/>
                <c:pt idx="0">
                  <c:v>0.77173091458805743</c:v>
                </c:pt>
                <c:pt idx="1">
                  <c:v>0.78300653594771241</c:v>
                </c:pt>
                <c:pt idx="2">
                  <c:v>0.8174642328564381</c:v>
                </c:pt>
                <c:pt idx="3">
                  <c:v>0.82180974477958235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50-4D24-866C-3186A94DD4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89740336"/>
        <c:axId val="3027401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Analysis!$I$37</c15:sqref>
                        </c15:formulaRef>
                      </c:ext>
                    </c:extLst>
                    <c:strCache>
                      <c:ptCount val="1"/>
                      <c:pt idx="0">
                        <c:v>prod time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Analysis!$H$38:$H$41</c15:sqref>
                        </c15:formulaRef>
                      </c:ext>
                    </c:extLst>
                    <c:strCache>
                      <c:ptCount val="4"/>
                      <c:pt idx="0">
                        <c:v>Dennis</c:v>
                      </c:pt>
                      <c:pt idx="1">
                        <c:v>Mac</c:v>
                      </c:pt>
                      <c:pt idx="2">
                        <c:v>Dee</c:v>
                      </c:pt>
                      <c:pt idx="3">
                        <c:v>Charlie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Analysis!$I$38:$I$41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1323</c:v>
                      </c:pt>
                      <c:pt idx="1">
                        <c:v>1530.0000000000002</c:v>
                      </c:pt>
                      <c:pt idx="2">
                        <c:v>2027</c:v>
                      </c:pt>
                      <c:pt idx="3">
                        <c:v>2155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50-4D24-866C-3186A94DD4B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Analysis!$J$37</c15:sqref>
                        </c15:formulaRef>
                      </c:ext>
                    </c:extLst>
                    <c:strCache>
                      <c:ptCount val="1"/>
                      <c:pt idx="0">
                        <c:v>downtime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Analysis!$H$38:$H$41</c15:sqref>
                        </c15:formulaRef>
                      </c:ext>
                    </c:extLst>
                    <c:strCache>
                      <c:ptCount val="4"/>
                      <c:pt idx="0">
                        <c:v>Dennis</c:v>
                      </c:pt>
                      <c:pt idx="1">
                        <c:v>Mac</c:v>
                      </c:pt>
                      <c:pt idx="2">
                        <c:v>Dee</c:v>
                      </c:pt>
                      <c:pt idx="3">
                        <c:v>Charlie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Analysis!$J$38:$J$41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302</c:v>
                      </c:pt>
                      <c:pt idx="1">
                        <c:v>332</c:v>
                      </c:pt>
                      <c:pt idx="2">
                        <c:v>370</c:v>
                      </c:pt>
                      <c:pt idx="3">
                        <c:v>384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D50-4D24-866C-3186A94DD4B9}"/>
                  </c:ext>
                </c:extLst>
              </c15:ser>
            </c15:filteredBarSeries>
          </c:ext>
        </c:extLst>
      </c:barChart>
      <c:catAx>
        <c:axId val="389740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40128"/>
        <c:crosses val="autoZero"/>
        <c:auto val="1"/>
        <c:lblAlgn val="ctr"/>
        <c:lblOffset val="100"/>
        <c:noMultiLvlLbl val="0"/>
      </c:catAx>
      <c:valAx>
        <c:axId val="302740128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38974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 line productivity1.xlsx]pivot!PivotTable5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pivot!$J$30</c:f>
              <c:strCache>
                <c:ptCount val="1"/>
                <c:pt idx="0">
                  <c:v>Downtime(mins)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pivot!$I$31:$I$42</c:f>
              <c:strCache>
                <c:ptCount val="11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</c:strCache>
            </c:strRef>
          </c:cat>
          <c:val>
            <c:numRef>
              <c:f>pivot!$J$31:$J$42</c:f>
              <c:numCache>
                <c:formatCode>General</c:formatCode>
                <c:ptCount val="11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F-44CA-907E-29D0A4A22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axId val="299198176"/>
        <c:axId val="395120000"/>
      </c:barChart>
      <c:lineChart>
        <c:grouping val="standard"/>
        <c:varyColors val="0"/>
        <c:ser>
          <c:idx val="1"/>
          <c:order val="1"/>
          <c:tx>
            <c:strRef>
              <c:f>pivot!$K$30</c:f>
              <c:strCache>
                <c:ptCount val="1"/>
                <c:pt idx="0">
                  <c:v>%Cumulative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pivot!$I$31:$I$42</c:f>
              <c:strCache>
                <c:ptCount val="11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</c:strCache>
            </c:strRef>
          </c:cat>
          <c:val>
            <c:numRef>
              <c:f>pivot!$K$31:$K$42</c:f>
              <c:numCache>
                <c:formatCode>0.00%</c:formatCode>
                <c:ptCount val="11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D2F-44CA-907E-29D0A4A22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329807"/>
        <c:axId val="1032299247"/>
      </c:lineChart>
      <c:catAx>
        <c:axId val="29919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0000"/>
        <c:crosses val="autoZero"/>
        <c:auto val="1"/>
        <c:lblAlgn val="ctr"/>
        <c:lblOffset val="100"/>
        <c:noMultiLvlLbl val="0"/>
      </c:catAx>
      <c:valAx>
        <c:axId val="395120000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98176"/>
        <c:crosses val="autoZero"/>
        <c:crossBetween val="between"/>
      </c:valAx>
      <c:valAx>
        <c:axId val="1032299247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329807"/>
        <c:crosses val="max"/>
        <c:crossBetween val="between"/>
      </c:valAx>
      <c:catAx>
        <c:axId val="15723298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2299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959752520174575"/>
          <c:y val="0.11615740740740743"/>
          <c:w val="0.42080494959650849"/>
          <c:h val="7.81255468066491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pivot!$C$60</c:f>
              <c:strCache>
                <c:ptCount val="1"/>
                <c:pt idx="0">
                  <c:v>Sum of Size in Ml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xVal>
            <c:strRef>
              <c:f>pivot!$B$61:$B$71</c:f>
              <c:strCache>
                <c:ptCount val="11"/>
                <c:pt idx="0">
                  <c:v>Batch change</c:v>
                </c:pt>
                <c:pt idx="1">
                  <c:v>Batch coding error</c:v>
                </c:pt>
                <c:pt idx="2">
                  <c:v>Calibration error</c:v>
                </c:pt>
                <c:pt idx="3">
                  <c:v>Conveyor belt jam</c:v>
                </c:pt>
                <c:pt idx="4">
                  <c:v>Inventory shortage</c:v>
                </c:pt>
                <c:pt idx="5">
                  <c:v>Label switch</c:v>
                </c:pt>
                <c:pt idx="6">
                  <c:v>Labeling error</c:v>
                </c:pt>
                <c:pt idx="7">
                  <c:v>Machine adjustment</c:v>
                </c:pt>
                <c:pt idx="8">
                  <c:v>Machine failure</c:v>
                </c:pt>
                <c:pt idx="9">
                  <c:v>Other</c:v>
                </c:pt>
                <c:pt idx="10">
                  <c:v>Product spill</c:v>
                </c:pt>
              </c:strCache>
            </c:strRef>
          </c:xVal>
          <c:yVal>
            <c:numRef>
              <c:f>pivot!$C$61:$C$71</c:f>
              <c:numCache>
                <c:formatCode>General</c:formatCode>
                <c:ptCount val="11"/>
                <c:pt idx="0">
                  <c:v>3000</c:v>
                </c:pt>
                <c:pt idx="1">
                  <c:v>6400</c:v>
                </c:pt>
                <c:pt idx="2">
                  <c:v>1800</c:v>
                </c:pt>
                <c:pt idx="3">
                  <c:v>600</c:v>
                </c:pt>
                <c:pt idx="4">
                  <c:v>8200</c:v>
                </c:pt>
                <c:pt idx="5">
                  <c:v>1800</c:v>
                </c:pt>
                <c:pt idx="6">
                  <c:v>2600</c:v>
                </c:pt>
                <c:pt idx="7">
                  <c:v>11400</c:v>
                </c:pt>
                <c:pt idx="8">
                  <c:v>9400</c:v>
                </c:pt>
                <c:pt idx="9">
                  <c:v>5000</c:v>
                </c:pt>
                <c:pt idx="10">
                  <c:v>1800</c:v>
                </c:pt>
              </c:numCache>
            </c:numRef>
          </c:yVal>
          <c:bubbleSize>
            <c:numRef>
              <c:f>pivot!$D$61:$D$71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BE59-4948-AFB8-C419A4687BA9}"/>
            </c:ext>
          </c:extLst>
        </c:ser>
        <c:ser>
          <c:idx val="1"/>
          <c:order val="1"/>
          <c:tx>
            <c:strRef>
              <c:f>pivot!$B$60</c:f>
              <c:strCache>
                <c:ptCount val="1"/>
                <c:pt idx="0">
                  <c:v>Row Labels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pivot!$B$61:$B$71</c:f>
              <c:strCache>
                <c:ptCount val="11"/>
                <c:pt idx="0">
                  <c:v>Batch change</c:v>
                </c:pt>
                <c:pt idx="1">
                  <c:v>Batch coding error</c:v>
                </c:pt>
                <c:pt idx="2">
                  <c:v>Calibration error</c:v>
                </c:pt>
                <c:pt idx="3">
                  <c:v>Conveyor belt jam</c:v>
                </c:pt>
                <c:pt idx="4">
                  <c:v>Inventory shortage</c:v>
                </c:pt>
                <c:pt idx="5">
                  <c:v>Label switch</c:v>
                </c:pt>
                <c:pt idx="6">
                  <c:v>Labeling error</c:v>
                </c:pt>
                <c:pt idx="7">
                  <c:v>Machine adjustment</c:v>
                </c:pt>
                <c:pt idx="8">
                  <c:v>Machine failure</c:v>
                </c:pt>
                <c:pt idx="9">
                  <c:v>Other</c:v>
                </c:pt>
                <c:pt idx="10">
                  <c:v>Product spill</c:v>
                </c:pt>
              </c:strCache>
            </c:strRef>
          </c:xVal>
          <c:yVal>
            <c:numRef>
              <c:f>pivot!$C$61:$C$71</c:f>
              <c:numCache>
                <c:formatCode>General</c:formatCode>
                <c:ptCount val="11"/>
                <c:pt idx="0">
                  <c:v>3000</c:v>
                </c:pt>
                <c:pt idx="1">
                  <c:v>6400</c:v>
                </c:pt>
                <c:pt idx="2">
                  <c:v>1800</c:v>
                </c:pt>
                <c:pt idx="3">
                  <c:v>600</c:v>
                </c:pt>
                <c:pt idx="4">
                  <c:v>8200</c:v>
                </c:pt>
                <c:pt idx="5">
                  <c:v>1800</c:v>
                </c:pt>
                <c:pt idx="6">
                  <c:v>2600</c:v>
                </c:pt>
                <c:pt idx="7">
                  <c:v>11400</c:v>
                </c:pt>
                <c:pt idx="8">
                  <c:v>9400</c:v>
                </c:pt>
                <c:pt idx="9">
                  <c:v>5000</c:v>
                </c:pt>
                <c:pt idx="10">
                  <c:v>1800</c:v>
                </c:pt>
              </c:numCache>
            </c:numRef>
          </c:yVal>
          <c:bubbleSize>
            <c:numRef>
              <c:f>pivot!$D$61:$D$71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BE59-4948-AFB8-C419A4687B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65"/>
        <c:showNegBubbles val="0"/>
        <c:axId val="1918694415"/>
        <c:axId val="308530000"/>
      </c:bubbleChart>
      <c:valAx>
        <c:axId val="1918694415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30000"/>
        <c:crosses val="autoZero"/>
        <c:crossBetween val="midCat"/>
      </c:valAx>
      <c:valAx>
        <c:axId val="30853000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69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03752553600825"/>
          <c:y val="0.17086784606469646"/>
          <c:w val="0.45022346073239583"/>
          <c:h val="0.7737606662803513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53-4B3B-AB45-E057F05C3F2A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53-4B3B-AB45-E057F05C3F2A}"/>
              </c:ext>
            </c:extLst>
          </c:dPt>
          <c:dLbls>
            <c:dLbl>
              <c:idx val="0"/>
              <c:layout>
                <c:manualLayout>
                  <c:x val="-8.4124711683766798E-2"/>
                  <c:y val="-0.2821111578609925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F3242FC-FA96-495F-A1D8-756556E4F745}" type="VALUE">
                      <a:rPr lang="en-US" sz="1000"/>
                      <a:pPr>
                        <a:defRPr sz="800" b="1"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716376362045651"/>
                      <c:h val="0.3009717296788282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E53-4B3B-AB45-E057F05C3F2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53-4B3B-AB45-E057F05C3F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Analysis!$E$38:$F$38</c:f>
              <c:numCache>
                <c:formatCode>0.00%</c:formatCode>
                <c:ptCount val="2"/>
                <c:pt idx="0">
                  <c:v>0.80270078180525939</c:v>
                </c:pt>
                <c:pt idx="1">
                  <c:v>0.19729921819474061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53-4B3B-AB45-E057F05C3F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Operator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61592300962376E-2"/>
          <c:y val="0.17171296296296298"/>
          <c:w val="0.86496062992125988"/>
          <c:h val="0.72125801983085447"/>
        </c:manualLayout>
      </c:layout>
      <c:bubbleChart>
        <c:varyColors val="0"/>
        <c:ser>
          <c:idx val="0"/>
          <c:order val="0"/>
          <c:tx>
            <c:strRef>
              <c:f>Analysis!$B$33</c:f>
              <c:strCache>
                <c:ptCount val="1"/>
                <c:pt idx="0">
                  <c:v>Operator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47-44EB-B6A9-7430F9B07AA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47-44EB-B6A9-7430F9B07AA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47-44EB-B6A9-7430F9B07AA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47-44EB-B6A9-7430F9B07AA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47-44EB-B6A9-7430F9B07AA3}"/>
              </c:ext>
            </c:extLst>
          </c:dPt>
          <c:dLbls>
            <c:dLbl>
              <c:idx val="0"/>
              <c:layout>
                <c:manualLayout>
                  <c:x val="-7.9242782152230976E-2"/>
                  <c:y val="9.9502405949256301E-2"/>
                </c:manualLayout>
              </c:layout>
              <c:tx>
                <c:rich>
                  <a:bodyPr/>
                  <a:lstStyle/>
                  <a:p>
                    <a:fld id="{1CBAD8B4-53CC-4277-9B3E-EF43D4AF302E}" type="XVALUE">
                      <a:rPr lang="en-US"/>
                      <a:pPr/>
                      <a:t>[X VALUE]</a:t>
                    </a:fld>
                    <a:r>
                      <a:rPr lang="en-US" baseline="0"/>
                      <a:t>,</a:t>
                    </a:r>
                  </a:p>
                  <a:p>
                    <a:r>
                      <a:rPr lang="en-US" baseline="0"/>
                      <a:t> </a:t>
                    </a:r>
                    <a:fld id="{BD049A45-CC87-4902-B945-E51A7393DD0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47-44EB-B6A9-7430F9B07AA3}"/>
                </c:ext>
              </c:extLst>
            </c:dLbl>
            <c:dLbl>
              <c:idx val="1"/>
              <c:layout>
                <c:manualLayout>
                  <c:x val="-7.7562335958005255E-2"/>
                  <c:y val="0.13190981335666371"/>
                </c:manualLayout>
              </c:layout>
              <c:tx>
                <c:rich>
                  <a:bodyPr/>
                  <a:lstStyle/>
                  <a:p>
                    <a:fld id="{E18C5257-109D-4381-B1AD-9404E442CF30}" type="XVALUE">
                      <a:rPr lang="en-US"/>
                      <a:pPr/>
                      <a:t>[X VALUE]</a:t>
                    </a:fld>
                    <a:r>
                      <a:rPr lang="en-US" baseline="0"/>
                      <a:t>,</a:t>
                    </a:r>
                  </a:p>
                  <a:p>
                    <a:fld id="{5E4C8016-5E22-4BB6-A5D0-FFB53BC06EB0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47-44EB-B6A9-7430F9B07AA3}"/>
                </c:ext>
              </c:extLst>
            </c:dLbl>
            <c:dLbl>
              <c:idx val="2"/>
              <c:layout>
                <c:manualLayout>
                  <c:x val="-6.9777559055118218E-2"/>
                  <c:y val="0.12728018372703412"/>
                </c:manualLayout>
              </c:layout>
              <c:tx>
                <c:rich>
                  <a:bodyPr/>
                  <a:lstStyle/>
                  <a:p>
                    <a:fld id="{5A28AB37-05E7-48F7-934F-5448691793BA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</a:p>
                  <a:p>
                    <a:fld id="{ACE80762-FEF6-4375-842B-47CA13C3A648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47-44EB-B6A9-7430F9B07AA3}"/>
                </c:ext>
              </c:extLst>
            </c:dLbl>
            <c:dLbl>
              <c:idx val="3"/>
              <c:layout>
                <c:manualLayout>
                  <c:x val="-9.532885595182955E-2"/>
                  <c:y val="0.1249621358805559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4D2398D-19AA-481C-9116-D9204C56C864}" type="XVALUE">
                      <a:rPr lang="en-US"/>
                      <a:pPr>
                        <a:defRPr/>
                      </a:pPr>
                      <a:t>[X VALUE]</a:t>
                    </a:fld>
                    <a:endParaRPr lang="en-US" baseline="0"/>
                  </a:p>
                  <a:p>
                    <a:pPr>
                      <a:defRPr/>
                    </a:pPr>
                    <a:fld id="{1140D2DA-3AA5-42EF-B57F-3D61FC02A8E3}" type="YVALUE">
                      <a:rPr lang="en-US" baseline="0"/>
                      <a:pPr>
                        <a:defRPr/>
                      </a:pPr>
                      <a:t>[Y 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103674540682414"/>
                      <c:h val="0.1757807323264919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47-44EB-B6A9-7430F9B07AA3}"/>
                </c:ext>
              </c:extLst>
            </c:dLbl>
            <c:dLbl>
              <c:idx val="4"/>
              <c:layout>
                <c:manualLayout>
                  <c:x val="-2.4128197210642906E-2"/>
                  <c:y val="9.8892044232175846E-2"/>
                </c:manualLayout>
              </c:layout>
              <c:tx>
                <c:rich>
                  <a:bodyPr/>
                  <a:lstStyle/>
                  <a:p>
                    <a:fld id="{85AA37FD-6322-4263-A8DC-BBAC0E9C0A83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</a:p>
                  <a:p>
                    <a:fld id="{B838C07B-E8C2-4CDA-821D-734CBA2D71E9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CA47-44EB-B6A9-7430F9B07A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Analysis!$B$34:$B$38</c:f>
              <c:strCache>
                <c:ptCount val="5"/>
                <c:pt idx="0">
                  <c:v>Mac</c:v>
                </c:pt>
                <c:pt idx="1">
                  <c:v>Charlie</c:v>
                </c:pt>
                <c:pt idx="2">
                  <c:v>Dee</c:v>
                </c:pt>
                <c:pt idx="3">
                  <c:v>Dennis</c:v>
                </c:pt>
                <c:pt idx="4">
                  <c:v>Overall</c:v>
                </c:pt>
              </c:strCache>
            </c:strRef>
          </c:xVal>
          <c:yVal>
            <c:numRef>
              <c:f>Analysis!$E$34:$E$38</c:f>
              <c:numCache>
                <c:formatCode>0.00%</c:formatCode>
                <c:ptCount val="5"/>
                <c:pt idx="0">
                  <c:v>0.78300653594771241</c:v>
                </c:pt>
                <c:pt idx="1">
                  <c:v>0.82180974477958235</c:v>
                </c:pt>
                <c:pt idx="2">
                  <c:v>0.8174642328564381</c:v>
                </c:pt>
                <c:pt idx="3">
                  <c:v>0.77173091458805743</c:v>
                </c:pt>
                <c:pt idx="4">
                  <c:v>0.80270078180525939</c:v>
                </c:pt>
              </c:numCache>
            </c:numRef>
          </c:yVal>
          <c:bubbleSize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D-CA47-44EB-B6A9-7430F9B07A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30"/>
        <c:showNegBubbles val="0"/>
        <c:axId val="462354880"/>
        <c:axId val="304786624"/>
      </c:bubbleChart>
      <c:valAx>
        <c:axId val="462354880"/>
        <c:scaling>
          <c:orientation val="minMax"/>
          <c:max val="6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86624"/>
        <c:crosses val="autoZero"/>
        <c:crossBetween val="midCat"/>
      </c:valAx>
      <c:valAx>
        <c:axId val="304786624"/>
        <c:scaling>
          <c:orientation val="minMax"/>
          <c:max val="1"/>
          <c:min val="0"/>
        </c:scaling>
        <c:delete val="1"/>
        <c:axPos val="l"/>
        <c:numFmt formatCode="0%" sourceLinked="0"/>
        <c:majorTickMark val="none"/>
        <c:minorTickMark val="none"/>
        <c:tickLblPos val="nextTo"/>
        <c:crossAx val="4623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 line productivity1.xlsx]pivot!PivotTable5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Downtime Per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pivot!$J$30</c:f>
              <c:strCache>
                <c:ptCount val="1"/>
                <c:pt idx="0">
                  <c:v>Downtime(mins)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pivot!$I$31:$I$42</c:f>
              <c:strCache>
                <c:ptCount val="11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</c:strCache>
            </c:strRef>
          </c:cat>
          <c:val>
            <c:numRef>
              <c:f>pivot!$J$31:$J$42</c:f>
              <c:numCache>
                <c:formatCode>General</c:formatCode>
                <c:ptCount val="11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6-401E-8E47-F7C43AA0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axId val="299198176"/>
        <c:axId val="395120000"/>
      </c:barChart>
      <c:lineChart>
        <c:grouping val="standard"/>
        <c:varyColors val="0"/>
        <c:ser>
          <c:idx val="1"/>
          <c:order val="1"/>
          <c:tx>
            <c:strRef>
              <c:f>pivot!$K$30</c:f>
              <c:strCache>
                <c:ptCount val="1"/>
                <c:pt idx="0">
                  <c:v>%Cumulative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pivot!$I$31:$I$42</c:f>
              <c:strCache>
                <c:ptCount val="11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</c:strCache>
            </c:strRef>
          </c:cat>
          <c:val>
            <c:numRef>
              <c:f>pivot!$K$31:$K$42</c:f>
              <c:numCache>
                <c:formatCode>0.00%</c:formatCode>
                <c:ptCount val="11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CD6-401E-8E47-F7C43AA0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329807"/>
        <c:axId val="1032299247"/>
      </c:lineChart>
      <c:catAx>
        <c:axId val="29919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0000"/>
        <c:crosses val="autoZero"/>
        <c:auto val="1"/>
        <c:lblAlgn val="ctr"/>
        <c:lblOffset val="100"/>
        <c:noMultiLvlLbl val="0"/>
      </c:catAx>
      <c:valAx>
        <c:axId val="395120000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98176"/>
        <c:crosses val="autoZero"/>
        <c:crossBetween val="between"/>
      </c:valAx>
      <c:valAx>
        <c:axId val="1032299247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329807"/>
        <c:crosses val="max"/>
        <c:crossBetween val="between"/>
      </c:valAx>
      <c:catAx>
        <c:axId val="15723298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2299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891904959248515"/>
          <c:y val="0.13936965811965812"/>
          <c:w val="0.50646282851007263"/>
          <c:h val="8.5747551373151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</a:t>
            </a:r>
            <a:r>
              <a:rPr lang="en-US"/>
              <a:t>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71945173519977"/>
          <c:y val="0.25443840579710147"/>
          <c:w val="0.80153980752405951"/>
          <c:h val="0.645923913043478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Analysis!$M$4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Analysis!$L$5:$L$10</c:f>
              <c:strCache>
                <c:ptCount val="6"/>
                <c:pt idx="0">
                  <c:v>CO-2L</c:v>
                </c:pt>
                <c:pt idx="1">
                  <c:v>CO-600</c:v>
                </c:pt>
                <c:pt idx="2">
                  <c:v>RB-600</c:v>
                </c:pt>
                <c:pt idx="3">
                  <c:v>LE-600</c:v>
                </c:pt>
                <c:pt idx="4">
                  <c:v>DC-600</c:v>
                </c:pt>
                <c:pt idx="5">
                  <c:v>OR-600</c:v>
                </c:pt>
              </c:strCache>
            </c:strRef>
          </c:cat>
          <c:val>
            <c:numRef>
              <c:f>Analysis!$M$5:$M$10</c:f>
              <c:numCache>
                <c:formatCode>General</c:formatCode>
                <c:ptCount val="6"/>
                <c:pt idx="0">
                  <c:v>22000</c:v>
                </c:pt>
                <c:pt idx="1">
                  <c:v>15000</c:v>
                </c:pt>
                <c:pt idx="2">
                  <c:v>6600</c:v>
                </c:pt>
                <c:pt idx="3">
                  <c:v>5400</c:v>
                </c:pt>
                <c:pt idx="4">
                  <c:v>3600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F-4FA0-A863-F3922CE58B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22824239"/>
        <c:axId val="1041159743"/>
      </c:barChart>
      <c:catAx>
        <c:axId val="14228242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59743"/>
        <c:crosses val="autoZero"/>
        <c:auto val="1"/>
        <c:lblAlgn val="ctr"/>
        <c:lblOffset val="100"/>
        <c:noMultiLvlLbl val="0"/>
      </c:catAx>
      <c:valAx>
        <c:axId val="104115974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4228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Flavor</a:t>
            </a:r>
            <a:r>
              <a:rPr lang="en-US" baseline="0"/>
              <a:t>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30954375383928"/>
          <c:y val="0.22850637522768674"/>
          <c:w val="0.75968336404757919"/>
          <c:h val="0.671311475409836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Analysis!$M$13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Analysis!$L$14:$L$18</c:f>
              <c:strCache>
                <c:ptCount val="5"/>
                <c:pt idx="0">
                  <c:v>Orange</c:v>
                </c:pt>
                <c:pt idx="1">
                  <c:v>Diet Cola</c:v>
                </c:pt>
                <c:pt idx="2">
                  <c:v>Lemon lime</c:v>
                </c:pt>
                <c:pt idx="3">
                  <c:v>Root Beer</c:v>
                </c:pt>
                <c:pt idx="4">
                  <c:v>Cola</c:v>
                </c:pt>
              </c:strCache>
            </c:strRef>
          </c:cat>
          <c:val>
            <c:numRef>
              <c:f>Analysis!$M$14:$M$18</c:f>
              <c:numCache>
                <c:formatCode>General</c:formatCode>
                <c:ptCount val="5"/>
                <c:pt idx="0">
                  <c:v>1200</c:v>
                </c:pt>
                <c:pt idx="1">
                  <c:v>3600</c:v>
                </c:pt>
                <c:pt idx="2">
                  <c:v>5400</c:v>
                </c:pt>
                <c:pt idx="3">
                  <c:v>6600</c:v>
                </c:pt>
                <c:pt idx="4">
                  <c:v>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FA-4309-B673-8FD53B8F56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98335632"/>
        <c:axId val="1422492303"/>
      </c:barChart>
      <c:catAx>
        <c:axId val="29833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92303"/>
        <c:crosses val="autoZero"/>
        <c:auto val="1"/>
        <c:lblAlgn val="ctr"/>
        <c:lblOffset val="100"/>
        <c:noMultiLvlLbl val="0"/>
      </c:catAx>
      <c:valAx>
        <c:axId val="1422492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833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494718647973881"/>
          <c:y val="4.7119381816403377E-2"/>
          <c:w val="0.78284637949668057"/>
          <c:h val="0.8116349586736441"/>
        </c:manualLayout>
      </c:layout>
      <c:bubbleChart>
        <c:varyColors val="0"/>
        <c:ser>
          <c:idx val="0"/>
          <c:order val="0"/>
          <c:tx>
            <c:strRef>
              <c:f>pivot!$C$60</c:f>
              <c:strCache>
                <c:ptCount val="1"/>
                <c:pt idx="0">
                  <c:v>Sum of Size in Ml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xVal>
            <c:strRef>
              <c:f>pivot!$B$61:$B$71</c:f>
              <c:strCache>
                <c:ptCount val="11"/>
                <c:pt idx="0">
                  <c:v>Batch change</c:v>
                </c:pt>
                <c:pt idx="1">
                  <c:v>Batch coding error</c:v>
                </c:pt>
                <c:pt idx="2">
                  <c:v>Calibration error</c:v>
                </c:pt>
                <c:pt idx="3">
                  <c:v>Conveyor belt jam</c:v>
                </c:pt>
                <c:pt idx="4">
                  <c:v>Inventory shortage</c:v>
                </c:pt>
                <c:pt idx="5">
                  <c:v>Label switch</c:v>
                </c:pt>
                <c:pt idx="6">
                  <c:v>Labeling error</c:v>
                </c:pt>
                <c:pt idx="7">
                  <c:v>Machine adjustment</c:v>
                </c:pt>
                <c:pt idx="8">
                  <c:v>Machine failure</c:v>
                </c:pt>
                <c:pt idx="9">
                  <c:v>Other</c:v>
                </c:pt>
                <c:pt idx="10">
                  <c:v>Product spill</c:v>
                </c:pt>
              </c:strCache>
            </c:strRef>
          </c:xVal>
          <c:yVal>
            <c:numRef>
              <c:f>pivot!$C$61:$C$71</c:f>
              <c:numCache>
                <c:formatCode>General</c:formatCode>
                <c:ptCount val="11"/>
                <c:pt idx="0">
                  <c:v>3000</c:v>
                </c:pt>
                <c:pt idx="1">
                  <c:v>6400</c:v>
                </c:pt>
                <c:pt idx="2">
                  <c:v>1800</c:v>
                </c:pt>
                <c:pt idx="3">
                  <c:v>600</c:v>
                </c:pt>
                <c:pt idx="4">
                  <c:v>8200</c:v>
                </c:pt>
                <c:pt idx="5">
                  <c:v>1800</c:v>
                </c:pt>
                <c:pt idx="6">
                  <c:v>2600</c:v>
                </c:pt>
                <c:pt idx="7">
                  <c:v>11400</c:v>
                </c:pt>
                <c:pt idx="8">
                  <c:v>9400</c:v>
                </c:pt>
                <c:pt idx="9">
                  <c:v>5000</c:v>
                </c:pt>
                <c:pt idx="10">
                  <c:v>1800</c:v>
                </c:pt>
              </c:numCache>
            </c:numRef>
          </c:yVal>
          <c:bubbleSize>
            <c:numRef>
              <c:f>pivot!$D$61:$D$71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759-4A57-9732-803A102E7FA6}"/>
            </c:ext>
          </c:extLst>
        </c:ser>
        <c:ser>
          <c:idx val="1"/>
          <c:order val="1"/>
          <c:tx>
            <c:strRef>
              <c:f>pivot!$B$60</c:f>
              <c:strCache>
                <c:ptCount val="1"/>
                <c:pt idx="0">
                  <c:v>Row Labels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9215686274509838E-2"/>
                  <c:y val="-3.2407407407407489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759-4A57-9732-803A102E7FA6}"/>
                </c:ext>
              </c:extLst>
            </c:dLbl>
            <c:dLbl>
              <c:idx val="1"/>
              <c:layout>
                <c:manualLayout>
                  <c:x val="-2.3529411764705882E-2"/>
                  <c:y val="-8.4875562720133283E-17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759-4A57-9732-803A102E7FA6}"/>
                </c:ext>
              </c:extLst>
            </c:dLbl>
            <c:dLbl>
              <c:idx val="2"/>
              <c:layout>
                <c:manualLayout>
                  <c:x val="-3.9215686274509803E-2"/>
                  <c:y val="-3.2407407407407406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759-4A57-9732-803A102E7FA6}"/>
                </c:ext>
              </c:extLst>
            </c:dLbl>
            <c:dLbl>
              <c:idx val="3"/>
              <c:layout>
                <c:manualLayout>
                  <c:x val="-2.7450980392156862E-2"/>
                  <c:y val="-8.4875562720133283E-17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759-4A57-9732-803A102E7FA6}"/>
                </c:ext>
              </c:extLst>
            </c:dLbl>
            <c:dLbl>
              <c:idx val="4"/>
              <c:layout>
                <c:manualLayout>
                  <c:x val="-2.3529411764705882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759-4A57-9732-803A102E7FA6}"/>
                </c:ext>
              </c:extLst>
            </c:dLbl>
            <c:dLbl>
              <c:idx val="5"/>
              <c:layout>
                <c:manualLayout>
                  <c:x val="-4.3137254901960853E-2"/>
                  <c:y val="4.6296296296296294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759-4A57-9732-803A102E7FA6}"/>
                </c:ext>
              </c:extLst>
            </c:dLbl>
            <c:dLbl>
              <c:idx val="6"/>
              <c:layout>
                <c:manualLayout>
                  <c:x val="-2.3529411764706028E-2"/>
                  <c:y val="-8.4875562720133283E-17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759-4A57-9732-803A102E7FA6}"/>
                </c:ext>
              </c:extLst>
            </c:dLbl>
            <c:dLbl>
              <c:idx val="7"/>
              <c:layout>
                <c:manualLayout>
                  <c:x val="-3.9215686274509949E-2"/>
                  <c:y val="-5.0925925925925923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59-4A57-9732-803A102E7FA6}"/>
                </c:ext>
              </c:extLst>
            </c:dLbl>
            <c:dLbl>
              <c:idx val="8"/>
              <c:layout>
                <c:manualLayout>
                  <c:x val="-4.3137254901960784E-2"/>
                  <c:y val="-4.1666666666666664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59-4A57-9732-803A102E7FA6}"/>
                </c:ext>
              </c:extLst>
            </c:dLbl>
            <c:dLbl>
              <c:idx val="9"/>
              <c:layout>
                <c:manualLayout>
                  <c:x val="-2.3529411764706028E-2"/>
                  <c:y val="-2.7777777777777776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59-4A57-9732-803A102E7FA6}"/>
                </c:ext>
              </c:extLst>
            </c:dLbl>
            <c:dLbl>
              <c:idx val="10"/>
              <c:layout>
                <c:manualLayout>
                  <c:x val="-2.7450980392156862E-2"/>
                  <c:y val="-4.6296296296297144E-3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59-4A57-9732-803A102E7F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pivot!$B$61:$B$71</c:f>
              <c:strCache>
                <c:ptCount val="11"/>
                <c:pt idx="0">
                  <c:v>Batch change</c:v>
                </c:pt>
                <c:pt idx="1">
                  <c:v>Batch coding error</c:v>
                </c:pt>
                <c:pt idx="2">
                  <c:v>Calibration error</c:v>
                </c:pt>
                <c:pt idx="3">
                  <c:v>Conveyor belt jam</c:v>
                </c:pt>
                <c:pt idx="4">
                  <c:v>Inventory shortage</c:v>
                </c:pt>
                <c:pt idx="5">
                  <c:v>Label switch</c:v>
                </c:pt>
                <c:pt idx="6">
                  <c:v>Labeling error</c:v>
                </c:pt>
                <c:pt idx="7">
                  <c:v>Machine adjustment</c:v>
                </c:pt>
                <c:pt idx="8">
                  <c:v>Machine failure</c:v>
                </c:pt>
                <c:pt idx="9">
                  <c:v>Other</c:v>
                </c:pt>
                <c:pt idx="10">
                  <c:v>Product spill</c:v>
                </c:pt>
              </c:strCache>
            </c:strRef>
          </c:xVal>
          <c:yVal>
            <c:numRef>
              <c:f>pivot!$C$61:$C$71</c:f>
              <c:numCache>
                <c:formatCode>General</c:formatCode>
                <c:ptCount val="11"/>
                <c:pt idx="0">
                  <c:v>3000</c:v>
                </c:pt>
                <c:pt idx="1">
                  <c:v>6400</c:v>
                </c:pt>
                <c:pt idx="2">
                  <c:v>1800</c:v>
                </c:pt>
                <c:pt idx="3">
                  <c:v>600</c:v>
                </c:pt>
                <c:pt idx="4">
                  <c:v>8200</c:v>
                </c:pt>
                <c:pt idx="5">
                  <c:v>1800</c:v>
                </c:pt>
                <c:pt idx="6">
                  <c:v>2600</c:v>
                </c:pt>
                <c:pt idx="7">
                  <c:v>11400</c:v>
                </c:pt>
                <c:pt idx="8">
                  <c:v>9400</c:v>
                </c:pt>
                <c:pt idx="9">
                  <c:v>5000</c:v>
                </c:pt>
                <c:pt idx="10">
                  <c:v>1800</c:v>
                </c:pt>
              </c:numCache>
            </c:numRef>
          </c:yVal>
          <c:bubbleSize>
            <c:numRef>
              <c:f>pivot!$D$61:$D$71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759-4A57-9732-803A102E7F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65"/>
        <c:showNegBubbles val="0"/>
        <c:axId val="1918694415"/>
        <c:axId val="308530000"/>
      </c:bubbleChart>
      <c:valAx>
        <c:axId val="1918694415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30000"/>
        <c:crosses val="autoZero"/>
        <c:crossBetween val="midCat"/>
      </c:valAx>
      <c:valAx>
        <c:axId val="30853000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69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1242060</xdr:colOff>
      <xdr:row>21</xdr:row>
      <xdr:rowOff>129540</xdr:rowOff>
    </xdr:from>
    <xdr:to>
      <xdr:col>8</xdr:col>
      <xdr:colOff>274320</xdr:colOff>
      <xdr:row>32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FB26B8-8E97-6919-555B-733140119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1135380</xdr:colOff>
      <xdr:row>1</xdr:row>
      <xdr:rowOff>53340</xdr:rowOff>
    </xdr:from>
    <xdr:to>
      <xdr:col>5</xdr:col>
      <xdr:colOff>701040</xdr:colOff>
      <xdr:row>5</xdr:row>
      <xdr:rowOff>68580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775CD49-D9F5-A2E0-6BF6-37962161E4EE}"/>
            </a:ext>
          </a:extLst>
        </xdr:cNvPr>
        <xdr:cNvSpPr/>
      </xdr:nvSpPr>
      <xdr:spPr>
        <a:xfrm>
          <a:off x="4198620" y="236220"/>
          <a:ext cx="1851660" cy="7467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53,800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2400" b="1">
            <a:effectLst/>
          </a:endParaRPr>
        </a:p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Volume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(Ml)</a:t>
          </a:r>
        </a:p>
      </xdr:txBody>
    </xdr:sp>
    <xdr:clientData/>
  </xdr:twoCellAnchor>
  <xdr:twoCellAnchor>
    <xdr:from>
      <xdr:col>9</xdr:col>
      <xdr:colOff>518160</xdr:colOff>
      <xdr:row>18</xdr:row>
      <xdr:rowOff>179070</xdr:rowOff>
    </xdr:from>
    <xdr:to>
      <xdr:col>14</xdr:col>
      <xdr:colOff>419100</xdr:colOff>
      <xdr:row>33</xdr:row>
      <xdr:rowOff>179070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7C7350-96FD-E3F6-C337-BE5D5FEEC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678180</xdr:colOff>
      <xdr:row>2</xdr:row>
      <xdr:rowOff>87630</xdr:rowOff>
    </xdr:from>
    <xdr:to>
      <xdr:col>10</xdr:col>
      <xdr:colOff>175260</xdr:colOff>
      <xdr:row>12</xdr:row>
      <xdr:rowOff>45720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FD93F68-E48B-2DA8-FDC9-FF4368D00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1562100</xdr:colOff>
      <xdr:row>12</xdr:row>
      <xdr:rowOff>91440</xdr:rowOff>
    </xdr:from>
    <xdr:to>
      <xdr:col>10</xdr:col>
      <xdr:colOff>304800</xdr:colOff>
      <xdr:row>23</xdr:row>
      <xdr:rowOff>30480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F8B2F7F-22EA-9C1E-306E-14182CE53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373380</xdr:colOff>
      <xdr:row>62</xdr:row>
      <xdr:rowOff>114300</xdr:rowOff>
    </xdr:from>
    <xdr:to>
      <xdr:col>6</xdr:col>
      <xdr:colOff>182880</xdr:colOff>
      <xdr:row>71</xdr:row>
      <xdr:rowOff>179070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3C09359-BB6C-45B2-6450-00F67F913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1005840</xdr:colOff>
      <xdr:row>26</xdr:row>
      <xdr:rowOff>30480</xdr:rowOff>
    </xdr:from>
    <xdr:to>
      <xdr:col>5</xdr:col>
      <xdr:colOff>0</xdr:colOff>
      <xdr:row>29</xdr:row>
      <xdr:rowOff>144780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F4543BD-FDE2-3897-C144-07A280AA7533}"/>
            </a:ext>
          </a:extLst>
        </xdr:cNvPr>
        <xdr:cNvSpPr/>
      </xdr:nvSpPr>
      <xdr:spPr>
        <a:xfrm>
          <a:off x="4069080" y="4785360"/>
          <a:ext cx="1280160" cy="66294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errors</a:t>
          </a:r>
        </a:p>
        <a:p>
          <a:pPr algn="ctr"/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61</a:t>
          </a:r>
          <a:r>
            <a:rPr lang="en-US" sz="1600" b="1"/>
            <a:t> </a:t>
          </a:r>
        </a:p>
      </xdr:txBody>
    </xdr:sp>
    <xdr:clientData/>
  </xdr:twoCellAnchor>
  <xdr:twoCellAnchor>
    <xdr:from>
      <xdr:col>3</xdr:col>
      <xdr:colOff>381000</xdr:colOff>
      <xdr:row>20</xdr:row>
      <xdr:rowOff>45720</xdr:rowOff>
    </xdr:from>
    <xdr:to>
      <xdr:col>5</xdr:col>
      <xdr:colOff>327660</xdr:colOff>
      <xdr:row>25</xdr:row>
      <xdr:rowOff>45720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3213F1A0-4958-2C84-375B-928F9C2F7A8E}"/>
            </a:ext>
          </a:extLst>
        </xdr:cNvPr>
        <xdr:cNvSpPr/>
      </xdr:nvSpPr>
      <xdr:spPr>
        <a:xfrm>
          <a:off x="3444240" y="3703320"/>
          <a:ext cx="2232660" cy="9144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Errors</a:t>
          </a:r>
          <a:r>
            <a:rPr lang="en-US" sz="1100" baseline="0"/>
            <a:t> by Operator </a:t>
          </a:r>
        </a:p>
        <a:p>
          <a:pPr algn="ctr"/>
          <a:r>
            <a:rPr lang="en-US" sz="1400" b="0" baseline="0"/>
            <a:t>Yes:  </a:t>
          </a:r>
          <a:r>
            <a:rPr lang="en-US" sz="1400" b="1" baseline="0"/>
            <a:t>32</a:t>
          </a:r>
        </a:p>
        <a:p>
          <a:pPr algn="ctr"/>
          <a:r>
            <a:rPr lang="en-US" sz="1400" b="0" baseline="0"/>
            <a:t>No:  </a:t>
          </a:r>
          <a:r>
            <a:rPr lang="en-US" sz="1400" b="1" baseline="0"/>
            <a:t>29</a:t>
          </a:r>
          <a:endParaRPr lang="en-US" sz="1400" b="1"/>
        </a:p>
      </xdr:txBody>
    </xdr:sp>
    <xdr:clientData/>
  </xdr:twoCellAnchor>
  <xdr:twoCellAnchor>
    <xdr:from>
      <xdr:col>0</xdr:col>
      <xdr:colOff>495300</xdr:colOff>
      <xdr:row>7</xdr:row>
      <xdr:rowOff>0</xdr:rowOff>
    </xdr:from>
    <xdr:to>
      <xdr:col>1</xdr:col>
      <xdr:colOff>1112520</xdr:colOff>
      <xdr:row>11</xdr:row>
      <xdr:rowOff>83820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6615768-7834-28E3-655B-913D24B9DEE2}"/>
            </a:ext>
          </a:extLst>
        </xdr:cNvPr>
        <xdr:cNvSpPr/>
      </xdr:nvSpPr>
      <xdr:spPr>
        <a:xfrm>
          <a:off x="495300" y="1280160"/>
          <a:ext cx="1226820" cy="81534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</a:t>
          </a:r>
          <a:r>
            <a:rPr lang="en-US" sz="1100" baseline="0"/>
            <a:t> Dates:</a:t>
          </a:r>
        </a:p>
        <a:p>
          <a:pPr algn="ctr"/>
          <a:r>
            <a:rPr lang="en-US" sz="1100" baseline="0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8/29/2024</a:t>
          </a:r>
          <a:r>
            <a:rPr lang="en-US" b="1"/>
            <a:t>  </a:t>
          </a:r>
          <a:r>
            <a:rPr lang="en-US" b="0"/>
            <a:t>to</a:t>
          </a:r>
          <a:r>
            <a:rPr lang="en-US" b="1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9/3/2024</a:t>
          </a:r>
          <a:r>
            <a:rPr lang="en-US" b="1"/>
            <a:t> </a:t>
          </a:r>
          <a:endParaRPr lang="en-US" sz="1100" b="1"/>
        </a:p>
      </xdr:txBody>
    </xdr:sp>
    <xdr:clientData/>
  </xdr:twoCellAnchor>
  <xdr:twoCellAnchor>
    <xdr:from>
      <xdr:col>4</xdr:col>
      <xdr:colOff>533400</xdr:colOff>
      <xdr:row>7</xdr:row>
      <xdr:rowOff>129540</xdr:rowOff>
    </xdr:from>
    <xdr:to>
      <xdr:col>5</xdr:col>
      <xdr:colOff>525780</xdr:colOff>
      <xdr:row>12</xdr:row>
      <xdr:rowOff>129540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E3BFE386-7C05-0E00-BFB7-1A99458450BD}"/>
            </a:ext>
          </a:extLst>
        </xdr:cNvPr>
        <xdr:cNvSpPr/>
      </xdr:nvSpPr>
      <xdr:spPr>
        <a:xfrm>
          <a:off x="4960620" y="1409700"/>
          <a:ext cx="914400" cy="9144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 Days</a:t>
          </a:r>
          <a:r>
            <a:rPr lang="en-US" sz="1100" baseline="0"/>
            <a:t> </a:t>
          </a:r>
        </a:p>
        <a:p>
          <a:pPr algn="ctr"/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400" b="1"/>
            <a:t> </a:t>
          </a:r>
        </a:p>
      </xdr:txBody>
    </xdr:sp>
    <xdr:clientData/>
  </xdr:twoCellAnchor>
  <xdr:twoCellAnchor>
    <xdr:from>
      <xdr:col>4</xdr:col>
      <xdr:colOff>541020</xdr:colOff>
      <xdr:row>17</xdr:row>
      <xdr:rowOff>41910</xdr:rowOff>
    </xdr:from>
    <xdr:to>
      <xdr:col>7</xdr:col>
      <xdr:colOff>297180</xdr:colOff>
      <xdr:row>30</xdr:row>
      <xdr:rowOff>38100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6B36331-991F-9224-44AE-60B443FDC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0</xdr:row>
      <xdr:rowOff>53340</xdr:rowOff>
    </xdr:from>
    <xdr:to>
      <xdr:col>11</xdr:col>
      <xdr:colOff>800100</xdr:colOff>
      <xdr:row>13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2B2D5-0693-6957-6C62-2B3644737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739140</xdr:colOff>
      <xdr:row>51</xdr:row>
      <xdr:rowOff>110490</xdr:rowOff>
    </xdr:from>
    <xdr:to>
      <xdr:col>9</xdr:col>
      <xdr:colOff>1150620</xdr:colOff>
      <xdr:row>66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D52AC3-DD43-916D-9F46-098DB1C12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175260</xdr:rowOff>
    </xdr:from>
    <xdr:to>
      <xdr:col>14</xdr:col>
      <xdr:colOff>441960</xdr:colOff>
      <xdr:row>12</xdr:row>
      <xdr:rowOff>22860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88A30D7-1891-E6DE-D4F3-6F0160A38E9C}"/>
            </a:ext>
          </a:extLst>
        </xdr:cNvPr>
        <xdr:cNvSpPr/>
      </xdr:nvSpPr>
      <xdr:spPr>
        <a:xfrm>
          <a:off x="617220" y="175260"/>
          <a:ext cx="8359140" cy="204216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4</xdr:row>
      <xdr:rowOff>121920</xdr:rowOff>
    </xdr:from>
    <xdr:to>
      <xdr:col>4</xdr:col>
      <xdr:colOff>320040</xdr:colOff>
      <xdr:row>11</xdr:row>
      <xdr:rowOff>144780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0989046-D29C-4D09-82D5-45106444709B}"/>
            </a:ext>
          </a:extLst>
        </xdr:cNvPr>
        <xdr:cNvSpPr/>
      </xdr:nvSpPr>
      <xdr:spPr>
        <a:xfrm>
          <a:off x="685800" y="853440"/>
          <a:ext cx="2072640" cy="13030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</a:t>
          </a:r>
          <a:r>
            <a:rPr lang="en-US" sz="1100" baseline="0"/>
            <a:t> Dates:</a:t>
          </a:r>
        </a:p>
        <a:p>
          <a:pPr algn="ctr"/>
          <a:r>
            <a:rPr lang="en-US" sz="1100" baseline="0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8/29/2024</a:t>
          </a:r>
          <a:r>
            <a:rPr lang="en-US" b="1"/>
            <a:t>  </a:t>
          </a:r>
          <a:r>
            <a:rPr lang="en-US" b="0"/>
            <a:t>to</a:t>
          </a:r>
          <a:r>
            <a:rPr lang="en-US" b="1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9/3/2024</a:t>
          </a:r>
          <a:r>
            <a:rPr lang="en-US" b="1"/>
            <a:t> </a:t>
          </a:r>
          <a:endParaRPr lang="en-US" sz="1100" b="1"/>
        </a:p>
      </xdr:txBody>
    </xdr:sp>
    <xdr:clientData/>
  </xdr:twoCellAnchor>
  <xdr:twoCellAnchor>
    <xdr:from>
      <xdr:col>2</xdr:col>
      <xdr:colOff>541020</xdr:colOff>
      <xdr:row>8</xdr:row>
      <xdr:rowOff>76200</xdr:rowOff>
    </xdr:from>
    <xdr:to>
      <xdr:col>4</xdr:col>
      <xdr:colOff>236220</xdr:colOff>
      <xdr:row>11</xdr:row>
      <xdr:rowOff>68580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C8CDE93-B36A-4CA0-944E-D25B802A642D}"/>
            </a:ext>
          </a:extLst>
        </xdr:cNvPr>
        <xdr:cNvSpPr/>
      </xdr:nvSpPr>
      <xdr:spPr>
        <a:xfrm>
          <a:off x="1760220" y="1539240"/>
          <a:ext cx="914400" cy="5410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 Days</a:t>
          </a:r>
          <a:r>
            <a:rPr lang="en-US" sz="1100" baseline="0"/>
            <a:t> </a:t>
          </a:r>
        </a:p>
        <a:p>
          <a:pPr algn="ctr"/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400" b="1"/>
            <a:t> </a:t>
          </a:r>
        </a:p>
      </xdr:txBody>
    </xdr:sp>
    <xdr:clientData/>
  </xdr:twoCellAnchor>
  <xdr:twoCellAnchor>
    <xdr:from>
      <xdr:col>4</xdr:col>
      <xdr:colOff>358140</xdr:colOff>
      <xdr:row>4</xdr:row>
      <xdr:rowOff>121920</xdr:rowOff>
    </xdr:from>
    <xdr:to>
      <xdr:col>7</xdr:col>
      <xdr:colOff>495300</xdr:colOff>
      <xdr:row>11</xdr:row>
      <xdr:rowOff>144780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E758B6A-CF8D-4165-9154-B9F9384CAE03}"/>
            </a:ext>
          </a:extLst>
        </xdr:cNvPr>
        <xdr:cNvSpPr/>
      </xdr:nvSpPr>
      <xdr:spPr>
        <a:xfrm>
          <a:off x="2796540" y="853440"/>
          <a:ext cx="1965960" cy="13030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errors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61</a:t>
          </a:r>
          <a:r>
            <a:rPr lang="en-US" sz="1200" b="1"/>
            <a:t> </a:t>
          </a:r>
        </a:p>
      </xdr:txBody>
    </xdr:sp>
    <xdr:clientData/>
  </xdr:twoCellAnchor>
  <xdr:twoCellAnchor>
    <xdr:from>
      <xdr:col>4</xdr:col>
      <xdr:colOff>571500</xdr:colOff>
      <xdr:row>7</xdr:row>
      <xdr:rowOff>53340</xdr:rowOff>
    </xdr:from>
    <xdr:to>
      <xdr:col>7</xdr:col>
      <xdr:colOff>419100</xdr:colOff>
      <xdr:row>11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2E13EAE-EA42-47C9-AE7C-B0D4EEC625CE}"/>
            </a:ext>
          </a:extLst>
        </xdr:cNvPr>
        <xdr:cNvSpPr/>
      </xdr:nvSpPr>
      <xdr:spPr>
        <a:xfrm>
          <a:off x="3009900" y="1333500"/>
          <a:ext cx="1676400" cy="79248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Errors</a:t>
          </a:r>
          <a:r>
            <a:rPr lang="en-US" sz="1100" baseline="0"/>
            <a:t> by Operator </a:t>
          </a:r>
        </a:p>
        <a:p>
          <a:pPr algn="ctr"/>
          <a:r>
            <a:rPr lang="en-US" sz="1200" b="0" baseline="0"/>
            <a:t>Yes:  </a:t>
          </a:r>
          <a:r>
            <a:rPr lang="en-US" sz="1200" b="1" baseline="0"/>
            <a:t>32</a:t>
          </a:r>
        </a:p>
        <a:p>
          <a:pPr algn="ctr"/>
          <a:r>
            <a:rPr lang="en-US" sz="1200" b="0" baseline="0"/>
            <a:t>No:   </a:t>
          </a:r>
          <a:r>
            <a:rPr lang="en-US" sz="1200" b="1" baseline="0"/>
            <a:t>29</a:t>
          </a:r>
          <a:endParaRPr lang="en-US" sz="1200" b="1"/>
        </a:p>
      </xdr:txBody>
    </xdr:sp>
    <xdr:clientData/>
  </xdr:twoCellAnchor>
  <xdr:twoCellAnchor>
    <xdr:from>
      <xdr:col>7</xdr:col>
      <xdr:colOff>586740</xdr:colOff>
      <xdr:row>4</xdr:row>
      <xdr:rowOff>121920</xdr:rowOff>
    </xdr:from>
    <xdr:to>
      <xdr:col>10</xdr:col>
      <xdr:colOff>495300</xdr:colOff>
      <xdr:row>8</xdr:row>
      <xdr:rowOff>160020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02F52BA-CA13-47FD-9131-4B13AC55315A}"/>
            </a:ext>
          </a:extLst>
        </xdr:cNvPr>
        <xdr:cNvSpPr/>
      </xdr:nvSpPr>
      <xdr:spPr>
        <a:xfrm>
          <a:off x="4853940" y="853440"/>
          <a:ext cx="1737360" cy="7696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53,800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2400" b="1">
            <a:effectLst/>
          </a:endParaRPr>
        </a:p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Volume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(Ml)</a:t>
          </a:r>
        </a:p>
      </xdr:txBody>
    </xdr:sp>
    <xdr:clientData/>
  </xdr:twoCellAnchor>
  <xdr:twoCellAnchor>
    <xdr:from>
      <xdr:col>11</xdr:col>
      <xdr:colOff>45720</xdr:colOff>
      <xdr:row>6</xdr:row>
      <xdr:rowOff>60960</xdr:rowOff>
    </xdr:from>
    <xdr:to>
      <xdr:col>14</xdr:col>
      <xdr:colOff>274320</xdr:colOff>
      <xdr:row>11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A6DDE0-0A50-425B-AB4A-3C1158756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</xdr:colOff>
      <xdr:row>4</xdr:row>
      <xdr:rowOff>121920</xdr:rowOff>
    </xdr:from>
    <xdr:to>
      <xdr:col>14</xdr:col>
      <xdr:colOff>396240</xdr:colOff>
      <xdr:row>6</xdr:row>
      <xdr:rowOff>76200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BED0EE6-CDF6-7857-D26B-501DB820259E}"/>
            </a:ext>
          </a:extLst>
        </xdr:cNvPr>
        <xdr:cNvSpPr/>
      </xdr:nvSpPr>
      <xdr:spPr>
        <a:xfrm>
          <a:off x="6728460" y="853440"/>
          <a:ext cx="2202180" cy="32004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efficiency</a:t>
          </a:r>
          <a:endParaRPr lang="en-US" b="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15240</xdr:colOff>
      <xdr:row>12</xdr:row>
      <xdr:rowOff>30480</xdr:rowOff>
    </xdr:from>
    <xdr:to>
      <xdr:col>14</xdr:col>
      <xdr:colOff>457200</xdr:colOff>
      <xdr:row>34</xdr:row>
      <xdr:rowOff>7620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2A8EF74-24C9-57AE-EA6F-C7F66E884276}"/>
            </a:ext>
          </a:extLst>
        </xdr:cNvPr>
        <xdr:cNvSpPr/>
      </xdr:nvSpPr>
      <xdr:spPr>
        <a:xfrm>
          <a:off x="624840" y="2225040"/>
          <a:ext cx="8366760" cy="4000500"/>
        </a:xfrm>
        <a:prstGeom prst="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502920</xdr:colOff>
      <xdr:row>20</xdr:row>
      <xdr:rowOff>30480</xdr:rowOff>
    </xdr:from>
    <xdr:to>
      <xdr:col>14</xdr:col>
      <xdr:colOff>434340</xdr:colOff>
      <xdr:row>33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E3E828F-68C8-4CF8-B903-E4CCE9AA8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45720</xdr:colOff>
      <xdr:row>20</xdr:row>
      <xdr:rowOff>38100</xdr:rowOff>
    </xdr:from>
    <xdr:to>
      <xdr:col>8</xdr:col>
      <xdr:colOff>472440</xdr:colOff>
      <xdr:row>33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6BEC0F8-665A-402F-82B3-208CAE02D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106680</xdr:colOff>
      <xdr:row>1</xdr:row>
      <xdr:rowOff>22860</xdr:rowOff>
    </xdr:from>
    <xdr:to>
      <xdr:col>14</xdr:col>
      <xdr:colOff>304800</xdr:colOff>
      <xdr:row>4</xdr:row>
      <xdr:rowOff>83820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DED356D-A299-85A4-1DFB-DEF4DF0EABEC}"/>
            </a:ext>
          </a:extLst>
        </xdr:cNvPr>
        <xdr:cNvSpPr/>
      </xdr:nvSpPr>
      <xdr:spPr>
        <a:xfrm>
          <a:off x="716280" y="205740"/>
          <a:ext cx="8122920" cy="6096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Manufacturing Line Productivity </a:t>
          </a:r>
        </a:p>
      </xdr:txBody>
    </xdr:sp>
    <xdr:clientData/>
  </xdr:twoCellAnchor>
  <xdr:twoCellAnchor>
    <xdr:from>
      <xdr:col>1</xdr:col>
      <xdr:colOff>30480</xdr:colOff>
      <xdr:row>12</xdr:row>
      <xdr:rowOff>30480</xdr:rowOff>
    </xdr:from>
    <xdr:to>
      <xdr:col>14</xdr:col>
      <xdr:colOff>419100</xdr:colOff>
      <xdr:row>20</xdr:row>
      <xdr:rowOff>30480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BD233582-C915-C740-D978-038D8E688988}"/>
            </a:ext>
          </a:extLst>
        </xdr:cNvPr>
        <xdr:cNvSpPr/>
      </xdr:nvSpPr>
      <xdr:spPr>
        <a:xfrm>
          <a:off x="640080" y="2225040"/>
          <a:ext cx="8313420" cy="146304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 the </a:t>
          </a:r>
          <a:r>
            <a:rPr lang="en-US" sz="1100" b="1"/>
            <a:t>6 days data was</a:t>
          </a:r>
          <a:r>
            <a:rPr lang="en-US" sz="1100" b="1" baseline="0"/>
            <a:t> collected, 61 errors occured with 32 of them caused by operators</a:t>
          </a:r>
          <a:r>
            <a:rPr lang="en-US" sz="1100" baseline="0"/>
            <a:t> suggesting that improving oversight  on the production floor could be beneficial in boosting production line constistency.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Overall efficiency is </a:t>
          </a:r>
          <a:r>
            <a:rPr lang="en-US" sz="1100" b="1" baseline="0"/>
            <a:t>80.27% </a:t>
          </a:r>
          <a:r>
            <a:rPr lang="en-US" sz="1100" baseline="0"/>
            <a:t>with operator Charlie and Dee performing with an efficiency higher than the overall.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Downtime occurs mainly as a result of </a:t>
          </a:r>
          <a:r>
            <a:rPr lang="en-US" sz="1100" b="1" baseline="0"/>
            <a:t>machine adjustment, machine failure, and inventory shortage </a:t>
          </a:r>
          <a:r>
            <a:rPr lang="en-US" sz="1100" baseline="0"/>
            <a:t>highlighting </a:t>
          </a:r>
          <a:r>
            <a:rPr lang="en-US" sz="1100" b="1" baseline="0"/>
            <a:t>opportunities for preventive maintance, better inventory planning, and equipment upgrades</a:t>
          </a:r>
          <a:r>
            <a:rPr lang="en-US" sz="1100" baseline="0"/>
            <a:t> which could reduce downtimes during production improving line productivity.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586740</xdr:colOff>
      <xdr:row>3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25B263-DB98-C5CD-FF1B-FD7963F0DD18}"/>
            </a:ext>
          </a:extLst>
        </xdr:cNvPr>
        <xdr:cNvSpPr/>
      </xdr:nvSpPr>
      <xdr:spPr>
        <a:xfrm>
          <a:off x="617220" y="182880"/>
          <a:ext cx="7894320" cy="40386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Manufacturing Line Productivity </a:t>
          </a:r>
          <a:endParaRPr lang="en-US" sz="1600" b="1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144780</xdr:rowOff>
    </xdr:from>
    <xdr:to>
      <xdr:col>13</xdr:col>
      <xdr:colOff>586740</xdr:colOff>
      <xdr:row>30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CC255CE-684F-6C65-79EE-C8353AC17D2C}"/>
            </a:ext>
          </a:extLst>
        </xdr:cNvPr>
        <xdr:cNvSpPr/>
      </xdr:nvSpPr>
      <xdr:spPr>
        <a:xfrm>
          <a:off x="609600" y="510540"/>
          <a:ext cx="7901940" cy="5143500"/>
        </a:xfrm>
        <a:prstGeom prst="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243840</xdr:colOff>
      <xdr:row>23</xdr:row>
      <xdr:rowOff>30480</xdr:rowOff>
    </xdr:from>
    <xdr:to>
      <xdr:col>7</xdr:col>
      <xdr:colOff>15240</xdr:colOff>
      <xdr:row>30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381A95-E857-4275-AB34-1B3736BE6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556260</xdr:colOff>
      <xdr:row>23</xdr:row>
      <xdr:rowOff>53340</xdr:rowOff>
    </xdr:from>
    <xdr:to>
      <xdr:col>13</xdr:col>
      <xdr:colOff>480060</xdr:colOff>
      <xdr:row>30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459524-DAB2-4B34-930F-339F4E789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137160</xdr:colOff>
      <xdr:row>9</xdr:row>
      <xdr:rowOff>106680</xdr:rowOff>
    </xdr:from>
    <xdr:to>
      <xdr:col>13</xdr:col>
      <xdr:colOff>541020</xdr:colOff>
      <xdr:row>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4FD70E-417F-4152-A3C7-256223C21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30480</xdr:colOff>
      <xdr:row>3</xdr:row>
      <xdr:rowOff>60960</xdr:rowOff>
    </xdr:from>
    <xdr:to>
      <xdr:col>13</xdr:col>
      <xdr:colOff>548640</xdr:colOff>
      <xdr:row>9</xdr:row>
      <xdr:rowOff>76200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2AD8442-C49F-3D5F-D914-9152BE676ECB}"/>
            </a:ext>
          </a:extLst>
        </xdr:cNvPr>
        <xdr:cNvSpPr/>
      </xdr:nvSpPr>
      <xdr:spPr>
        <a:xfrm>
          <a:off x="640080" y="609600"/>
          <a:ext cx="7833360" cy="11125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distribution of downtime minutes suggests that</a:t>
          </a:r>
          <a:r>
            <a:rPr lang="en-US" sz="1100" baseline="0"/>
            <a:t> some operators face specifc recurring challenges like the machine adjustments error for Charlie and Dennis. </a:t>
          </a:r>
          <a:r>
            <a:rPr lang="en-US"/>
            <a:t>This suggests the need for targeted solutions</a:t>
          </a:r>
          <a:r>
            <a:rPr lang="en-US" baseline="0"/>
            <a:t> such as</a:t>
          </a:r>
          <a:r>
            <a:rPr lang="en-US"/>
            <a:t> scheduled maintenance, to reduce these disruptions.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050" baseline="0"/>
            <a:t>As </a:t>
          </a:r>
          <a:r>
            <a:rPr lang="en-US" sz="1050" b="1" baseline="0"/>
            <a:t>batch volume produced increases </a:t>
          </a:r>
          <a:r>
            <a:rPr lang="en-US" sz="1050" baseline="0"/>
            <a:t>the </a:t>
          </a:r>
          <a:r>
            <a:rPr lang="en-US" sz="1050" b="1" baseline="0"/>
            <a:t>number of errors increases</a:t>
          </a:r>
          <a:r>
            <a:rPr lang="en-US" sz="1050" baseline="0"/>
            <a:t>. This suggests </a:t>
          </a:r>
          <a:r>
            <a:rPr lang="en-US" sz="1050" b="1" baseline="0"/>
            <a:t>that increased workload may strain processes or operators </a:t>
          </a:r>
          <a:r>
            <a:rPr lang="en-US" sz="1050" baseline="0"/>
            <a:t>potentially leading to errors. </a:t>
          </a:r>
          <a:endParaRPr lang="en-US" sz="105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106680</xdr:rowOff>
        </xdr:from>
        <xdr:to>
          <xdr:col>7</xdr:col>
          <xdr:colOff>129540</xdr:colOff>
          <xdr:row>23</xdr:row>
          <xdr:rowOff>22860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E3C63BD8-013E-7924-C005-E80227658D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vot!$B$20:$F$33" spid="_x0000_s1138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85800" y="1752600"/>
              <a:ext cx="3710940" cy="2476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ULA" refreshedDate="45610.699304398149" createdVersion="8" refreshedVersion="8" minRefreshableVersion="3" recordCount="64" xr:uid="{DFDB0307-630F-4F41-9CFB-C1F31494BAB5}">
  <cacheSource type="worksheet">
    <worksheetSource name="Final_Table"/>
  </cacheSource>
  <cacheFields count="15">
    <cacheField name="Date" numFmtId="1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1:05:00" maxDate="1899-12-30T23:29:00"/>
    </cacheField>
    <cacheField name="Flavor" numFmtId="0">
      <sharedItems/>
    </cacheField>
    <cacheField name="Size in Ml" numFmtId="0">
      <sharedItems containsSemiMixedTypes="0" containsString="0" containsNumber="1" containsInteger="1" minValue="600" maxValue="2000"/>
    </cacheField>
    <cacheField name="Min batch time" numFmtId="0">
      <sharedItems containsSemiMixedTypes="0" containsString="0" containsNumber="1" containsInteger="1" minValue="60" maxValue="98"/>
    </cacheField>
    <cacheField name="Factor" numFmtId="2">
      <sharedItems containsBlank="1" count="12">
        <s v="2"/>
        <s v="7"/>
        <s v="8"/>
        <s v="4"/>
        <s v="6"/>
        <s v="10"/>
        <m/>
        <s v="11"/>
        <s v="12"/>
        <s v="5"/>
        <s v="9"/>
        <s v="3"/>
      </sharedItems>
    </cacheField>
    <cacheField name="Value" numFmtId="0">
      <sharedItems containsString="0" containsBlank="1" containsNumber="1" containsInteger="1" minValue="5" maxValue="60"/>
    </cacheField>
    <cacheField name="Description" numFmtId="0">
      <sharedItems containsBlank="1" count="12">
        <s v="Batch change"/>
        <s v="Machine failure"/>
        <s v="Batch coding error"/>
        <s v="Inventory shortage"/>
        <s v="Machine adjustment"/>
        <s v="Calibration error"/>
        <m/>
        <s v="Label switch"/>
        <s v="Other"/>
        <s v="Product spill"/>
        <s v="Conveyor belt jam"/>
        <s v="Labeling error"/>
      </sharedItems>
    </cacheField>
    <cacheField name="Operator Error" numFmtId="0">
      <sharedItems containsBlank="1" count="3">
        <s v="Yes"/>
        <s v="No"/>
        <m/>
      </sharedItems>
    </cacheField>
    <cacheField name="Operator stay in minutes" numFmtId="1">
      <sharedItems containsSemiMixedTypes="0" containsString="0" containsNumber="1" minValue="-1310.0000000000002" maxValue="205.00000000000006"/>
    </cacheField>
    <cacheField name="Operator stay" numFmtId="166">
      <sharedItems containsSemiMixedTypes="0" containsDate="1" containsString="0" containsMixedTypes="1" minDate="1899-12-30T00:00:00" maxDate="1899-12-30T03:2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d v="2024-08-29T00:00:00"/>
    <s v="OR-600"/>
    <s v="422111"/>
    <x v="0"/>
    <d v="1899-12-30T11:50:00"/>
    <d v="1899-12-30T14:05:00"/>
    <s v="Orange"/>
    <n v="600"/>
    <n v="60"/>
    <x v="0"/>
    <n v="60"/>
    <x v="0"/>
    <x v="0"/>
    <n v="135"/>
    <d v="1899-12-30T02:15:00"/>
  </r>
  <r>
    <d v="2024-08-29T00:00:00"/>
    <s v="LE-600"/>
    <s v="422112"/>
    <x v="0"/>
    <d v="1899-12-30T14:05:00"/>
    <d v="1899-12-30T15:45:00"/>
    <s v="Lemon lime"/>
    <n v="600"/>
    <n v="60"/>
    <x v="0"/>
    <n v="20"/>
    <x v="0"/>
    <x v="0"/>
    <n v="99.999999999999972"/>
    <d v="1899-12-30T01:40:00"/>
  </r>
  <r>
    <d v="2024-08-29T00:00:00"/>
    <s v="LE-600"/>
    <s v="422113"/>
    <x v="0"/>
    <d v="1899-12-30T15:45:00"/>
    <d v="1899-12-30T17:35:00"/>
    <s v="Lemon lime"/>
    <n v="600"/>
    <n v="60"/>
    <x v="0"/>
    <n v="50"/>
    <x v="0"/>
    <x v="0"/>
    <n v="109.99999999999993"/>
    <d v="1899-12-30T01:50:00"/>
  </r>
  <r>
    <d v="2024-08-29T00:00:00"/>
    <s v="LE-600"/>
    <s v="422117"/>
    <x v="1"/>
    <d v="1899-12-30T21:39:00"/>
    <d v="1899-12-30T22:54:00"/>
    <s v="Lemon lime"/>
    <n v="600"/>
    <n v="60"/>
    <x v="0"/>
    <n v="10"/>
    <x v="0"/>
    <x v="0"/>
    <n v="75.000000000000057"/>
    <d v="1899-12-30T01:15:00"/>
  </r>
  <r>
    <d v="2024-08-29T00:00:00"/>
    <s v="OR-600"/>
    <s v="422111"/>
    <x v="0"/>
    <d v="1899-12-30T11:50:00"/>
    <d v="1899-12-30T14:05:00"/>
    <s v="Orange"/>
    <n v="600"/>
    <n v="60"/>
    <x v="1"/>
    <n v="15"/>
    <x v="1"/>
    <x v="1"/>
    <n v="135"/>
    <d v="1899-12-30T02:15:00"/>
  </r>
  <r>
    <d v="2024-08-29T00:00:00"/>
    <s v="LE-600"/>
    <s v="422112"/>
    <x v="0"/>
    <d v="1899-12-30T14:05:00"/>
    <d v="1899-12-30T15:45:00"/>
    <s v="Lemon lime"/>
    <n v="600"/>
    <n v="60"/>
    <x v="2"/>
    <n v="20"/>
    <x v="2"/>
    <x v="0"/>
    <n v="99.999999999999972"/>
    <d v="1899-12-30T01:40:00"/>
  </r>
  <r>
    <d v="2024-08-29T00:00:00"/>
    <s v="LE-600"/>
    <s v="422114"/>
    <x v="0"/>
    <d v="1899-12-30T17:35:00"/>
    <d v="1899-12-30T19:15:00"/>
    <s v="Lemon lime"/>
    <n v="600"/>
    <n v="60"/>
    <x v="3"/>
    <n v="25"/>
    <x v="3"/>
    <x v="1"/>
    <n v="100.00000000000013"/>
    <d v="1899-12-30T01:40:00"/>
  </r>
  <r>
    <d v="2024-08-29T00:00:00"/>
    <s v="LE-600"/>
    <s v="422114"/>
    <x v="0"/>
    <d v="1899-12-30T17:35:00"/>
    <d v="1899-12-30T19:15:00"/>
    <s v="Lemon lime"/>
    <n v="600"/>
    <n v="60"/>
    <x v="4"/>
    <n v="15"/>
    <x v="4"/>
    <x v="0"/>
    <n v="100.00000000000013"/>
    <d v="1899-12-30T01:40:00"/>
  </r>
  <r>
    <d v="2024-08-29T00:00:00"/>
    <s v="LE-600"/>
    <s v="422117"/>
    <x v="1"/>
    <d v="1899-12-30T21:39:00"/>
    <d v="1899-12-30T22:54:00"/>
    <s v="Lemon lime"/>
    <n v="600"/>
    <n v="60"/>
    <x v="4"/>
    <n v="5"/>
    <x v="4"/>
    <x v="0"/>
    <n v="75.000000000000057"/>
    <d v="1899-12-30T01:15:00"/>
  </r>
  <r>
    <d v="2024-08-29T00:00:00"/>
    <s v="LE-600"/>
    <s v="422115"/>
    <x v="1"/>
    <d v="1899-12-30T19:15:00"/>
    <d v="1899-12-30T20:39:00"/>
    <s v="Lemon lime"/>
    <n v="600"/>
    <n v="60"/>
    <x v="5"/>
    <n v="24"/>
    <x v="5"/>
    <x v="0"/>
    <n v="84.000000000000028"/>
    <d v="1899-12-30T01:24:00"/>
  </r>
  <r>
    <d v="2024-08-29T00:00:00"/>
    <s v="LE-600"/>
    <s v="422116"/>
    <x v="1"/>
    <d v="1899-12-30T20:39:00"/>
    <d v="1899-12-30T21:39:00"/>
    <s v="Lemon lime"/>
    <n v="600"/>
    <n v="60"/>
    <x v="6"/>
    <m/>
    <x v="6"/>
    <x v="2"/>
    <n v="59.999999999999943"/>
    <d v="1899-12-30T01:00:00"/>
  </r>
  <r>
    <d v="2024-08-30T00:00:00"/>
    <s v="CO-600"/>
    <s v="422118"/>
    <x v="2"/>
    <d v="1899-12-30T04:05:00"/>
    <d v="1899-12-30T06:05:00"/>
    <s v="Cola"/>
    <n v="600"/>
    <n v="60"/>
    <x v="1"/>
    <n v="16"/>
    <x v="1"/>
    <x v="1"/>
    <n v="119.99999999999997"/>
    <d v="1899-12-30T02:00:00"/>
  </r>
  <r>
    <d v="2024-08-30T00:00:00"/>
    <s v="CO-600"/>
    <s v="422118"/>
    <x v="2"/>
    <d v="1899-12-30T04:05:00"/>
    <d v="1899-12-30T06:05:00"/>
    <s v="Cola"/>
    <n v="600"/>
    <n v="60"/>
    <x v="4"/>
    <n v="14"/>
    <x v="4"/>
    <x v="0"/>
    <n v="119.99999999999997"/>
    <d v="1899-12-30T02:00:00"/>
  </r>
  <r>
    <d v="2024-08-30T00:00:00"/>
    <s v="CO-600"/>
    <s v="422118"/>
    <x v="2"/>
    <d v="1899-12-30T04:05:00"/>
    <d v="1899-12-30T06:05:00"/>
    <s v="Cola"/>
    <n v="600"/>
    <n v="60"/>
    <x v="7"/>
    <n v="10"/>
    <x v="7"/>
    <x v="0"/>
    <n v="119.99999999999997"/>
    <d v="1899-12-30T02:00:00"/>
  </r>
  <r>
    <d v="2024-08-30T00:00:00"/>
    <s v="CO-600"/>
    <s v="422118"/>
    <x v="2"/>
    <d v="1899-12-30T04:05:00"/>
    <d v="1899-12-30T06:05:00"/>
    <s v="Cola"/>
    <n v="600"/>
    <n v="60"/>
    <x v="8"/>
    <n v="20"/>
    <x v="8"/>
    <x v="1"/>
    <n v="119.99999999999997"/>
    <d v="1899-12-30T02:00:00"/>
  </r>
  <r>
    <d v="2024-08-30T00:00:00"/>
    <s v="CO-600"/>
    <s v="422119"/>
    <x v="2"/>
    <d v="1899-12-30T06:05:00"/>
    <d v="1899-12-30T07:30:00"/>
    <s v="Cola"/>
    <n v="600"/>
    <n v="60"/>
    <x v="3"/>
    <n v="25"/>
    <x v="3"/>
    <x v="1"/>
    <n v="85.000000000000014"/>
    <d v="1899-12-30T01:25:00"/>
  </r>
  <r>
    <d v="2024-08-30T00:00:00"/>
    <s v="CO-600"/>
    <s v="422120"/>
    <x v="2"/>
    <d v="1899-12-30T07:30:00"/>
    <d v="1899-12-30T09:22:00"/>
    <s v="Cola"/>
    <n v="600"/>
    <n v="60"/>
    <x v="3"/>
    <n v="20"/>
    <x v="3"/>
    <x v="1"/>
    <n v="112"/>
    <d v="1899-12-30T01:52:00"/>
  </r>
  <r>
    <d v="2024-08-30T00:00:00"/>
    <s v="CO-600"/>
    <s v="422120"/>
    <x v="2"/>
    <d v="1899-12-30T07:30:00"/>
    <d v="1899-12-30T09:22:00"/>
    <s v="Cola"/>
    <n v="600"/>
    <n v="60"/>
    <x v="9"/>
    <n v="15"/>
    <x v="9"/>
    <x v="0"/>
    <n v="112"/>
    <d v="1899-12-30T01:52:00"/>
  </r>
  <r>
    <d v="2024-08-30T00:00:00"/>
    <s v="CO-600"/>
    <s v="422120"/>
    <x v="2"/>
    <d v="1899-12-30T07:30:00"/>
    <d v="1899-12-30T09:22:00"/>
    <s v="Cola"/>
    <n v="600"/>
    <n v="60"/>
    <x v="10"/>
    <n v="17"/>
    <x v="10"/>
    <x v="1"/>
    <n v="112"/>
    <d v="1899-12-30T01:52:00"/>
  </r>
  <r>
    <d v="2024-08-30T00:00:00"/>
    <s v="CO-600"/>
    <s v="422121"/>
    <x v="3"/>
    <d v="1899-12-30T09:22:00"/>
    <d v="1899-12-30T10:37:00"/>
    <s v="Cola"/>
    <n v="600"/>
    <n v="60"/>
    <x v="1"/>
    <n v="15"/>
    <x v="1"/>
    <x v="1"/>
    <n v="74.999999999999972"/>
    <d v="1899-12-30T01:15:00"/>
  </r>
  <r>
    <d v="2024-08-30T00:00:00"/>
    <s v="CO-600"/>
    <s v="422122"/>
    <x v="3"/>
    <d v="1899-12-30T10:37:00"/>
    <d v="1899-12-30T12:02:00"/>
    <s v="Cola"/>
    <n v="600"/>
    <n v="60"/>
    <x v="1"/>
    <n v="25"/>
    <x v="1"/>
    <x v="1"/>
    <n v="85.000000000000014"/>
    <d v="1899-12-30T01:25:00"/>
  </r>
  <r>
    <d v="2024-08-30T00:00:00"/>
    <s v="CO-600"/>
    <s v="422123"/>
    <x v="3"/>
    <d v="1899-12-30T12:02:00"/>
    <d v="1899-12-30T14:15:00"/>
    <s v="Cola"/>
    <n v="600"/>
    <n v="60"/>
    <x v="3"/>
    <n v="43"/>
    <x v="3"/>
    <x v="1"/>
    <n v="133"/>
    <d v="1899-12-30T02:13:00"/>
  </r>
  <r>
    <d v="2024-08-30T00:00:00"/>
    <s v="CO-600"/>
    <s v="422123"/>
    <x v="3"/>
    <d v="1899-12-30T12:02:00"/>
    <d v="1899-12-30T14:15:00"/>
    <s v="Cola"/>
    <n v="600"/>
    <n v="60"/>
    <x v="1"/>
    <n v="30"/>
    <x v="1"/>
    <x v="1"/>
    <n v="133"/>
    <d v="1899-12-30T02:13:00"/>
  </r>
  <r>
    <d v="2024-08-30T00:00:00"/>
    <s v="CO-600"/>
    <s v="422124"/>
    <x v="3"/>
    <d v="1899-12-30T14:15:00"/>
    <d v="1899-12-30T15:55:00"/>
    <s v="Cola"/>
    <n v="600"/>
    <n v="60"/>
    <x v="9"/>
    <n v="20"/>
    <x v="9"/>
    <x v="0"/>
    <n v="99.999999999999972"/>
    <d v="1899-12-30T01:40:00"/>
  </r>
  <r>
    <d v="2024-08-30T00:00:00"/>
    <s v="CO-600"/>
    <s v="422124"/>
    <x v="3"/>
    <d v="1899-12-30T14:15:00"/>
    <d v="1899-12-30T15:55:00"/>
    <s v="Cola"/>
    <n v="600"/>
    <n v="60"/>
    <x v="4"/>
    <n v="20"/>
    <x v="4"/>
    <x v="0"/>
    <n v="99.999999999999972"/>
    <d v="1899-12-30T01:40:00"/>
  </r>
  <r>
    <d v="2024-08-30T00:00:00"/>
    <s v="CO-600"/>
    <s v="422125"/>
    <x v="1"/>
    <d v="1899-12-30T15:55:00"/>
    <d v="1899-12-30T17:15:00"/>
    <s v="Cola"/>
    <n v="600"/>
    <n v="60"/>
    <x v="7"/>
    <n v="10"/>
    <x v="7"/>
    <x v="0"/>
    <n v="80.000000000000028"/>
    <d v="1899-12-30T01:20:00"/>
  </r>
  <r>
    <d v="2024-08-30T00:00:00"/>
    <s v="CO-600"/>
    <s v="422125"/>
    <x v="1"/>
    <d v="1899-12-30T15:55:00"/>
    <d v="1899-12-30T17:15:00"/>
    <s v="Cola"/>
    <n v="600"/>
    <n v="60"/>
    <x v="8"/>
    <n v="10"/>
    <x v="8"/>
    <x v="1"/>
    <n v="80.000000000000028"/>
    <d v="1899-12-30T01:20:00"/>
  </r>
  <r>
    <d v="2024-08-30T00:00:00"/>
    <s v="CO-600"/>
    <s v="422126"/>
    <x v="1"/>
    <d v="1899-12-30T17:15:00"/>
    <d v="1899-12-30T18:59:00"/>
    <s v="Cola"/>
    <n v="600"/>
    <n v="60"/>
    <x v="2"/>
    <n v="44"/>
    <x v="2"/>
    <x v="0"/>
    <n v="103.99999999999994"/>
    <d v="1899-12-30T01:44:00"/>
  </r>
  <r>
    <d v="2024-08-30T00:00:00"/>
    <s v="CO-600"/>
    <s v="422127"/>
    <x v="1"/>
    <d v="1899-12-30T18:59:00"/>
    <d v="1899-12-30T20:22:00"/>
    <s v="Cola"/>
    <n v="600"/>
    <n v="60"/>
    <x v="4"/>
    <n v="23"/>
    <x v="4"/>
    <x v="0"/>
    <n v="83.000000000000028"/>
    <d v="1899-12-30T01:23:00"/>
  </r>
  <r>
    <d v="2024-08-30T00:00:00"/>
    <s v="CO-600"/>
    <s v="422128"/>
    <x v="1"/>
    <d v="1899-12-30T20:22:00"/>
    <d v="1899-12-30T22:14:00"/>
    <s v="Cola"/>
    <n v="600"/>
    <n v="60"/>
    <x v="9"/>
    <n v="22"/>
    <x v="9"/>
    <x v="0"/>
    <n v="112.00000000000009"/>
    <d v="1899-12-30T01:52:00"/>
  </r>
  <r>
    <d v="2024-08-30T00:00:00"/>
    <s v="CO-600"/>
    <s v="422128"/>
    <x v="1"/>
    <d v="1899-12-30T20:22:00"/>
    <d v="1899-12-30T22:14:00"/>
    <s v="Cola"/>
    <n v="600"/>
    <n v="60"/>
    <x v="1"/>
    <n v="30"/>
    <x v="1"/>
    <x v="1"/>
    <n v="112.00000000000009"/>
    <d v="1899-12-30T01:52:00"/>
  </r>
  <r>
    <d v="2024-08-30T00:00:00"/>
    <s v="CO-600"/>
    <s v="422129"/>
    <x v="1"/>
    <d v="1899-12-30T22:14:00"/>
    <d v="1899-12-30T23:29:00"/>
    <s v="Cola"/>
    <n v="600"/>
    <n v="60"/>
    <x v="8"/>
    <n v="15"/>
    <x v="8"/>
    <x v="1"/>
    <n v="74.999999999999886"/>
    <d v="1899-12-30T01:15:00"/>
  </r>
  <r>
    <d v="2024-08-31T00:00:00"/>
    <s v="CO-600"/>
    <s v="422130"/>
    <x v="2"/>
    <d v="1899-12-30T07:45:00"/>
    <d v="1899-12-30T09:05:00"/>
    <s v="Cola"/>
    <n v="600"/>
    <n v="60"/>
    <x v="0"/>
    <n v="20"/>
    <x v="0"/>
    <x v="0"/>
    <n v="79.999999999999957"/>
    <d v="1899-12-30T01:20:00"/>
  </r>
  <r>
    <d v="2024-08-31T00:00:00"/>
    <s v="CO-600"/>
    <s v="422131"/>
    <x v="2"/>
    <d v="1899-12-30T09:05:00"/>
    <d v="1899-12-30T10:35:00"/>
    <s v="Cola"/>
    <n v="600"/>
    <n v="60"/>
    <x v="3"/>
    <n v="20"/>
    <x v="3"/>
    <x v="1"/>
    <n v="90"/>
    <d v="1899-12-30T01:30:00"/>
  </r>
  <r>
    <d v="2024-08-31T00:00:00"/>
    <s v="CO-600"/>
    <s v="422131"/>
    <x v="2"/>
    <d v="1899-12-30T09:05:00"/>
    <d v="1899-12-30T10:35:00"/>
    <s v="Cola"/>
    <n v="600"/>
    <n v="60"/>
    <x v="5"/>
    <n v="10"/>
    <x v="5"/>
    <x v="0"/>
    <n v="90"/>
    <d v="1899-12-30T01:30:00"/>
  </r>
  <r>
    <d v="2024-08-31T00:00:00"/>
    <s v="DC-600"/>
    <s v="422133"/>
    <x v="2"/>
    <d v="1899-12-30T11:35:00"/>
    <d v="1899-12-30T12:55:00"/>
    <s v="Diet Cola"/>
    <n v="600"/>
    <n v="60"/>
    <x v="1"/>
    <n v="20"/>
    <x v="1"/>
    <x v="1"/>
    <n v="79.999999999999957"/>
    <d v="1899-12-30T01:20:00"/>
  </r>
  <r>
    <d v="2024-08-31T00:00:00"/>
    <s v="DC-600"/>
    <s v="422134"/>
    <x v="0"/>
    <d v="1899-12-30T12:55:00"/>
    <d v="1899-12-30T14:45:00"/>
    <s v="Diet Cola"/>
    <n v="600"/>
    <n v="60"/>
    <x v="1"/>
    <n v="30"/>
    <x v="1"/>
    <x v="1"/>
    <n v="110.00000000000009"/>
    <d v="1899-12-30T01:50:00"/>
  </r>
  <r>
    <d v="2024-08-31T00:00:00"/>
    <s v="DC-600"/>
    <s v="422134"/>
    <x v="0"/>
    <d v="1899-12-30T12:55:00"/>
    <d v="1899-12-30T14:45:00"/>
    <s v="Diet Cola"/>
    <n v="600"/>
    <n v="60"/>
    <x v="2"/>
    <n v="20"/>
    <x v="2"/>
    <x v="0"/>
    <n v="110.00000000000009"/>
    <d v="1899-12-30T01:50:00"/>
  </r>
  <r>
    <d v="2024-08-31T00:00:00"/>
    <s v="DC-600"/>
    <s v="422135"/>
    <x v="0"/>
    <d v="1899-12-30T14:45:00"/>
    <d v="1899-12-30T16:30:00"/>
    <s v="Diet Cola"/>
    <n v="600"/>
    <n v="60"/>
    <x v="3"/>
    <n v="30"/>
    <x v="3"/>
    <x v="1"/>
    <n v="104.99999999999994"/>
    <d v="1899-12-30T01:45:00"/>
  </r>
  <r>
    <d v="2024-08-31T00:00:00"/>
    <s v="DC-600"/>
    <s v="422135"/>
    <x v="0"/>
    <d v="1899-12-30T14:45:00"/>
    <d v="1899-12-30T16:30:00"/>
    <s v="Diet Cola"/>
    <n v="600"/>
    <n v="60"/>
    <x v="8"/>
    <n v="15"/>
    <x v="8"/>
    <x v="1"/>
    <n v="104.99999999999994"/>
    <d v="1899-12-30T01:45:00"/>
  </r>
  <r>
    <d v="2024-08-31T00:00:00"/>
    <s v="CO-600"/>
    <s v="422132"/>
    <x v="2"/>
    <d v="1899-12-30T10:35:00"/>
    <d v="1899-12-30T11:35:00"/>
    <s v="Cola"/>
    <n v="600"/>
    <n v="60"/>
    <x v="6"/>
    <m/>
    <x v="6"/>
    <x v="2"/>
    <n v="60.000000000000028"/>
    <d v="1899-12-30T01:00:00"/>
  </r>
  <r>
    <d v="2024-08-31T00:00:00"/>
    <s v="DC-600"/>
    <s v="422136"/>
    <x v="0"/>
    <d v="1899-12-30T16:30:00"/>
    <d v="1899-12-30T17:30:00"/>
    <s v="Diet Cola"/>
    <n v="600"/>
    <n v="60"/>
    <x v="6"/>
    <m/>
    <x v="6"/>
    <x v="2"/>
    <n v="59.999999999999943"/>
    <d v="1899-12-30T01:00:00"/>
  </r>
  <r>
    <d v="2024-09-02T00:00:00"/>
    <s v="RB-600"/>
    <s v="422137"/>
    <x v="2"/>
    <d v="1899-12-30T01:00:00"/>
    <d v="1899-12-30T02:45:00"/>
    <s v="Root Beer"/>
    <n v="600"/>
    <n v="60"/>
    <x v="2"/>
    <n v="30"/>
    <x v="2"/>
    <x v="0"/>
    <n v="104.99999999999999"/>
    <d v="1899-12-30T01:45:00"/>
  </r>
  <r>
    <d v="2024-09-02T00:00:00"/>
    <s v="RB-600"/>
    <s v="422137"/>
    <x v="2"/>
    <d v="1899-12-30T01:00:00"/>
    <d v="1899-12-30T02:45:00"/>
    <s v="Root Beer"/>
    <n v="600"/>
    <n v="60"/>
    <x v="5"/>
    <n v="15"/>
    <x v="5"/>
    <x v="0"/>
    <n v="104.99999999999999"/>
    <d v="1899-12-30T01:45:00"/>
  </r>
  <r>
    <d v="2024-09-02T00:00:00"/>
    <s v="RB-600"/>
    <s v="422138"/>
    <x v="2"/>
    <d v="1899-12-30T02:45:00"/>
    <d v="1899-12-30T04:05:00"/>
    <s v="Root Beer"/>
    <n v="600"/>
    <n v="60"/>
    <x v="11"/>
    <n v="20"/>
    <x v="11"/>
    <x v="1"/>
    <n v="80.000000000000014"/>
    <d v="1899-12-30T01:20:00"/>
  </r>
  <r>
    <d v="2024-09-02T00:00:00"/>
    <s v="RB-600"/>
    <s v="422139"/>
    <x v="2"/>
    <d v="1899-12-30T04:05:00"/>
    <d v="1899-12-30T05:40:00"/>
    <s v="Root Beer"/>
    <n v="600"/>
    <n v="60"/>
    <x v="3"/>
    <n v="20"/>
    <x v="3"/>
    <x v="1"/>
    <n v="94.999999999999986"/>
    <d v="1899-12-30T01:35:00"/>
  </r>
  <r>
    <d v="2024-09-02T00:00:00"/>
    <s v="RB-600"/>
    <s v="422139"/>
    <x v="2"/>
    <d v="1899-12-30T04:05:00"/>
    <d v="1899-12-30T05:40:00"/>
    <s v="Root Beer"/>
    <n v="600"/>
    <n v="60"/>
    <x v="4"/>
    <n v="15"/>
    <x v="4"/>
    <x v="0"/>
    <n v="94.999999999999986"/>
    <d v="1899-12-30T01:35:00"/>
  </r>
  <r>
    <d v="2024-09-02T00:00:00"/>
    <s v="RB-600"/>
    <s v="422140"/>
    <x v="2"/>
    <d v="1899-12-30T05:40:00"/>
    <d v="1899-12-30T07:43:00"/>
    <s v="Root Beer"/>
    <n v="600"/>
    <n v="60"/>
    <x v="4"/>
    <n v="50"/>
    <x v="4"/>
    <x v="0"/>
    <n v="123.00000000000004"/>
    <d v="1899-12-30T02:03:00"/>
  </r>
  <r>
    <d v="2024-09-02T00:00:00"/>
    <s v="RB-600"/>
    <s v="422140"/>
    <x v="2"/>
    <d v="1899-12-30T05:40:00"/>
    <d v="1899-12-30T07:43:00"/>
    <s v="Root Beer"/>
    <n v="600"/>
    <n v="60"/>
    <x v="7"/>
    <n v="13"/>
    <x v="7"/>
    <x v="0"/>
    <n v="123.00000000000004"/>
    <d v="1899-12-30T02:03:00"/>
  </r>
  <r>
    <d v="2024-09-02T00:00:00"/>
    <s v="RB-600"/>
    <s v="422141"/>
    <x v="3"/>
    <d v="1899-12-30T07:43:00"/>
    <d v="1899-12-30T08:50:00"/>
    <s v="Root Beer"/>
    <n v="600"/>
    <n v="60"/>
    <x v="8"/>
    <n v="7"/>
    <x v="8"/>
    <x v="1"/>
    <n v="67"/>
    <d v="1899-12-30T01:07:00"/>
  </r>
  <r>
    <d v="2024-09-02T00:00:00"/>
    <s v="RB-600"/>
    <s v="422142"/>
    <x v="3"/>
    <d v="1899-12-30T08:50:00"/>
    <d v="1899-12-30T10:20:00"/>
    <s v="Root Beer"/>
    <n v="600"/>
    <n v="60"/>
    <x v="4"/>
    <n v="30"/>
    <x v="4"/>
    <x v="0"/>
    <n v="90"/>
    <d v="1899-12-30T01:30:00"/>
  </r>
  <r>
    <d v="2024-09-02T00:00:00"/>
    <s v="RB-600"/>
    <s v="422143"/>
    <x v="3"/>
    <d v="1899-12-30T10:20:00"/>
    <d v="1899-12-30T12:18:00"/>
    <s v="Root Beer"/>
    <n v="600"/>
    <n v="60"/>
    <x v="4"/>
    <n v="40"/>
    <x v="4"/>
    <x v="0"/>
    <n v="117.9999999999999"/>
    <d v="1899-12-30T01:58:00"/>
  </r>
  <r>
    <d v="2024-09-02T00:00:00"/>
    <s v="RB-600"/>
    <s v="422143"/>
    <x v="3"/>
    <d v="1899-12-30T10:20:00"/>
    <d v="1899-12-30T12:18:00"/>
    <s v="Root Beer"/>
    <n v="600"/>
    <n v="60"/>
    <x v="1"/>
    <n v="18"/>
    <x v="1"/>
    <x v="1"/>
    <n v="117.9999999999999"/>
    <d v="1899-12-30T01:58:00"/>
  </r>
  <r>
    <d v="2024-09-02T00:00:00"/>
    <s v="CO-2L"/>
    <s v="422144"/>
    <x v="3"/>
    <d v="1899-12-30T12:18:00"/>
    <d v="1899-12-30T14:50:00"/>
    <s v="Cola"/>
    <n v="2000"/>
    <n v="98"/>
    <x v="4"/>
    <n v="30"/>
    <x v="4"/>
    <x v="0"/>
    <n v="152.00000000000011"/>
    <d v="1899-12-30T02:32:00"/>
  </r>
  <r>
    <d v="2024-09-02T00:00:00"/>
    <s v="CO-2L"/>
    <s v="422144"/>
    <x v="3"/>
    <d v="1899-12-30T12:18:00"/>
    <d v="1899-12-30T14:50:00"/>
    <s v="Cola"/>
    <n v="2000"/>
    <n v="98"/>
    <x v="2"/>
    <n v="24"/>
    <x v="2"/>
    <x v="0"/>
    <n v="152.00000000000011"/>
    <d v="1899-12-30T02:32:00"/>
  </r>
  <r>
    <d v="2024-09-02T00:00:00"/>
    <s v="CO-2L"/>
    <s v="422145"/>
    <x v="1"/>
    <d v="1899-12-30T14:50:00"/>
    <d v="1899-12-30T16:50:00"/>
    <s v="Cola"/>
    <n v="2000"/>
    <n v="98"/>
    <x v="11"/>
    <n v="22"/>
    <x v="11"/>
    <x v="1"/>
    <n v="119.99999999999989"/>
    <d v="1899-12-30T02:00:00"/>
  </r>
  <r>
    <d v="2024-09-02T00:00:00"/>
    <s v="CO-2L"/>
    <s v="422146"/>
    <x v="1"/>
    <d v="1899-12-30T16:50:00"/>
    <d v="1899-12-30T19:30:00"/>
    <s v="Cola"/>
    <n v="2000"/>
    <n v="98"/>
    <x v="4"/>
    <n v="30"/>
    <x v="4"/>
    <x v="0"/>
    <n v="160.00000000000006"/>
    <d v="1899-12-30T02:40:00"/>
  </r>
  <r>
    <d v="2024-09-02T00:00:00"/>
    <s v="CO-2L"/>
    <s v="422146"/>
    <x v="1"/>
    <d v="1899-12-30T16:50:00"/>
    <d v="1899-12-30T19:30:00"/>
    <s v="Cola"/>
    <n v="2000"/>
    <n v="98"/>
    <x v="1"/>
    <n v="25"/>
    <x v="1"/>
    <x v="1"/>
    <n v="160.00000000000006"/>
    <d v="1899-12-30T02:40:00"/>
  </r>
  <r>
    <d v="2024-09-02T00:00:00"/>
    <s v="CO-2L"/>
    <s v="422146"/>
    <x v="1"/>
    <d v="1899-12-30T16:50:00"/>
    <d v="1899-12-30T19:30:00"/>
    <s v="Cola"/>
    <n v="2000"/>
    <n v="98"/>
    <x v="8"/>
    <n v="7"/>
    <x v="8"/>
    <x v="1"/>
    <n v="160.00000000000006"/>
    <d v="1899-12-30T02:40:00"/>
  </r>
  <r>
    <d v="2024-09-02T00:00:00"/>
    <s v="CO-2L"/>
    <s v="422147"/>
    <x v="1"/>
    <d v="1899-12-30T19:30:00"/>
    <d v="1899-12-30T22:55:00"/>
    <s v="Cola"/>
    <n v="2000"/>
    <n v="98"/>
    <x v="3"/>
    <n v="17"/>
    <x v="3"/>
    <x v="1"/>
    <n v="205.00000000000006"/>
    <d v="1899-12-30T03:25:00"/>
  </r>
  <r>
    <d v="2024-09-02T00:00:00"/>
    <s v="CO-2L"/>
    <s v="422147"/>
    <x v="1"/>
    <d v="1899-12-30T19:30:00"/>
    <d v="1899-12-30T22:55:00"/>
    <s v="Cola"/>
    <n v="2000"/>
    <n v="98"/>
    <x v="4"/>
    <n v="60"/>
    <x v="4"/>
    <x v="0"/>
    <n v="205.00000000000006"/>
    <d v="1899-12-30T03:25:00"/>
  </r>
  <r>
    <d v="2024-09-02T00:00:00"/>
    <s v="CO-2L"/>
    <s v="422147"/>
    <x v="1"/>
    <d v="1899-12-30T19:30:00"/>
    <d v="1899-12-30T22:55:00"/>
    <s v="Cola"/>
    <n v="2000"/>
    <n v="98"/>
    <x v="1"/>
    <n v="30"/>
    <x v="1"/>
    <x v="1"/>
    <n v="205.00000000000006"/>
    <d v="1899-12-30T03:25:00"/>
  </r>
  <r>
    <d v="2024-09-03T00:00:00"/>
    <s v="CO-2L"/>
    <s v="422148"/>
    <x v="0"/>
    <d v="1899-12-30T22:55:00"/>
    <d v="1899-12-30T01:05:00"/>
    <s v="Cola"/>
    <n v="2000"/>
    <n v="98"/>
    <x v="3"/>
    <n v="25"/>
    <x v="3"/>
    <x v="1"/>
    <n v="-1310.0000000000002"/>
    <n v="-0.90972222222222232"/>
  </r>
  <r>
    <d v="2024-09-03T00:00:00"/>
    <s v="CO-2L"/>
    <s v="422148"/>
    <x v="0"/>
    <d v="1899-12-30T22:55:00"/>
    <d v="1899-12-30T01:05:00"/>
    <s v="Cola"/>
    <n v="2000"/>
    <n v="98"/>
    <x v="2"/>
    <n v="7"/>
    <x v="2"/>
    <x v="0"/>
    <n v="-1310.0000000000002"/>
    <n v="-0.909722222222222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70333-09A7-43F5-A6BC-24DD3C318D41}" name="PivotTable2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6:H53" firstHeaderRow="1" firstDataRow="1" firstDataCol="1" rowPageCount="1" colPageCount="1"/>
  <pivotFields count="15">
    <pivotField numFmtId="14"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showAll="0"/>
    <pivotField showAll="0"/>
    <pivotField axis="axisRow" showAll="0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x="6"/>
        <item t="default"/>
      </items>
    </pivotField>
    <pivotField axis="axisPage" showAll="0">
      <items count="4">
        <item x="1"/>
        <item x="0"/>
        <item x="2"/>
        <item t="default"/>
      </items>
    </pivotField>
    <pivotField numFmtId="1" showAll="0"/>
    <pivotField numFmtId="166" showAll="0"/>
  </pivotFields>
  <rowFields count="1">
    <field x="11"/>
  </rowFields>
  <rowItems count="7">
    <i>
      <x/>
    </i>
    <i>
      <x v="1"/>
    </i>
    <i>
      <x v="2"/>
    </i>
    <i>
      <x v="5"/>
    </i>
    <i>
      <x v="7"/>
    </i>
    <i>
      <x v="10"/>
    </i>
    <i t="grand">
      <x/>
    </i>
  </rowItems>
  <colItems count="1">
    <i/>
  </colItems>
  <pageFields count="1">
    <pageField fld="12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04AD4-4C86-414A-AB4F-CD2F812D2447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5:D57" firstHeaderRow="0" firstDataRow="1" firstDataCol="1"/>
  <pivotFields count="15">
    <pivotField numFmtId="14" showAll="0"/>
    <pivotField showAll="0"/>
    <pivotField showAll="0"/>
    <pivotField showAll="0"/>
    <pivotField numFmtId="165" showAll="0"/>
    <pivotField numFmtId="165" showAll="0"/>
    <pivotField showAll="0"/>
    <pivotField dataField="1" showAll="0"/>
    <pivotField showAll="0"/>
    <pivotField showAll="0" sortType="descending">
      <items count="13">
        <item h="1" x="6"/>
        <item x="10"/>
        <item x="2"/>
        <item x="1"/>
        <item x="4"/>
        <item x="9"/>
        <item x="3"/>
        <item x="11"/>
        <item x="0"/>
        <item x="8"/>
        <item x="7"/>
        <item x="5"/>
        <item t="default"/>
      </items>
    </pivotField>
    <pivotField showAll="0"/>
    <pivotField axis="axisRow" dataField="1" showAll="0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h="1" x="6"/>
        <item t="default"/>
      </items>
    </pivotField>
    <pivotField showAll="0"/>
    <pivotField numFmtId="1" showAll="0"/>
    <pivotField numFmtId="166" showAll="0"/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ize in Ml" fld="7" baseField="0" baseItem="0"/>
    <dataField name="Count of Description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39FB0-5769-42E6-A1F7-33158A3501C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I30:K42" firstHeaderRow="0" firstDataRow="1" firstDataCol="1"/>
  <pivotFields count="15">
    <pivotField numFmtId="14"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showAll="0"/>
    <pivotField dataField="1" showAll="0"/>
    <pivotField axis="axisRow" showAll="0" sortType="descending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numFmtId="166" showAll="0"/>
  </pivotFields>
  <rowFields count="1">
    <field x="11"/>
  </rowFields>
  <rowItems count="12">
    <i>
      <x v="7"/>
    </i>
    <i>
      <x v="8"/>
    </i>
    <i>
      <x v="4"/>
    </i>
    <i>
      <x/>
    </i>
    <i>
      <x v="1"/>
    </i>
    <i>
      <x v="9"/>
    </i>
    <i>
      <x v="10"/>
    </i>
    <i>
      <x v="2"/>
    </i>
    <i>
      <x v="6"/>
    </i>
    <i>
      <x v="5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Downtime(mins)" fld="10" baseField="11" baseItem="6"/>
    <dataField name="%Cumulative" fld="10" baseField="11" baseItem="4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onditionalFormats count="1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C5F76-6352-4988-B42C-F143AB92138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0:K25" firstHeaderRow="0" firstDataRow="1" firstDataCol="1"/>
  <pivotFields count="15">
    <pivotField numFmtId="1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showAll="0"/>
    <pivotField showAll="0"/>
    <pivotField showAll="0"/>
    <pivotField showAll="0"/>
    <pivotField dataField="1" showAll="0"/>
    <pivotField showAll="0"/>
    <pivotField showAll="0"/>
    <pivotField dataField="1" numFmtId="1"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perator stay in minutes" fld="13" baseField="0" baseItem="0"/>
    <dataField name="Sum of Valu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3D3BD4-ED15-42DB-8220-7036E6382890}" name="PivotTable3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Factor Description" colHeaderCaption="Operator">
  <location ref="B20:F33" firstHeaderRow="1" firstDataRow="2" firstDataCol="1"/>
  <pivotFields count="15">
    <pivotField numFmtId="14" showAll="0"/>
    <pivotField showAll="0"/>
    <pivotField showAll="0"/>
    <pivotField axis="axisCol" showAll="0" sortType="de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h="1" x="6"/>
        <item t="default"/>
      </items>
    </pivotField>
    <pivotField showAll="0"/>
    <pivotField numFmtId="1" showAll="0"/>
    <pivotField numFmtId="166" showAll="0"/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4">
    <i>
      <x v="3"/>
    </i>
    <i>
      <x v="2"/>
    </i>
    <i>
      <x/>
    </i>
    <i>
      <x v="1"/>
    </i>
  </colItems>
  <dataFields count="1">
    <dataField name="downtime minutes" fld="10" baseField="0" baseItem="0"/>
  </dataFields>
  <formats count="5">
    <format dxfId="37">
      <pivotArea dataOnly="0" labelOnly="1" fieldPosition="0">
        <references count="1">
          <reference field="11" count="1">
            <x v="7"/>
          </reference>
        </references>
      </pivotArea>
    </format>
    <format dxfId="36">
      <pivotArea dataOnly="0" labelOnly="1" fieldPosition="0">
        <references count="1">
          <reference field="11" count="1">
            <x v="8"/>
          </reference>
        </references>
      </pivotArea>
    </format>
    <format dxfId="35">
      <pivotArea dataOnly="0" labelOnly="1" fieldPosition="0">
        <references count="1">
          <reference field="11" count="1">
            <x v="4"/>
          </reference>
        </references>
      </pivotArea>
    </format>
    <format dxfId="34">
      <pivotArea field="3" type="button" dataOnly="0" labelOnly="1" outline="0" axis="axisCol" fieldPosition="0"/>
    </format>
    <format dxfId="33">
      <pivotArea type="origin" dataOnly="0" labelOnly="1" outline="0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A314A5-1D34-472D-AA34-5CD74DFC676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C18" firstHeaderRow="1" firstDataRow="1" firstDataCol="1"/>
  <pivotFields count="15">
    <pivotField numFmtId="14" showAll="0"/>
    <pivotField showAll="0"/>
    <pivotField showAll="0"/>
    <pivotField showAll="0"/>
    <pivotField numFmtId="164" showAll="0"/>
    <pivotField numFmtId="164" showAll="0"/>
    <pivotField showAll="0"/>
    <pivotField dataField="1" showAll="0"/>
    <pivotField showAll="0"/>
    <pivotField showAll="0"/>
    <pivotField showAll="0"/>
    <pivotField axis="axisRow" showAll="0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x="6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1" showAll="0"/>
    <pivotField numFmtId="166" showAll="0"/>
  </pivotFields>
  <rowFields count="2">
    <field x="12"/>
    <field x="11"/>
  </rowFields>
  <rowItems count="16">
    <i>
      <x/>
    </i>
    <i r="1">
      <x v="3"/>
    </i>
    <i r="1">
      <x v="4"/>
    </i>
    <i r="1">
      <x v="6"/>
    </i>
    <i r="1">
      <x v="8"/>
    </i>
    <i r="1">
      <x v="9"/>
    </i>
    <i>
      <x v="1"/>
    </i>
    <i r="1">
      <x/>
    </i>
    <i r="1">
      <x v="1"/>
    </i>
    <i r="1">
      <x v="2"/>
    </i>
    <i r="1">
      <x v="5"/>
    </i>
    <i r="1">
      <x v="7"/>
    </i>
    <i r="1">
      <x v="10"/>
    </i>
    <i>
      <x v="2"/>
    </i>
    <i r="1">
      <x v="11"/>
    </i>
    <i t="grand">
      <x/>
    </i>
  </rowItems>
  <colItems count="1">
    <i/>
  </colItems>
  <dataFields count="1">
    <dataField name="Sum of Size in M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80A6604-AF96-4B31-BE86-3F15ED284D48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Date" tableColumnId="1"/>
      <queryTableField id="2" name="Product" tableColumnId="2"/>
      <queryTableField id="3" name="Batch" tableColumnId="3"/>
      <queryTableField id="4" name="Operator" tableColumnId="4"/>
      <queryTableField id="5" name="Start Time" tableColumnId="5"/>
      <queryTableField id="6" name="End Time" tableColumnId="6"/>
      <queryTableField id="7" name="Flavor" tableColumnId="7"/>
      <queryTableField id="8" name="Size in Ml" tableColumnId="8"/>
      <queryTableField id="9" name="Min batch time" tableColumnId="9"/>
      <queryTableField id="10" name="Factor" tableColumnId="10"/>
      <queryTableField id="11" name="Value" tableColumnId="11"/>
      <queryTableField id="12" name="Description" tableColumnId="12"/>
      <queryTableField id="13" name="Operator Error" tableColumnId="13"/>
      <queryTableField id="15" dataBound="0" tableColumnId="15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43855D-ECE8-4FDA-A8E9-87AB35C5ABE5}" name="Final_Table" displayName="Final_Table" ref="A1:O65" tableType="queryTable" totalsRowShown="0">
  <autoFilter ref="A1:O65" xr:uid="{FE43855D-ECE8-4FDA-A8E9-87AB35C5ABE5}"/>
  <sortState xmlns:xlrd2="http://schemas.microsoft.com/office/spreadsheetml/2017/richdata2" ref="A2:O65">
    <sortCondition ref="A1:A65"/>
  </sortState>
  <tableColumns count="15">
    <tableColumn id="1" xr3:uid="{BBC7D975-59F4-452C-9B5B-C1E1FEF2613E}" uniqueName="1" name="Date" queryTableFieldId="1" dataDxfId="50"/>
    <tableColumn id="2" xr3:uid="{E02FC80F-0D3F-4893-991A-341EBC9C0330}" uniqueName="2" name="Product" queryTableFieldId="2" dataDxfId="49"/>
    <tableColumn id="3" xr3:uid="{273C44CA-7EB5-454E-8D90-CDDD882D8D3C}" uniqueName="3" name="Batch" queryTableFieldId="3" dataDxfId="48"/>
    <tableColumn id="4" xr3:uid="{1EDF78A7-C23F-4308-A5FA-CE6F483FD5AD}" uniqueName="4" name="Operator" queryTableFieldId="4" dataDxfId="47"/>
    <tableColumn id="5" xr3:uid="{1A093E75-4407-45AD-9670-CDEEC0A135DD}" uniqueName="5" name="Start Time" queryTableFieldId="5" dataDxfId="46"/>
    <tableColumn id="6" xr3:uid="{E8F35BB0-99CD-4B96-B3BE-A111DAA77A83}" uniqueName="6" name="End Time" queryTableFieldId="6" dataDxfId="45"/>
    <tableColumn id="7" xr3:uid="{5717D71E-755E-4D4D-9290-EA2449E2AE5E}" uniqueName="7" name="Flavor" queryTableFieldId="7" dataDxfId="44"/>
    <tableColumn id="8" xr3:uid="{FFF114BB-A2E2-42B0-9E2C-03A054045423}" uniqueName="8" name="Size in Ml" queryTableFieldId="8"/>
    <tableColumn id="9" xr3:uid="{1A33DFF5-C0C8-4006-A17B-72347BD21E2A}" uniqueName="9" name="Min batch time" queryTableFieldId="9"/>
    <tableColumn id="10" xr3:uid="{FE1E1F2B-4B22-40AF-9F97-3BDFC37C28B4}" uniqueName="10" name="Factor" queryTableFieldId="10" dataDxfId="43"/>
    <tableColumn id="11" xr3:uid="{9511CD46-464D-46C3-9040-AD1E8E8226CE}" uniqueName="11" name="Value" queryTableFieldId="11"/>
    <tableColumn id="12" xr3:uid="{71AFD307-3555-4AB5-A767-9293E633C54C}" uniqueName="12" name="Description" queryTableFieldId="12" dataDxfId="42"/>
    <tableColumn id="13" xr3:uid="{EE8CCAB5-467F-4589-9537-1935B5AFB7FA}" uniqueName="13" name="Operator Error" queryTableFieldId="13" dataDxfId="41"/>
    <tableColumn id="15" xr3:uid="{4B5A0B4D-8DF5-4AD2-B14C-B818EC8BC483}" uniqueName="15" name="Operator stay in minutes" queryTableFieldId="15" dataDxfId="40">
      <calculatedColumnFormula>Final_Table[[#This Row],[Operator stay]]*1440</calculatedColumnFormula>
    </tableColumn>
    <tableColumn id="14" xr3:uid="{B68CF8BD-913E-48C8-A71C-725273C78A85}" uniqueName="14" name="Operator stay" queryTableFieldId="14" dataDxfId="39">
      <calculatedColumnFormula>Final_Table[[#This Row],[End Time]]-Final_Table[[#This Row],[Start Time]]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8105DE-CACC-442F-A796-1A16DE2E2D88}" name="Table7" displayName="Table7" ref="G3:H11" totalsRowCount="1">
  <autoFilter ref="G3:H10" xr:uid="{538105DE-CACC-442F-A796-1A16DE2E2D88}"/>
  <sortState xmlns:xlrd2="http://schemas.microsoft.com/office/spreadsheetml/2017/richdata2" ref="G4:H10">
    <sortCondition descending="1" ref="H3:H10"/>
  </sortState>
  <tableColumns count="2">
    <tableColumn id="1" xr3:uid="{361F85AE-A936-4DA4-BA2A-474915818290}" name="Column1" totalsRowFunction="custom">
      <calculatedColumnFormula>C6</calculatedColumnFormula>
      <totalsRowFormula>C12</totalsRowFormula>
    </tableColumn>
    <tableColumn id="2" xr3:uid="{D34CA3DE-3832-4BF6-9C5A-256058BF82CC}" name="volume " totalsRowFunction="custom" dataDxfId="38">
      <calculatedColumnFormula>D6</calculatedColumnFormula>
      <totalsRowFormula>D12</totalsRow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460082-CFE5-42BD-9889-23187B129672}" name="lineproductivity" displayName="lineproductivity" ref="A1:F39" totalsRowShown="0" headerRowDxfId="32">
  <autoFilter ref="A1:F39" xr:uid="{53460082-CFE5-42BD-9889-23187B129672}"/>
  <tableColumns count="6">
    <tableColumn id="1" xr3:uid="{61FA28B1-A926-485B-84CC-E88F15AD898A}" name="Date" dataDxfId="31"/>
    <tableColumn id="2" xr3:uid="{67DCA4A5-B0C1-4C58-A662-AD5294A0B72B}" name="Product" dataDxfId="30"/>
    <tableColumn id="3" xr3:uid="{879D9C35-1D04-46DE-B5FA-4DFC8A20215A}" name="Batch" dataDxfId="29"/>
    <tableColumn id="4" xr3:uid="{F9ED1ABA-BC71-40BE-89C8-9F4997071908}" name="Operator" dataDxfId="28"/>
    <tableColumn id="5" xr3:uid="{25EE2FDC-7319-45F1-80DC-25882629A577}" name="Start Time" dataDxfId="27"/>
    <tableColumn id="6" xr3:uid="{125D1B41-A4FE-440A-B9CA-F03F95F585D7}" name="End Time" dataDxfId="2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C645E1-9662-41EC-A108-D092844785A6}" name="Table110" displayName="Table110" ref="J1:M7" totalsRowShown="0">
  <autoFilter ref="J1:M7" xr:uid="{03C645E1-9662-41EC-A108-D092844785A6}"/>
  <tableColumns count="4">
    <tableColumn id="1" xr3:uid="{EBB2E4B1-A180-42BC-9CE2-022D48365B6C}" name="Product" dataDxfId="25"/>
    <tableColumn id="2" xr3:uid="{5FFBDE5C-97F3-48AD-B6B2-EF76F1E34F3F}" name="Flavor" dataDxfId="24"/>
    <tableColumn id="3" xr3:uid="{CA85FD11-4565-4559-A1D5-A17702C278B3}" name="Size in Ml" dataDxfId="23"/>
    <tableColumn id="4" xr3:uid="{4B5106B5-899E-4BE0-A6A3-1892CC6B5319}" name="Min batch time" dataDxfId="2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7AD7B-970E-493D-8320-9306C581F061}" name="products" displayName="products" ref="A1:D7" totalsRowShown="0">
  <autoFilter ref="A1:D7" xr:uid="{F317AD7B-970E-493D-8320-9306C581F061}"/>
  <tableColumns count="4">
    <tableColumn id="1" xr3:uid="{A133EB3F-85C0-40C1-AAF1-EE51E6776E79}" name="Product" dataDxfId="21"/>
    <tableColumn id="2" xr3:uid="{B65E610B-1833-491A-ADA9-61D141012B9D}" name="Flavor" dataDxfId="20"/>
    <tableColumn id="3" xr3:uid="{8020E767-E244-470E-907C-BA5AED813722}" name="Size in Ml" dataDxfId="19"/>
    <tableColumn id="4" xr3:uid="{B9270C46-C4C2-4197-B4D0-25CD4368E116}" name="Min batch time" dataDxfId="1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42A9D-8D51-425E-A3A9-18AB14602CBC}" name="downtimefactor" displayName="downtimefactor" ref="A1:C13" totalsRowShown="0" headerRowDxfId="17">
  <autoFilter ref="A1:C13" xr:uid="{A9B42A9D-8D51-425E-A3A9-18AB14602CBC}"/>
  <tableColumns count="3">
    <tableColumn id="1" xr3:uid="{FB31F393-6C63-4155-97F7-3CDBDCF523E6}" name="Factor" dataDxfId="16"/>
    <tableColumn id="2" xr3:uid="{61C8A3DB-6CE2-4F60-920F-2C344C08A98F}" name="Description" dataDxfId="15"/>
    <tableColumn id="3" xr3:uid="{E9ACB253-4F11-4B7C-83BB-2A0E184D9487}" name="Operator Error" dataDxfId="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E2C91C-B820-43E5-828C-6C703A4D0C8E}" name="downtimeandfactor" displayName="downtimeandfactor" ref="A1:M39" totalsRowShown="0" headerRowDxfId="13">
  <autoFilter ref="A1:M39" xr:uid="{DDE2C91C-B820-43E5-828C-6C703A4D0C8E}"/>
  <tableColumns count="13">
    <tableColumn id="1" xr3:uid="{FFD2ABB7-E159-4725-A9FE-E38771D9466A}" name="Batch" dataDxfId="12"/>
    <tableColumn id="2" xr3:uid="{3ED0E911-70DB-43C5-9089-98E503CDE7FB}" name="1" dataDxfId="11"/>
    <tableColumn id="3" xr3:uid="{DC169581-09EE-4636-8A05-5C70EC92EC45}" name="2" dataDxfId="10"/>
    <tableColumn id="4" xr3:uid="{B2E44F52-D25A-4D1C-A2DC-DB473FB4C3EF}" name="3" dataDxfId="9"/>
    <tableColumn id="5" xr3:uid="{067FE676-F4A2-4D9C-921E-4CAD01C3B63D}" name="4" dataDxfId="8"/>
    <tableColumn id="6" xr3:uid="{56D66EA5-A601-4F73-895F-55521A18B29B}" name="5" dataDxfId="7"/>
    <tableColumn id="7" xr3:uid="{6864C769-82D5-4116-ACA6-CC392746C6F5}" name="6" dataDxfId="6"/>
    <tableColumn id="8" xr3:uid="{FFDED12D-8DAC-4151-BC5E-ECEB9E007733}" name="7" dataDxfId="5"/>
    <tableColumn id="9" xr3:uid="{19A0E6CA-E7ED-4A01-B00D-877F53E2F3D3}" name="8" dataDxfId="4"/>
    <tableColumn id="10" xr3:uid="{06DC56FA-1900-4A88-8935-3BD8DD7E6068}" name="9" dataDxfId="3"/>
    <tableColumn id="11" xr3:uid="{C049EF7B-3D31-42D4-85B0-4DEF62C7681C}" name="10" dataDxfId="2"/>
    <tableColumn id="12" xr3:uid="{F77DDB55-B6E3-4F5A-95B7-4B047D0A0AD0}" name="11" dataDxfId="1"/>
    <tableColumn id="13" xr3:uid="{6CB6D20E-3B56-4BD2-B71C-CC4A3352A7E9}" name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8347-4894-43B3-AA59-5F4A0EFB4C2E}">
  <dimension ref="A1:Q65"/>
  <sheetViews>
    <sheetView workbookViewId="0">
      <selection activeCell="P63" sqref="P63"/>
    </sheetView>
  </sheetViews>
  <sheetFormatPr defaultRowHeight="14.4" x14ac:dyDescent="0.3"/>
  <cols>
    <col min="1" max="1" width="9.33203125" bestFit="1" customWidth="1"/>
    <col min="2" max="2" width="9.77734375" bestFit="1" customWidth="1"/>
    <col min="3" max="3" width="8" bestFit="1" customWidth="1"/>
    <col min="4" max="4" width="10.6640625" bestFit="1" customWidth="1"/>
    <col min="5" max="5" width="11.77734375" style="14" bestFit="1" customWidth="1"/>
    <col min="6" max="6" width="10.77734375" style="14" bestFit="1" customWidth="1"/>
    <col min="7" max="7" width="10.21875" bestFit="1" customWidth="1"/>
    <col min="8" max="8" width="11" bestFit="1" customWidth="1"/>
    <col min="9" max="9" width="15.6640625" bestFit="1" customWidth="1"/>
    <col min="10" max="10" width="8.5546875" style="7" bestFit="1" customWidth="1"/>
    <col min="11" max="11" width="7.88671875" bestFit="1" customWidth="1"/>
    <col min="12" max="12" width="17.44140625" bestFit="1" customWidth="1"/>
    <col min="13" max="13" width="15" bestFit="1" customWidth="1"/>
    <col min="14" max="14" width="23.77734375" style="9" bestFit="1" customWidth="1"/>
    <col min="15" max="15" width="14.44140625" style="15" bestFit="1" customWidth="1"/>
    <col min="16" max="16" width="11.6640625" customWidth="1"/>
    <col min="17" max="17" width="1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14" t="s">
        <v>4</v>
      </c>
      <c r="F1" s="14" t="s">
        <v>5</v>
      </c>
      <c r="G1" t="s">
        <v>29</v>
      </c>
      <c r="H1" t="s">
        <v>40</v>
      </c>
      <c r="I1" t="s">
        <v>35</v>
      </c>
      <c r="J1" s="7" t="s">
        <v>6</v>
      </c>
      <c r="K1" t="s">
        <v>53</v>
      </c>
      <c r="L1" t="s">
        <v>22</v>
      </c>
      <c r="M1" t="s">
        <v>7</v>
      </c>
      <c r="N1" s="9" t="s">
        <v>108</v>
      </c>
      <c r="O1" s="15" t="s">
        <v>103</v>
      </c>
    </row>
    <row r="2" spans="1:16" x14ac:dyDescent="0.3">
      <c r="A2" s="2">
        <v>45533</v>
      </c>
      <c r="B2" t="s">
        <v>23</v>
      </c>
      <c r="C2" t="s">
        <v>54</v>
      </c>
      <c r="D2" t="s">
        <v>39</v>
      </c>
      <c r="E2" s="14">
        <v>0.49305555555555558</v>
      </c>
      <c r="F2" s="14">
        <v>0.58680555555555558</v>
      </c>
      <c r="G2" t="s">
        <v>30</v>
      </c>
      <c r="H2">
        <v>600</v>
      </c>
      <c r="I2">
        <v>60</v>
      </c>
      <c r="J2" s="7" t="s">
        <v>42</v>
      </c>
      <c r="K2">
        <v>60</v>
      </c>
      <c r="L2" t="s">
        <v>8</v>
      </c>
      <c r="M2" t="s">
        <v>21</v>
      </c>
      <c r="N2" s="9">
        <f>Final_Table[[#This Row],[Operator stay]]*1440</f>
        <v>135</v>
      </c>
      <c r="O2" s="15">
        <f>Final_Table[[#This Row],[End Time]]-Final_Table[[#This Row],[Start Time]]</f>
        <v>9.375E-2</v>
      </c>
    </row>
    <row r="3" spans="1:16" x14ac:dyDescent="0.3">
      <c r="A3" s="2">
        <v>45533</v>
      </c>
      <c r="B3" t="s">
        <v>24</v>
      </c>
      <c r="C3" t="s">
        <v>55</v>
      </c>
      <c r="D3" t="s">
        <v>39</v>
      </c>
      <c r="E3" s="14">
        <v>0.58680555555555558</v>
      </c>
      <c r="F3" s="14">
        <v>0.65625</v>
      </c>
      <c r="G3" t="s">
        <v>31</v>
      </c>
      <c r="H3">
        <v>600</v>
      </c>
      <c r="I3">
        <v>60</v>
      </c>
      <c r="J3" s="7" t="s">
        <v>42</v>
      </c>
      <c r="K3">
        <v>20</v>
      </c>
      <c r="L3" t="s">
        <v>8</v>
      </c>
      <c r="M3" t="s">
        <v>21</v>
      </c>
      <c r="N3" s="9">
        <f>Final_Table[[#This Row],[Operator stay]]*1440</f>
        <v>99.999999999999972</v>
      </c>
      <c r="O3" s="15">
        <f>Final_Table[[#This Row],[End Time]]-Final_Table[[#This Row],[Start Time]]</f>
        <v>6.944444444444442E-2</v>
      </c>
    </row>
    <row r="4" spans="1:16" x14ac:dyDescent="0.3">
      <c r="A4" s="2">
        <v>45533</v>
      </c>
      <c r="B4" t="s">
        <v>24</v>
      </c>
      <c r="C4" t="s">
        <v>56</v>
      </c>
      <c r="D4" t="s">
        <v>39</v>
      </c>
      <c r="E4" s="14">
        <v>0.65625</v>
      </c>
      <c r="F4" s="14">
        <v>0.73263888888888884</v>
      </c>
      <c r="G4" t="s">
        <v>31</v>
      </c>
      <c r="H4">
        <v>600</v>
      </c>
      <c r="I4">
        <v>60</v>
      </c>
      <c r="J4" s="7" t="s">
        <v>42</v>
      </c>
      <c r="K4">
        <v>50</v>
      </c>
      <c r="L4" t="s">
        <v>8</v>
      </c>
      <c r="M4" t="s">
        <v>21</v>
      </c>
      <c r="N4" s="9">
        <f>Final_Table[[#This Row],[Operator stay]]*1440</f>
        <v>109.99999999999993</v>
      </c>
      <c r="O4" s="15">
        <f>Final_Table[[#This Row],[End Time]]-Final_Table[[#This Row],[Start Time]]</f>
        <v>7.638888888888884E-2</v>
      </c>
      <c r="P4" s="15">
        <f>F2-E2</f>
        <v>9.375E-2</v>
      </c>
    </row>
    <row r="5" spans="1:16" x14ac:dyDescent="0.3">
      <c r="A5" s="2">
        <v>45533</v>
      </c>
      <c r="B5" t="s">
        <v>24</v>
      </c>
      <c r="C5" t="s">
        <v>57</v>
      </c>
      <c r="D5" t="s">
        <v>36</v>
      </c>
      <c r="E5" s="14">
        <v>0.90208333333333335</v>
      </c>
      <c r="F5" s="14">
        <v>0.95416666666666672</v>
      </c>
      <c r="G5" t="s">
        <v>31</v>
      </c>
      <c r="H5">
        <v>600</v>
      </c>
      <c r="I5">
        <v>60</v>
      </c>
      <c r="J5" s="7" t="s">
        <v>42</v>
      </c>
      <c r="K5">
        <v>10</v>
      </c>
      <c r="L5" t="s">
        <v>8</v>
      </c>
      <c r="M5" t="s">
        <v>21</v>
      </c>
      <c r="N5" s="9">
        <f>Final_Table[[#This Row],[Operator stay]]*1440</f>
        <v>75.000000000000057</v>
      </c>
      <c r="O5" s="15">
        <f>Final_Table[[#This Row],[End Time]]-Final_Table[[#This Row],[Start Time]]</f>
        <v>5.208333333333337E-2</v>
      </c>
    </row>
    <row r="6" spans="1:16" x14ac:dyDescent="0.3">
      <c r="A6" s="2">
        <v>45533</v>
      </c>
      <c r="B6" t="s">
        <v>23</v>
      </c>
      <c r="C6" t="s">
        <v>54</v>
      </c>
      <c r="D6" t="s">
        <v>39</v>
      </c>
      <c r="E6" s="14">
        <v>0.49305555555555558</v>
      </c>
      <c r="F6" s="14">
        <v>0.58680555555555558</v>
      </c>
      <c r="G6" t="s">
        <v>30</v>
      </c>
      <c r="H6">
        <v>600</v>
      </c>
      <c r="I6">
        <v>60</v>
      </c>
      <c r="J6" s="7" t="s">
        <v>47</v>
      </c>
      <c r="K6">
        <v>15</v>
      </c>
      <c r="L6" t="s">
        <v>12</v>
      </c>
      <c r="M6" t="s">
        <v>20</v>
      </c>
      <c r="N6" s="9">
        <f>Final_Table[[#This Row],[Operator stay]]*1440</f>
        <v>135</v>
      </c>
      <c r="O6" s="15">
        <f>Final_Table[[#This Row],[End Time]]-Final_Table[[#This Row],[Start Time]]</f>
        <v>9.375E-2</v>
      </c>
    </row>
    <row r="7" spans="1:16" x14ac:dyDescent="0.3">
      <c r="A7" s="2">
        <v>45533</v>
      </c>
      <c r="B7" t="s">
        <v>24</v>
      </c>
      <c r="C7" t="s">
        <v>55</v>
      </c>
      <c r="D7" t="s">
        <v>39</v>
      </c>
      <c r="E7" s="14">
        <v>0.58680555555555558</v>
      </c>
      <c r="F7" s="14">
        <v>0.65625</v>
      </c>
      <c r="G7" t="s">
        <v>31</v>
      </c>
      <c r="H7">
        <v>600</v>
      </c>
      <c r="I7">
        <v>60</v>
      </c>
      <c r="J7" s="7" t="s">
        <v>48</v>
      </c>
      <c r="K7">
        <v>20</v>
      </c>
      <c r="L7" t="s">
        <v>13</v>
      </c>
      <c r="M7" t="s">
        <v>21</v>
      </c>
      <c r="N7" s="9">
        <f>Final_Table[[#This Row],[Operator stay]]*1440</f>
        <v>99.999999999999972</v>
      </c>
      <c r="O7" s="15">
        <f>Final_Table[[#This Row],[End Time]]-Final_Table[[#This Row],[Start Time]]</f>
        <v>6.944444444444442E-2</v>
      </c>
    </row>
    <row r="8" spans="1:16" x14ac:dyDescent="0.3">
      <c r="A8" s="2">
        <v>45533</v>
      </c>
      <c r="B8" t="s">
        <v>24</v>
      </c>
      <c r="C8" t="s">
        <v>59</v>
      </c>
      <c r="D8" t="s">
        <v>39</v>
      </c>
      <c r="E8" s="14">
        <v>0.73263888888888884</v>
      </c>
      <c r="F8" s="14">
        <v>0.80208333333333337</v>
      </c>
      <c r="G8" t="s">
        <v>31</v>
      </c>
      <c r="H8">
        <v>600</v>
      </c>
      <c r="I8">
        <v>60</v>
      </c>
      <c r="J8" s="7" t="s">
        <v>44</v>
      </c>
      <c r="K8">
        <v>25</v>
      </c>
      <c r="L8" t="s">
        <v>14</v>
      </c>
      <c r="M8" t="s">
        <v>20</v>
      </c>
      <c r="N8" s="9">
        <f>Final_Table[[#This Row],[Operator stay]]*1440</f>
        <v>100.00000000000013</v>
      </c>
      <c r="O8" s="15">
        <f>Final_Table[[#This Row],[End Time]]-Final_Table[[#This Row],[Start Time]]</f>
        <v>6.9444444444444531E-2</v>
      </c>
    </row>
    <row r="9" spans="1:16" x14ac:dyDescent="0.3">
      <c r="A9" s="2">
        <v>45533</v>
      </c>
      <c r="B9" t="s">
        <v>24</v>
      </c>
      <c r="C9" t="s">
        <v>59</v>
      </c>
      <c r="D9" t="s">
        <v>39</v>
      </c>
      <c r="E9" s="14">
        <v>0.73263888888888884</v>
      </c>
      <c r="F9" s="14">
        <v>0.80208333333333337</v>
      </c>
      <c r="G9" t="s">
        <v>31</v>
      </c>
      <c r="H9">
        <v>600</v>
      </c>
      <c r="I9">
        <v>60</v>
      </c>
      <c r="J9" s="7" t="s">
        <v>46</v>
      </c>
      <c r="K9">
        <v>15</v>
      </c>
      <c r="L9" t="s">
        <v>9</v>
      </c>
      <c r="M9" t="s">
        <v>21</v>
      </c>
      <c r="N9" s="9">
        <f>Final_Table[[#This Row],[Operator stay]]*1440</f>
        <v>100.00000000000013</v>
      </c>
      <c r="O9" s="15">
        <f>Final_Table[[#This Row],[End Time]]-Final_Table[[#This Row],[Start Time]]</f>
        <v>6.9444444444444531E-2</v>
      </c>
    </row>
    <row r="10" spans="1:16" x14ac:dyDescent="0.3">
      <c r="A10" s="2">
        <v>45533</v>
      </c>
      <c r="B10" t="s">
        <v>24</v>
      </c>
      <c r="C10" t="s">
        <v>57</v>
      </c>
      <c r="D10" t="s">
        <v>36</v>
      </c>
      <c r="E10" s="14">
        <v>0.90208333333333335</v>
      </c>
      <c r="F10" s="14">
        <v>0.95416666666666672</v>
      </c>
      <c r="G10" t="s">
        <v>31</v>
      </c>
      <c r="H10">
        <v>600</v>
      </c>
      <c r="I10">
        <v>60</v>
      </c>
      <c r="J10" s="7" t="s">
        <v>46</v>
      </c>
      <c r="K10">
        <v>5</v>
      </c>
      <c r="L10" t="s">
        <v>9</v>
      </c>
      <c r="M10" t="s">
        <v>21</v>
      </c>
      <c r="N10" s="9">
        <f>Final_Table[[#This Row],[Operator stay]]*1440</f>
        <v>75.000000000000057</v>
      </c>
      <c r="O10" s="15">
        <f>Final_Table[[#This Row],[End Time]]-Final_Table[[#This Row],[Start Time]]</f>
        <v>5.208333333333337E-2</v>
      </c>
    </row>
    <row r="11" spans="1:16" x14ac:dyDescent="0.3">
      <c r="A11" s="2">
        <v>45533</v>
      </c>
      <c r="B11" t="s">
        <v>24</v>
      </c>
      <c r="C11" t="s">
        <v>60</v>
      </c>
      <c r="D11" t="s">
        <v>36</v>
      </c>
      <c r="E11" s="14">
        <v>0.80208333333333337</v>
      </c>
      <c r="F11" s="14">
        <v>0.86041666666666672</v>
      </c>
      <c r="G11" t="s">
        <v>31</v>
      </c>
      <c r="H11">
        <v>600</v>
      </c>
      <c r="I11">
        <v>60</v>
      </c>
      <c r="J11" s="7" t="s">
        <v>50</v>
      </c>
      <c r="K11">
        <v>24</v>
      </c>
      <c r="L11" t="s">
        <v>18</v>
      </c>
      <c r="M11" t="s">
        <v>21</v>
      </c>
      <c r="N11" s="9">
        <f>Final_Table[[#This Row],[Operator stay]]*1440</f>
        <v>84.000000000000028</v>
      </c>
      <c r="O11" s="15">
        <f>Final_Table[[#This Row],[End Time]]-Final_Table[[#This Row],[Start Time]]</f>
        <v>5.8333333333333348E-2</v>
      </c>
    </row>
    <row r="12" spans="1:16" x14ac:dyDescent="0.3">
      <c r="A12" s="2">
        <v>45533</v>
      </c>
      <c r="B12" t="s">
        <v>24</v>
      </c>
      <c r="C12" t="s">
        <v>109</v>
      </c>
      <c r="D12" t="s">
        <v>36</v>
      </c>
      <c r="E12" s="14">
        <v>0.86041666666666672</v>
      </c>
      <c r="F12" s="14">
        <v>0.90208333333333335</v>
      </c>
      <c r="G12" t="s">
        <v>31</v>
      </c>
      <c r="H12">
        <v>600</v>
      </c>
      <c r="I12">
        <v>60</v>
      </c>
      <c r="N12" s="9">
        <f>Final_Table[[#This Row],[Operator stay]]*1440</f>
        <v>59.999999999999943</v>
      </c>
      <c r="O12" s="15">
        <f>Final_Table[[#This Row],[End Time]]-Final_Table[[#This Row],[Start Time]]</f>
        <v>4.166666666666663E-2</v>
      </c>
    </row>
    <row r="13" spans="1:16" x14ac:dyDescent="0.3">
      <c r="A13" s="2">
        <v>45534</v>
      </c>
      <c r="B13" t="s">
        <v>25</v>
      </c>
      <c r="C13" t="s">
        <v>58</v>
      </c>
      <c r="D13" t="s">
        <v>37</v>
      </c>
      <c r="E13" s="14">
        <v>0.1701388888888889</v>
      </c>
      <c r="F13" s="14">
        <v>0.25347222222222221</v>
      </c>
      <c r="G13" t="s">
        <v>32</v>
      </c>
      <c r="H13">
        <v>600</v>
      </c>
      <c r="I13">
        <v>60</v>
      </c>
      <c r="J13" s="7" t="s">
        <v>47</v>
      </c>
      <c r="K13">
        <v>16</v>
      </c>
      <c r="L13" t="s">
        <v>12</v>
      </c>
      <c r="M13" t="s">
        <v>20</v>
      </c>
      <c r="N13" s="9">
        <f>Final_Table[[#This Row],[Operator stay]]*1440</f>
        <v>119.99999999999997</v>
      </c>
      <c r="O13" s="15">
        <f>Final_Table[[#This Row],[End Time]]-Final_Table[[#This Row],[Start Time]]</f>
        <v>8.3333333333333315E-2</v>
      </c>
    </row>
    <row r="14" spans="1:16" x14ac:dyDescent="0.3">
      <c r="A14" s="2">
        <v>45534</v>
      </c>
      <c r="B14" t="s">
        <v>25</v>
      </c>
      <c r="C14" t="s">
        <v>58</v>
      </c>
      <c r="D14" t="s">
        <v>37</v>
      </c>
      <c r="E14" s="14">
        <v>0.1701388888888889</v>
      </c>
      <c r="F14" s="14">
        <v>0.25347222222222221</v>
      </c>
      <c r="G14" t="s">
        <v>32</v>
      </c>
      <c r="H14">
        <v>600</v>
      </c>
      <c r="I14">
        <v>60</v>
      </c>
      <c r="J14" s="7" t="s">
        <v>46</v>
      </c>
      <c r="K14">
        <v>14</v>
      </c>
      <c r="L14" t="s">
        <v>9</v>
      </c>
      <c r="M14" t="s">
        <v>21</v>
      </c>
      <c r="N14" s="9">
        <f>Final_Table[[#This Row],[Operator stay]]*1440</f>
        <v>119.99999999999997</v>
      </c>
      <c r="O14" s="15">
        <f>Final_Table[[#This Row],[End Time]]-Final_Table[[#This Row],[Start Time]]</f>
        <v>8.3333333333333315E-2</v>
      </c>
    </row>
    <row r="15" spans="1:16" x14ac:dyDescent="0.3">
      <c r="A15" s="2">
        <v>45534</v>
      </c>
      <c r="B15" t="s">
        <v>25</v>
      </c>
      <c r="C15" t="s">
        <v>58</v>
      </c>
      <c r="D15" t="s">
        <v>37</v>
      </c>
      <c r="E15" s="14">
        <v>0.1701388888888889</v>
      </c>
      <c r="F15" s="14">
        <v>0.25347222222222221</v>
      </c>
      <c r="G15" t="s">
        <v>32</v>
      </c>
      <c r="H15">
        <v>600</v>
      </c>
      <c r="I15">
        <v>60</v>
      </c>
      <c r="J15" s="7" t="s">
        <v>51</v>
      </c>
      <c r="K15">
        <v>10</v>
      </c>
      <c r="L15" t="s">
        <v>11</v>
      </c>
      <c r="M15" t="s">
        <v>21</v>
      </c>
      <c r="N15" s="9">
        <f>Final_Table[[#This Row],[Operator stay]]*1440</f>
        <v>119.99999999999997</v>
      </c>
      <c r="O15" s="15">
        <f>Final_Table[[#This Row],[End Time]]-Final_Table[[#This Row],[Start Time]]</f>
        <v>8.3333333333333315E-2</v>
      </c>
    </row>
    <row r="16" spans="1:16" x14ac:dyDescent="0.3">
      <c r="A16" s="2">
        <v>45534</v>
      </c>
      <c r="B16" t="s">
        <v>25</v>
      </c>
      <c r="C16" t="s">
        <v>58</v>
      </c>
      <c r="D16" t="s">
        <v>37</v>
      </c>
      <c r="E16" s="14">
        <v>0.1701388888888889</v>
      </c>
      <c r="F16" s="14">
        <v>0.25347222222222221</v>
      </c>
      <c r="G16" t="s">
        <v>32</v>
      </c>
      <c r="H16">
        <v>600</v>
      </c>
      <c r="I16">
        <v>60</v>
      </c>
      <c r="J16" s="7" t="s">
        <v>52</v>
      </c>
      <c r="K16">
        <v>20</v>
      </c>
      <c r="L16" t="s">
        <v>16</v>
      </c>
      <c r="M16" t="s">
        <v>20</v>
      </c>
      <c r="N16" s="9">
        <f>Final_Table[[#This Row],[Operator stay]]*1440</f>
        <v>119.99999999999997</v>
      </c>
      <c r="O16" s="15">
        <f>Final_Table[[#This Row],[End Time]]-Final_Table[[#This Row],[Start Time]]</f>
        <v>8.3333333333333315E-2</v>
      </c>
    </row>
    <row r="17" spans="1:15" x14ac:dyDescent="0.3">
      <c r="A17" s="2">
        <v>45534</v>
      </c>
      <c r="B17" t="s">
        <v>25</v>
      </c>
      <c r="C17" t="s">
        <v>61</v>
      </c>
      <c r="D17" t="s">
        <v>37</v>
      </c>
      <c r="E17" s="14">
        <v>0.25347222222222221</v>
      </c>
      <c r="F17" s="14">
        <v>0.3125</v>
      </c>
      <c r="G17" t="s">
        <v>32</v>
      </c>
      <c r="H17">
        <v>600</v>
      </c>
      <c r="I17">
        <v>60</v>
      </c>
      <c r="J17" s="7" t="s">
        <v>44</v>
      </c>
      <c r="K17">
        <v>25</v>
      </c>
      <c r="L17" t="s">
        <v>14</v>
      </c>
      <c r="M17" t="s">
        <v>20</v>
      </c>
      <c r="N17" s="9">
        <f>Final_Table[[#This Row],[Operator stay]]*1440</f>
        <v>85.000000000000014</v>
      </c>
      <c r="O17" s="15">
        <f>Final_Table[[#This Row],[End Time]]-Final_Table[[#This Row],[Start Time]]</f>
        <v>5.902777777777779E-2</v>
      </c>
    </row>
    <row r="18" spans="1:15" x14ac:dyDescent="0.3">
      <c r="A18" s="2">
        <v>45534</v>
      </c>
      <c r="B18" t="s">
        <v>25</v>
      </c>
      <c r="C18" t="s">
        <v>62</v>
      </c>
      <c r="D18" t="s">
        <v>37</v>
      </c>
      <c r="E18" s="14">
        <v>0.3125</v>
      </c>
      <c r="F18" s="14">
        <v>0.39027777777777778</v>
      </c>
      <c r="G18" t="s">
        <v>32</v>
      </c>
      <c r="H18">
        <v>600</v>
      </c>
      <c r="I18">
        <v>60</v>
      </c>
      <c r="J18" s="7" t="s">
        <v>44</v>
      </c>
      <c r="K18">
        <v>20</v>
      </c>
      <c r="L18" t="s">
        <v>14</v>
      </c>
      <c r="M18" t="s">
        <v>20</v>
      </c>
      <c r="N18" s="9">
        <f>Final_Table[[#This Row],[Operator stay]]*1440</f>
        <v>112</v>
      </c>
      <c r="O18" s="15">
        <f>Final_Table[[#This Row],[End Time]]-Final_Table[[#This Row],[Start Time]]</f>
        <v>7.7777777777777779E-2</v>
      </c>
    </row>
    <row r="19" spans="1:15" x14ac:dyDescent="0.3">
      <c r="A19" s="2">
        <v>45534</v>
      </c>
      <c r="B19" t="s">
        <v>25</v>
      </c>
      <c r="C19" t="s">
        <v>62</v>
      </c>
      <c r="D19" t="s">
        <v>37</v>
      </c>
      <c r="E19" s="14">
        <v>0.3125</v>
      </c>
      <c r="F19" s="14">
        <v>0.39027777777777778</v>
      </c>
      <c r="G19" t="s">
        <v>32</v>
      </c>
      <c r="H19">
        <v>600</v>
      </c>
      <c r="I19">
        <v>60</v>
      </c>
      <c r="J19" s="7" t="s">
        <v>45</v>
      </c>
      <c r="K19">
        <v>15</v>
      </c>
      <c r="L19" t="s">
        <v>10</v>
      </c>
      <c r="M19" t="s">
        <v>21</v>
      </c>
      <c r="N19" s="9">
        <f>Final_Table[[#This Row],[Operator stay]]*1440</f>
        <v>112</v>
      </c>
      <c r="O19" s="15">
        <f>Final_Table[[#This Row],[End Time]]-Final_Table[[#This Row],[Start Time]]</f>
        <v>7.7777777777777779E-2</v>
      </c>
    </row>
    <row r="20" spans="1:15" x14ac:dyDescent="0.3">
      <c r="A20" s="2">
        <v>45534</v>
      </c>
      <c r="B20" t="s">
        <v>25</v>
      </c>
      <c r="C20" t="s">
        <v>62</v>
      </c>
      <c r="D20" t="s">
        <v>37</v>
      </c>
      <c r="E20" s="14">
        <v>0.3125</v>
      </c>
      <c r="F20" s="14">
        <v>0.39027777777777778</v>
      </c>
      <c r="G20" t="s">
        <v>32</v>
      </c>
      <c r="H20">
        <v>600</v>
      </c>
      <c r="I20">
        <v>60</v>
      </c>
      <c r="J20" s="7" t="s">
        <v>49</v>
      </c>
      <c r="K20">
        <v>17</v>
      </c>
      <c r="L20" t="s">
        <v>15</v>
      </c>
      <c r="M20" t="s">
        <v>20</v>
      </c>
      <c r="N20" s="9">
        <f>Final_Table[[#This Row],[Operator stay]]*1440</f>
        <v>112</v>
      </c>
      <c r="O20" s="15">
        <f>Final_Table[[#This Row],[End Time]]-Final_Table[[#This Row],[Start Time]]</f>
        <v>7.7777777777777779E-2</v>
      </c>
    </row>
    <row r="21" spans="1:15" x14ac:dyDescent="0.3">
      <c r="A21" s="2">
        <v>45534</v>
      </c>
      <c r="B21" t="s">
        <v>25</v>
      </c>
      <c r="C21" t="s">
        <v>63</v>
      </c>
      <c r="D21" t="s">
        <v>38</v>
      </c>
      <c r="E21" s="14">
        <v>0.39027777777777778</v>
      </c>
      <c r="F21" s="14">
        <v>0.44236111111111109</v>
      </c>
      <c r="G21" t="s">
        <v>32</v>
      </c>
      <c r="H21">
        <v>600</v>
      </c>
      <c r="I21">
        <v>60</v>
      </c>
      <c r="J21" s="7" t="s">
        <v>47</v>
      </c>
      <c r="K21">
        <v>15</v>
      </c>
      <c r="L21" t="s">
        <v>12</v>
      </c>
      <c r="M21" t="s">
        <v>20</v>
      </c>
      <c r="N21" s="9">
        <f>Final_Table[[#This Row],[Operator stay]]*1440</f>
        <v>74.999999999999972</v>
      </c>
      <c r="O21" s="15">
        <f>Final_Table[[#This Row],[End Time]]-Final_Table[[#This Row],[Start Time]]</f>
        <v>5.2083333333333315E-2</v>
      </c>
    </row>
    <row r="22" spans="1:15" x14ac:dyDescent="0.3">
      <c r="A22" s="2">
        <v>45534</v>
      </c>
      <c r="B22" t="s">
        <v>25</v>
      </c>
      <c r="C22" t="s">
        <v>64</v>
      </c>
      <c r="D22" t="s">
        <v>38</v>
      </c>
      <c r="E22" s="14">
        <v>0.44236111111111109</v>
      </c>
      <c r="F22" s="14">
        <v>0.50138888888888888</v>
      </c>
      <c r="G22" t="s">
        <v>32</v>
      </c>
      <c r="H22">
        <v>600</v>
      </c>
      <c r="I22">
        <v>60</v>
      </c>
      <c r="J22" s="7" t="s">
        <v>47</v>
      </c>
      <c r="K22">
        <v>25</v>
      </c>
      <c r="L22" t="s">
        <v>12</v>
      </c>
      <c r="M22" t="s">
        <v>20</v>
      </c>
      <c r="N22" s="9">
        <f>Final_Table[[#This Row],[Operator stay]]*1440</f>
        <v>85.000000000000014</v>
      </c>
      <c r="O22" s="15">
        <f>Final_Table[[#This Row],[End Time]]-Final_Table[[#This Row],[Start Time]]</f>
        <v>5.902777777777779E-2</v>
      </c>
    </row>
    <row r="23" spans="1:15" x14ac:dyDescent="0.3">
      <c r="A23" s="2">
        <v>45534</v>
      </c>
      <c r="B23" t="s">
        <v>25</v>
      </c>
      <c r="C23" t="s">
        <v>65</v>
      </c>
      <c r="D23" t="s">
        <v>38</v>
      </c>
      <c r="E23" s="14">
        <v>0.50138888888888888</v>
      </c>
      <c r="F23" s="14">
        <v>0.59375</v>
      </c>
      <c r="G23" t="s">
        <v>32</v>
      </c>
      <c r="H23">
        <v>600</v>
      </c>
      <c r="I23">
        <v>60</v>
      </c>
      <c r="J23" s="7" t="s">
        <v>44</v>
      </c>
      <c r="K23">
        <v>43</v>
      </c>
      <c r="L23" t="s">
        <v>14</v>
      </c>
      <c r="M23" t="s">
        <v>20</v>
      </c>
      <c r="N23" s="9">
        <f>Final_Table[[#This Row],[Operator stay]]*1440</f>
        <v>133</v>
      </c>
      <c r="O23" s="15">
        <f>Final_Table[[#This Row],[End Time]]-Final_Table[[#This Row],[Start Time]]</f>
        <v>9.2361111111111116E-2</v>
      </c>
    </row>
    <row r="24" spans="1:15" x14ac:dyDescent="0.3">
      <c r="A24" s="2">
        <v>45534</v>
      </c>
      <c r="B24" t="s">
        <v>25</v>
      </c>
      <c r="C24" t="s">
        <v>65</v>
      </c>
      <c r="D24" t="s">
        <v>38</v>
      </c>
      <c r="E24" s="14">
        <v>0.50138888888888888</v>
      </c>
      <c r="F24" s="14">
        <v>0.59375</v>
      </c>
      <c r="G24" t="s">
        <v>32</v>
      </c>
      <c r="H24">
        <v>600</v>
      </c>
      <c r="I24">
        <v>60</v>
      </c>
      <c r="J24" s="7" t="s">
        <v>47</v>
      </c>
      <c r="K24">
        <v>30</v>
      </c>
      <c r="L24" t="s">
        <v>12</v>
      </c>
      <c r="M24" t="s">
        <v>20</v>
      </c>
      <c r="N24" s="9">
        <f>Final_Table[[#This Row],[Operator stay]]*1440</f>
        <v>133</v>
      </c>
      <c r="O24" s="15">
        <f>Final_Table[[#This Row],[End Time]]-Final_Table[[#This Row],[Start Time]]</f>
        <v>9.2361111111111116E-2</v>
      </c>
    </row>
    <row r="25" spans="1:15" x14ac:dyDescent="0.3">
      <c r="A25" s="2">
        <v>45534</v>
      </c>
      <c r="B25" t="s">
        <v>25</v>
      </c>
      <c r="C25" t="s">
        <v>66</v>
      </c>
      <c r="D25" t="s">
        <v>38</v>
      </c>
      <c r="E25" s="14">
        <v>0.59375</v>
      </c>
      <c r="F25" s="14">
        <v>0.66319444444444442</v>
      </c>
      <c r="G25" t="s">
        <v>32</v>
      </c>
      <c r="H25">
        <v>600</v>
      </c>
      <c r="I25">
        <v>60</v>
      </c>
      <c r="J25" s="7" t="s">
        <v>45</v>
      </c>
      <c r="K25">
        <v>20</v>
      </c>
      <c r="L25" t="s">
        <v>10</v>
      </c>
      <c r="M25" t="s">
        <v>21</v>
      </c>
      <c r="N25" s="9">
        <f>Final_Table[[#This Row],[Operator stay]]*1440</f>
        <v>99.999999999999972</v>
      </c>
      <c r="O25" s="15">
        <f>Final_Table[[#This Row],[End Time]]-Final_Table[[#This Row],[Start Time]]</f>
        <v>6.944444444444442E-2</v>
      </c>
    </row>
    <row r="26" spans="1:15" x14ac:dyDescent="0.3">
      <c r="A26" s="2">
        <v>45534</v>
      </c>
      <c r="B26" t="s">
        <v>25</v>
      </c>
      <c r="C26" t="s">
        <v>66</v>
      </c>
      <c r="D26" t="s">
        <v>38</v>
      </c>
      <c r="E26" s="14">
        <v>0.59375</v>
      </c>
      <c r="F26" s="14">
        <v>0.66319444444444442</v>
      </c>
      <c r="G26" t="s">
        <v>32</v>
      </c>
      <c r="H26">
        <v>600</v>
      </c>
      <c r="I26">
        <v>60</v>
      </c>
      <c r="J26" s="7" t="s">
        <v>46</v>
      </c>
      <c r="K26">
        <v>20</v>
      </c>
      <c r="L26" t="s">
        <v>9</v>
      </c>
      <c r="M26" t="s">
        <v>21</v>
      </c>
      <c r="N26" s="9">
        <f>Final_Table[[#This Row],[Operator stay]]*1440</f>
        <v>99.999999999999972</v>
      </c>
      <c r="O26" s="15">
        <f>Final_Table[[#This Row],[End Time]]-Final_Table[[#This Row],[Start Time]]</f>
        <v>6.944444444444442E-2</v>
      </c>
    </row>
    <row r="27" spans="1:15" x14ac:dyDescent="0.3">
      <c r="A27" s="2">
        <v>45534</v>
      </c>
      <c r="B27" t="s">
        <v>25</v>
      </c>
      <c r="C27" t="s">
        <v>67</v>
      </c>
      <c r="D27" t="s">
        <v>36</v>
      </c>
      <c r="E27" s="14">
        <v>0.66319444444444442</v>
      </c>
      <c r="F27" s="14">
        <v>0.71875</v>
      </c>
      <c r="G27" t="s">
        <v>32</v>
      </c>
      <c r="H27">
        <v>600</v>
      </c>
      <c r="I27">
        <v>60</v>
      </c>
      <c r="J27" s="7" t="s">
        <v>51</v>
      </c>
      <c r="K27">
        <v>10</v>
      </c>
      <c r="L27" t="s">
        <v>11</v>
      </c>
      <c r="M27" t="s">
        <v>21</v>
      </c>
      <c r="N27" s="9">
        <f>Final_Table[[#This Row],[Operator stay]]*1440</f>
        <v>80.000000000000028</v>
      </c>
      <c r="O27" s="15">
        <f>Final_Table[[#This Row],[End Time]]-Final_Table[[#This Row],[Start Time]]</f>
        <v>5.555555555555558E-2</v>
      </c>
    </row>
    <row r="28" spans="1:15" x14ac:dyDescent="0.3">
      <c r="A28" s="2">
        <v>45534</v>
      </c>
      <c r="B28" t="s">
        <v>25</v>
      </c>
      <c r="C28" t="s">
        <v>67</v>
      </c>
      <c r="D28" t="s">
        <v>36</v>
      </c>
      <c r="E28" s="14">
        <v>0.66319444444444442</v>
      </c>
      <c r="F28" s="14">
        <v>0.71875</v>
      </c>
      <c r="G28" t="s">
        <v>32</v>
      </c>
      <c r="H28">
        <v>600</v>
      </c>
      <c r="I28">
        <v>60</v>
      </c>
      <c r="J28" s="7" t="s">
        <v>52</v>
      </c>
      <c r="K28">
        <v>10</v>
      </c>
      <c r="L28" t="s">
        <v>16</v>
      </c>
      <c r="M28" t="s">
        <v>20</v>
      </c>
      <c r="N28" s="9">
        <f>Final_Table[[#This Row],[Operator stay]]*1440</f>
        <v>80.000000000000028</v>
      </c>
      <c r="O28" s="15">
        <f>Final_Table[[#This Row],[End Time]]-Final_Table[[#This Row],[Start Time]]</f>
        <v>5.555555555555558E-2</v>
      </c>
    </row>
    <row r="29" spans="1:15" x14ac:dyDescent="0.3">
      <c r="A29" s="2">
        <v>45534</v>
      </c>
      <c r="B29" t="s">
        <v>25</v>
      </c>
      <c r="C29" t="s">
        <v>68</v>
      </c>
      <c r="D29" t="s">
        <v>36</v>
      </c>
      <c r="E29" s="14">
        <v>0.71875</v>
      </c>
      <c r="F29" s="14">
        <v>0.79097222222222219</v>
      </c>
      <c r="G29" t="s">
        <v>32</v>
      </c>
      <c r="H29">
        <v>600</v>
      </c>
      <c r="I29">
        <v>60</v>
      </c>
      <c r="J29" s="7" t="s">
        <v>48</v>
      </c>
      <c r="K29">
        <v>44</v>
      </c>
      <c r="L29" t="s">
        <v>13</v>
      </c>
      <c r="M29" t="s">
        <v>21</v>
      </c>
      <c r="N29" s="9">
        <f>Final_Table[[#This Row],[Operator stay]]*1440</f>
        <v>103.99999999999994</v>
      </c>
      <c r="O29" s="15">
        <f>Final_Table[[#This Row],[End Time]]-Final_Table[[#This Row],[Start Time]]</f>
        <v>7.2222222222222188E-2</v>
      </c>
    </row>
    <row r="30" spans="1:15" x14ac:dyDescent="0.3">
      <c r="A30" s="2">
        <v>45534</v>
      </c>
      <c r="B30" t="s">
        <v>25</v>
      </c>
      <c r="C30" t="s">
        <v>69</v>
      </c>
      <c r="D30" t="s">
        <v>36</v>
      </c>
      <c r="E30" s="14">
        <v>0.79097222222222219</v>
      </c>
      <c r="F30" s="14">
        <v>0.84861111111111109</v>
      </c>
      <c r="G30" t="s">
        <v>32</v>
      </c>
      <c r="H30">
        <v>600</v>
      </c>
      <c r="I30">
        <v>60</v>
      </c>
      <c r="J30" s="7" t="s">
        <v>46</v>
      </c>
      <c r="K30">
        <v>23</v>
      </c>
      <c r="L30" t="s">
        <v>9</v>
      </c>
      <c r="M30" t="s">
        <v>21</v>
      </c>
      <c r="N30" s="9">
        <f>Final_Table[[#This Row],[Operator stay]]*1440</f>
        <v>83.000000000000028</v>
      </c>
      <c r="O30" s="15">
        <f>Final_Table[[#This Row],[End Time]]-Final_Table[[#This Row],[Start Time]]</f>
        <v>5.7638888888888906E-2</v>
      </c>
    </row>
    <row r="31" spans="1:15" x14ac:dyDescent="0.3">
      <c r="A31" s="2">
        <v>45534</v>
      </c>
      <c r="B31" t="s">
        <v>25</v>
      </c>
      <c r="C31" t="s">
        <v>70</v>
      </c>
      <c r="D31" t="s">
        <v>36</v>
      </c>
      <c r="E31" s="14">
        <v>0.84861111111111109</v>
      </c>
      <c r="F31" s="14">
        <v>0.92638888888888893</v>
      </c>
      <c r="G31" t="s">
        <v>32</v>
      </c>
      <c r="H31">
        <v>600</v>
      </c>
      <c r="I31">
        <v>60</v>
      </c>
      <c r="J31" s="7" t="s">
        <v>45</v>
      </c>
      <c r="K31">
        <v>22</v>
      </c>
      <c r="L31" t="s">
        <v>10</v>
      </c>
      <c r="M31" t="s">
        <v>21</v>
      </c>
      <c r="N31" s="9">
        <f>Final_Table[[#This Row],[Operator stay]]*1440</f>
        <v>112.00000000000009</v>
      </c>
      <c r="O31" s="15">
        <f>Final_Table[[#This Row],[End Time]]-Final_Table[[#This Row],[Start Time]]</f>
        <v>7.7777777777777835E-2</v>
      </c>
    </row>
    <row r="32" spans="1:15" x14ac:dyDescent="0.3">
      <c r="A32" s="2">
        <v>45534</v>
      </c>
      <c r="B32" t="s">
        <v>25</v>
      </c>
      <c r="C32" t="s">
        <v>70</v>
      </c>
      <c r="D32" t="s">
        <v>36</v>
      </c>
      <c r="E32" s="14">
        <v>0.84861111111111109</v>
      </c>
      <c r="F32" s="14">
        <v>0.92638888888888893</v>
      </c>
      <c r="G32" t="s">
        <v>32</v>
      </c>
      <c r="H32">
        <v>600</v>
      </c>
      <c r="I32">
        <v>60</v>
      </c>
      <c r="J32" s="7" t="s">
        <v>47</v>
      </c>
      <c r="K32">
        <v>30</v>
      </c>
      <c r="L32" t="s">
        <v>12</v>
      </c>
      <c r="M32" t="s">
        <v>20</v>
      </c>
      <c r="N32" s="9">
        <f>Final_Table[[#This Row],[Operator stay]]*1440</f>
        <v>112.00000000000009</v>
      </c>
      <c r="O32" s="15">
        <f>Final_Table[[#This Row],[End Time]]-Final_Table[[#This Row],[Start Time]]</f>
        <v>7.7777777777777835E-2</v>
      </c>
    </row>
    <row r="33" spans="1:15" x14ac:dyDescent="0.3">
      <c r="A33" s="2">
        <v>45534</v>
      </c>
      <c r="B33" t="s">
        <v>25</v>
      </c>
      <c r="C33" t="s">
        <v>71</v>
      </c>
      <c r="D33" t="s">
        <v>36</v>
      </c>
      <c r="E33" s="14">
        <v>0.92638888888888893</v>
      </c>
      <c r="F33" s="14">
        <v>0.97847222222222219</v>
      </c>
      <c r="G33" t="s">
        <v>32</v>
      </c>
      <c r="H33">
        <v>600</v>
      </c>
      <c r="I33">
        <v>60</v>
      </c>
      <c r="J33" s="7" t="s">
        <v>52</v>
      </c>
      <c r="K33">
        <v>15</v>
      </c>
      <c r="L33" t="s">
        <v>16</v>
      </c>
      <c r="M33" t="s">
        <v>20</v>
      </c>
      <c r="N33" s="9">
        <f>Final_Table[[#This Row],[Operator stay]]*1440</f>
        <v>74.999999999999886</v>
      </c>
      <c r="O33" s="15">
        <f>Final_Table[[#This Row],[End Time]]-Final_Table[[#This Row],[Start Time]]</f>
        <v>5.2083333333333259E-2</v>
      </c>
    </row>
    <row r="34" spans="1:15" x14ac:dyDescent="0.3">
      <c r="A34" s="2">
        <v>45535</v>
      </c>
      <c r="B34" t="s">
        <v>25</v>
      </c>
      <c r="C34" t="s">
        <v>72</v>
      </c>
      <c r="D34" t="s">
        <v>37</v>
      </c>
      <c r="E34" s="14">
        <v>0.32291666666666669</v>
      </c>
      <c r="F34" s="14">
        <v>0.37847222222222221</v>
      </c>
      <c r="G34" t="s">
        <v>32</v>
      </c>
      <c r="H34">
        <v>600</v>
      </c>
      <c r="I34">
        <v>60</v>
      </c>
      <c r="J34" s="7" t="s">
        <v>42</v>
      </c>
      <c r="K34">
        <v>20</v>
      </c>
      <c r="L34" t="s">
        <v>8</v>
      </c>
      <c r="M34" t="s">
        <v>21</v>
      </c>
      <c r="N34" s="9">
        <f>Final_Table[[#This Row],[Operator stay]]*1440</f>
        <v>79.999999999999957</v>
      </c>
      <c r="O34" s="15">
        <f>Final_Table[[#This Row],[End Time]]-Final_Table[[#This Row],[Start Time]]</f>
        <v>5.5555555555555525E-2</v>
      </c>
    </row>
    <row r="35" spans="1:15" x14ac:dyDescent="0.3">
      <c r="A35" s="2">
        <v>45535</v>
      </c>
      <c r="B35" t="s">
        <v>25</v>
      </c>
      <c r="C35" t="s">
        <v>73</v>
      </c>
      <c r="D35" t="s">
        <v>37</v>
      </c>
      <c r="E35" s="14">
        <v>0.37847222222222221</v>
      </c>
      <c r="F35" s="14">
        <v>0.44097222222222221</v>
      </c>
      <c r="G35" t="s">
        <v>32</v>
      </c>
      <c r="H35">
        <v>600</v>
      </c>
      <c r="I35">
        <v>60</v>
      </c>
      <c r="J35" s="7" t="s">
        <v>44</v>
      </c>
      <c r="K35">
        <v>20</v>
      </c>
      <c r="L35" t="s">
        <v>14</v>
      </c>
      <c r="M35" t="s">
        <v>20</v>
      </c>
      <c r="N35" s="9">
        <f>Final_Table[[#This Row],[Operator stay]]*1440</f>
        <v>90</v>
      </c>
      <c r="O35" s="15">
        <f>Final_Table[[#This Row],[End Time]]-Final_Table[[#This Row],[Start Time]]</f>
        <v>6.25E-2</v>
      </c>
    </row>
    <row r="36" spans="1:15" x14ac:dyDescent="0.3">
      <c r="A36" s="2">
        <v>45535</v>
      </c>
      <c r="B36" t="s">
        <v>25</v>
      </c>
      <c r="C36" t="s">
        <v>73</v>
      </c>
      <c r="D36" t="s">
        <v>37</v>
      </c>
      <c r="E36" s="14">
        <v>0.37847222222222221</v>
      </c>
      <c r="F36" s="14">
        <v>0.44097222222222221</v>
      </c>
      <c r="G36" t="s">
        <v>32</v>
      </c>
      <c r="H36">
        <v>600</v>
      </c>
      <c r="I36">
        <v>60</v>
      </c>
      <c r="J36" s="7" t="s">
        <v>50</v>
      </c>
      <c r="K36">
        <v>10</v>
      </c>
      <c r="L36" t="s">
        <v>18</v>
      </c>
      <c r="M36" t="s">
        <v>21</v>
      </c>
      <c r="N36" s="9">
        <f>Final_Table[[#This Row],[Operator stay]]*1440</f>
        <v>90</v>
      </c>
      <c r="O36" s="15">
        <f>Final_Table[[#This Row],[End Time]]-Final_Table[[#This Row],[Start Time]]</f>
        <v>6.25E-2</v>
      </c>
    </row>
    <row r="37" spans="1:15" x14ac:dyDescent="0.3">
      <c r="A37" s="2">
        <v>45535</v>
      </c>
      <c r="B37" t="s">
        <v>26</v>
      </c>
      <c r="C37" t="s">
        <v>74</v>
      </c>
      <c r="D37" t="s">
        <v>37</v>
      </c>
      <c r="E37" s="14">
        <v>0.4826388888888889</v>
      </c>
      <c r="F37" s="14">
        <v>0.53819444444444442</v>
      </c>
      <c r="G37" t="s">
        <v>33</v>
      </c>
      <c r="H37">
        <v>600</v>
      </c>
      <c r="I37">
        <v>60</v>
      </c>
      <c r="J37" s="7" t="s">
        <v>47</v>
      </c>
      <c r="K37">
        <v>20</v>
      </c>
      <c r="L37" t="s">
        <v>12</v>
      </c>
      <c r="M37" t="s">
        <v>20</v>
      </c>
      <c r="N37" s="9">
        <f>Final_Table[[#This Row],[Operator stay]]*1440</f>
        <v>79.999999999999957</v>
      </c>
      <c r="O37" s="15">
        <f>Final_Table[[#This Row],[End Time]]-Final_Table[[#This Row],[Start Time]]</f>
        <v>5.5555555555555525E-2</v>
      </c>
    </row>
    <row r="38" spans="1:15" x14ac:dyDescent="0.3">
      <c r="A38" s="2">
        <v>45535</v>
      </c>
      <c r="B38" t="s">
        <v>26</v>
      </c>
      <c r="C38" t="s">
        <v>75</v>
      </c>
      <c r="D38" t="s">
        <v>39</v>
      </c>
      <c r="E38" s="14">
        <v>0.53819444444444442</v>
      </c>
      <c r="F38" s="14">
        <v>0.61458333333333337</v>
      </c>
      <c r="G38" t="s">
        <v>33</v>
      </c>
      <c r="H38">
        <v>600</v>
      </c>
      <c r="I38">
        <v>60</v>
      </c>
      <c r="J38" s="7" t="s">
        <v>47</v>
      </c>
      <c r="K38">
        <v>30</v>
      </c>
      <c r="L38" t="s">
        <v>12</v>
      </c>
      <c r="M38" t="s">
        <v>20</v>
      </c>
      <c r="N38" s="9">
        <f>Final_Table[[#This Row],[Operator stay]]*1440</f>
        <v>110.00000000000009</v>
      </c>
      <c r="O38" s="15">
        <f>Final_Table[[#This Row],[End Time]]-Final_Table[[#This Row],[Start Time]]</f>
        <v>7.6388888888888951E-2</v>
      </c>
    </row>
    <row r="39" spans="1:15" x14ac:dyDescent="0.3">
      <c r="A39" s="2">
        <v>45535</v>
      </c>
      <c r="B39" t="s">
        <v>26</v>
      </c>
      <c r="C39" t="s">
        <v>75</v>
      </c>
      <c r="D39" t="s">
        <v>39</v>
      </c>
      <c r="E39" s="14">
        <v>0.53819444444444442</v>
      </c>
      <c r="F39" s="14">
        <v>0.61458333333333337</v>
      </c>
      <c r="G39" t="s">
        <v>33</v>
      </c>
      <c r="H39">
        <v>600</v>
      </c>
      <c r="I39">
        <v>60</v>
      </c>
      <c r="J39" s="7" t="s">
        <v>48</v>
      </c>
      <c r="K39">
        <v>20</v>
      </c>
      <c r="L39" t="s">
        <v>13</v>
      </c>
      <c r="M39" t="s">
        <v>21</v>
      </c>
      <c r="N39" s="9">
        <f>Final_Table[[#This Row],[Operator stay]]*1440</f>
        <v>110.00000000000009</v>
      </c>
      <c r="O39" s="15">
        <f>Final_Table[[#This Row],[End Time]]-Final_Table[[#This Row],[Start Time]]</f>
        <v>7.6388888888888951E-2</v>
      </c>
    </row>
    <row r="40" spans="1:15" x14ac:dyDescent="0.3">
      <c r="A40" s="2">
        <v>45535</v>
      </c>
      <c r="B40" t="s">
        <v>26</v>
      </c>
      <c r="C40" t="s">
        <v>76</v>
      </c>
      <c r="D40" t="s">
        <v>39</v>
      </c>
      <c r="E40" s="14">
        <v>0.61458333333333337</v>
      </c>
      <c r="F40" s="14">
        <v>0.6875</v>
      </c>
      <c r="G40" t="s">
        <v>33</v>
      </c>
      <c r="H40">
        <v>600</v>
      </c>
      <c r="I40">
        <v>60</v>
      </c>
      <c r="J40" s="7" t="s">
        <v>44</v>
      </c>
      <c r="K40">
        <v>30</v>
      </c>
      <c r="L40" t="s">
        <v>14</v>
      </c>
      <c r="M40" t="s">
        <v>20</v>
      </c>
      <c r="N40" s="9">
        <f>Final_Table[[#This Row],[Operator stay]]*1440</f>
        <v>104.99999999999994</v>
      </c>
      <c r="O40" s="15">
        <f>Final_Table[[#This Row],[End Time]]-Final_Table[[#This Row],[Start Time]]</f>
        <v>7.291666666666663E-2</v>
      </c>
    </row>
    <row r="41" spans="1:15" x14ac:dyDescent="0.3">
      <c r="A41" s="2">
        <v>45535</v>
      </c>
      <c r="B41" t="s">
        <v>26</v>
      </c>
      <c r="C41" t="s">
        <v>76</v>
      </c>
      <c r="D41" t="s">
        <v>39</v>
      </c>
      <c r="E41" s="14">
        <v>0.61458333333333337</v>
      </c>
      <c r="F41" s="14">
        <v>0.6875</v>
      </c>
      <c r="G41" t="s">
        <v>33</v>
      </c>
      <c r="H41">
        <v>600</v>
      </c>
      <c r="I41">
        <v>60</v>
      </c>
      <c r="J41" s="7" t="s">
        <v>52</v>
      </c>
      <c r="K41">
        <v>15</v>
      </c>
      <c r="L41" t="s">
        <v>16</v>
      </c>
      <c r="M41" t="s">
        <v>20</v>
      </c>
      <c r="N41" s="9">
        <f>Final_Table[[#This Row],[Operator stay]]*1440</f>
        <v>104.99999999999994</v>
      </c>
      <c r="O41" s="15">
        <f>Final_Table[[#This Row],[End Time]]-Final_Table[[#This Row],[Start Time]]</f>
        <v>7.291666666666663E-2</v>
      </c>
    </row>
    <row r="42" spans="1:15" x14ac:dyDescent="0.3">
      <c r="A42" s="2">
        <v>45535</v>
      </c>
      <c r="B42" t="s">
        <v>25</v>
      </c>
      <c r="C42" t="s">
        <v>110</v>
      </c>
      <c r="D42" t="s">
        <v>37</v>
      </c>
      <c r="E42" s="14">
        <v>0.44097222222222221</v>
      </c>
      <c r="F42" s="14">
        <v>0.4826388888888889</v>
      </c>
      <c r="G42" t="s">
        <v>32</v>
      </c>
      <c r="H42">
        <v>600</v>
      </c>
      <c r="I42">
        <v>60</v>
      </c>
      <c r="N42" s="9">
        <f>Final_Table[[#This Row],[Operator stay]]*1440</f>
        <v>60.000000000000028</v>
      </c>
      <c r="O42" s="15">
        <f>Final_Table[[#This Row],[End Time]]-Final_Table[[#This Row],[Start Time]]</f>
        <v>4.1666666666666685E-2</v>
      </c>
    </row>
    <row r="43" spans="1:15" x14ac:dyDescent="0.3">
      <c r="A43" s="2">
        <v>45535</v>
      </c>
      <c r="B43" t="s">
        <v>26</v>
      </c>
      <c r="C43" t="s">
        <v>111</v>
      </c>
      <c r="D43" t="s">
        <v>39</v>
      </c>
      <c r="E43" s="14">
        <v>0.6875</v>
      </c>
      <c r="F43" s="14">
        <v>0.72916666666666663</v>
      </c>
      <c r="G43" t="s">
        <v>33</v>
      </c>
      <c r="H43">
        <v>600</v>
      </c>
      <c r="I43">
        <v>60</v>
      </c>
      <c r="N43" s="9">
        <f>Final_Table[[#This Row],[Operator stay]]*1440</f>
        <v>59.999999999999943</v>
      </c>
      <c r="O43" s="15">
        <f>Final_Table[[#This Row],[End Time]]-Final_Table[[#This Row],[Start Time]]</f>
        <v>4.166666666666663E-2</v>
      </c>
    </row>
    <row r="44" spans="1:15" x14ac:dyDescent="0.3">
      <c r="A44" s="2">
        <v>45537</v>
      </c>
      <c r="B44" t="s">
        <v>27</v>
      </c>
      <c r="C44" t="s">
        <v>77</v>
      </c>
      <c r="D44" t="s">
        <v>37</v>
      </c>
      <c r="E44" s="14">
        <v>4.1666666666666664E-2</v>
      </c>
      <c r="F44" s="14">
        <v>0.11458333333333333</v>
      </c>
      <c r="G44" t="s">
        <v>34</v>
      </c>
      <c r="H44">
        <v>600</v>
      </c>
      <c r="I44">
        <v>60</v>
      </c>
      <c r="J44" s="7" t="s">
        <v>48</v>
      </c>
      <c r="K44">
        <v>30</v>
      </c>
      <c r="L44" t="s">
        <v>13</v>
      </c>
      <c r="M44" t="s">
        <v>21</v>
      </c>
      <c r="N44" s="9">
        <f>Final_Table[[#This Row],[Operator stay]]*1440</f>
        <v>104.99999999999999</v>
      </c>
      <c r="O44" s="15">
        <f>Final_Table[[#This Row],[End Time]]-Final_Table[[#This Row],[Start Time]]</f>
        <v>7.2916666666666657E-2</v>
      </c>
    </row>
    <row r="45" spans="1:15" x14ac:dyDescent="0.3">
      <c r="A45" s="2">
        <v>45537</v>
      </c>
      <c r="B45" t="s">
        <v>27</v>
      </c>
      <c r="C45" t="s">
        <v>77</v>
      </c>
      <c r="D45" t="s">
        <v>37</v>
      </c>
      <c r="E45" s="14">
        <v>4.1666666666666664E-2</v>
      </c>
      <c r="F45" s="14">
        <v>0.11458333333333333</v>
      </c>
      <c r="G45" t="s">
        <v>34</v>
      </c>
      <c r="H45">
        <v>600</v>
      </c>
      <c r="I45">
        <v>60</v>
      </c>
      <c r="J45" s="7" t="s">
        <v>50</v>
      </c>
      <c r="K45">
        <v>15</v>
      </c>
      <c r="L45" t="s">
        <v>18</v>
      </c>
      <c r="M45" t="s">
        <v>21</v>
      </c>
      <c r="N45" s="9">
        <f>Final_Table[[#This Row],[Operator stay]]*1440</f>
        <v>104.99999999999999</v>
      </c>
      <c r="O45" s="15">
        <f>Final_Table[[#This Row],[End Time]]-Final_Table[[#This Row],[Start Time]]</f>
        <v>7.2916666666666657E-2</v>
      </c>
    </row>
    <row r="46" spans="1:15" x14ac:dyDescent="0.3">
      <c r="A46" s="2">
        <v>45537</v>
      </c>
      <c r="B46" t="s">
        <v>27</v>
      </c>
      <c r="C46" t="s">
        <v>78</v>
      </c>
      <c r="D46" t="s">
        <v>37</v>
      </c>
      <c r="E46" s="14">
        <v>0.11458333333333333</v>
      </c>
      <c r="F46" s="14">
        <v>0.1701388888888889</v>
      </c>
      <c r="G46" t="s">
        <v>34</v>
      </c>
      <c r="H46">
        <v>600</v>
      </c>
      <c r="I46">
        <v>60</v>
      </c>
      <c r="J46" s="7" t="s">
        <v>43</v>
      </c>
      <c r="K46">
        <v>20</v>
      </c>
      <c r="L46" t="s">
        <v>19</v>
      </c>
      <c r="M46" t="s">
        <v>20</v>
      </c>
      <c r="N46" s="9">
        <f>Final_Table[[#This Row],[Operator stay]]*1440</f>
        <v>80.000000000000014</v>
      </c>
      <c r="O46" s="15">
        <f>Final_Table[[#This Row],[End Time]]-Final_Table[[#This Row],[Start Time]]</f>
        <v>5.5555555555555566E-2</v>
      </c>
    </row>
    <row r="47" spans="1:15" x14ac:dyDescent="0.3">
      <c r="A47" s="2">
        <v>45537</v>
      </c>
      <c r="B47" t="s">
        <v>27</v>
      </c>
      <c r="C47" t="s">
        <v>79</v>
      </c>
      <c r="D47" t="s">
        <v>37</v>
      </c>
      <c r="E47" s="14">
        <v>0.1701388888888889</v>
      </c>
      <c r="F47" s="14">
        <v>0.2361111111111111</v>
      </c>
      <c r="G47" t="s">
        <v>34</v>
      </c>
      <c r="H47">
        <v>600</v>
      </c>
      <c r="I47">
        <v>60</v>
      </c>
      <c r="J47" s="7" t="s">
        <v>44</v>
      </c>
      <c r="K47">
        <v>20</v>
      </c>
      <c r="L47" t="s">
        <v>14</v>
      </c>
      <c r="M47" t="s">
        <v>20</v>
      </c>
      <c r="N47" s="9">
        <f>Final_Table[[#This Row],[Operator stay]]*1440</f>
        <v>94.999999999999986</v>
      </c>
      <c r="O47" s="15">
        <f>Final_Table[[#This Row],[End Time]]-Final_Table[[#This Row],[Start Time]]</f>
        <v>6.597222222222221E-2</v>
      </c>
    </row>
    <row r="48" spans="1:15" x14ac:dyDescent="0.3">
      <c r="A48" s="2">
        <v>45537</v>
      </c>
      <c r="B48" t="s">
        <v>27</v>
      </c>
      <c r="C48" t="s">
        <v>79</v>
      </c>
      <c r="D48" t="s">
        <v>37</v>
      </c>
      <c r="E48" s="14">
        <v>0.1701388888888889</v>
      </c>
      <c r="F48" s="14">
        <v>0.2361111111111111</v>
      </c>
      <c r="G48" t="s">
        <v>34</v>
      </c>
      <c r="H48">
        <v>600</v>
      </c>
      <c r="I48">
        <v>60</v>
      </c>
      <c r="J48" s="7" t="s">
        <v>46</v>
      </c>
      <c r="K48">
        <v>15</v>
      </c>
      <c r="L48" t="s">
        <v>9</v>
      </c>
      <c r="M48" t="s">
        <v>21</v>
      </c>
      <c r="N48" s="9">
        <f>Final_Table[[#This Row],[Operator stay]]*1440</f>
        <v>94.999999999999986</v>
      </c>
      <c r="O48" s="15">
        <f>Final_Table[[#This Row],[End Time]]-Final_Table[[#This Row],[Start Time]]</f>
        <v>6.597222222222221E-2</v>
      </c>
    </row>
    <row r="49" spans="1:17" x14ac:dyDescent="0.3">
      <c r="A49" s="2">
        <v>45537</v>
      </c>
      <c r="B49" t="s">
        <v>27</v>
      </c>
      <c r="C49" t="s">
        <v>80</v>
      </c>
      <c r="D49" t="s">
        <v>37</v>
      </c>
      <c r="E49" s="14">
        <v>0.2361111111111111</v>
      </c>
      <c r="F49" s="14">
        <v>0.3215277777777778</v>
      </c>
      <c r="G49" t="s">
        <v>34</v>
      </c>
      <c r="H49">
        <v>600</v>
      </c>
      <c r="I49">
        <v>60</v>
      </c>
      <c r="J49" s="7" t="s">
        <v>46</v>
      </c>
      <c r="K49">
        <v>50</v>
      </c>
      <c r="L49" t="s">
        <v>9</v>
      </c>
      <c r="M49" t="s">
        <v>21</v>
      </c>
      <c r="N49" s="9">
        <f>Final_Table[[#This Row],[Operator stay]]*1440</f>
        <v>123.00000000000004</v>
      </c>
      <c r="O49" s="15">
        <f>Final_Table[[#This Row],[End Time]]-Final_Table[[#This Row],[Start Time]]</f>
        <v>8.5416666666666696E-2</v>
      </c>
    </row>
    <row r="50" spans="1:17" x14ac:dyDescent="0.3">
      <c r="A50" s="2">
        <v>45537</v>
      </c>
      <c r="B50" t="s">
        <v>27</v>
      </c>
      <c r="C50" t="s">
        <v>80</v>
      </c>
      <c r="D50" t="s">
        <v>37</v>
      </c>
      <c r="E50" s="14">
        <v>0.2361111111111111</v>
      </c>
      <c r="F50" s="14">
        <v>0.3215277777777778</v>
      </c>
      <c r="G50" t="s">
        <v>34</v>
      </c>
      <c r="H50">
        <v>600</v>
      </c>
      <c r="I50">
        <v>60</v>
      </c>
      <c r="J50" s="7" t="s">
        <v>51</v>
      </c>
      <c r="K50">
        <v>13</v>
      </c>
      <c r="L50" t="s">
        <v>11</v>
      </c>
      <c r="M50" t="s">
        <v>21</v>
      </c>
      <c r="N50" s="9">
        <f>Final_Table[[#This Row],[Operator stay]]*1440</f>
        <v>123.00000000000004</v>
      </c>
      <c r="O50" s="15">
        <f>Final_Table[[#This Row],[End Time]]-Final_Table[[#This Row],[Start Time]]</f>
        <v>8.5416666666666696E-2</v>
      </c>
    </row>
    <row r="51" spans="1:17" x14ac:dyDescent="0.3">
      <c r="A51" s="2">
        <v>45537</v>
      </c>
      <c r="B51" t="s">
        <v>27</v>
      </c>
      <c r="C51" t="s">
        <v>81</v>
      </c>
      <c r="D51" t="s">
        <v>38</v>
      </c>
      <c r="E51" s="14">
        <v>0.3215277777777778</v>
      </c>
      <c r="F51" s="14">
        <v>0.36805555555555558</v>
      </c>
      <c r="G51" t="s">
        <v>34</v>
      </c>
      <c r="H51">
        <v>600</v>
      </c>
      <c r="I51">
        <v>60</v>
      </c>
      <c r="J51" s="7" t="s">
        <v>52</v>
      </c>
      <c r="K51">
        <v>7</v>
      </c>
      <c r="L51" t="s">
        <v>16</v>
      </c>
      <c r="M51" t="s">
        <v>20</v>
      </c>
      <c r="N51" s="9">
        <f>Final_Table[[#This Row],[Operator stay]]*1440</f>
        <v>67</v>
      </c>
      <c r="O51" s="15">
        <f>Final_Table[[#This Row],[End Time]]-Final_Table[[#This Row],[Start Time]]</f>
        <v>4.6527777777777779E-2</v>
      </c>
    </row>
    <row r="52" spans="1:17" x14ac:dyDescent="0.3">
      <c r="A52" s="2">
        <v>45537</v>
      </c>
      <c r="B52" t="s">
        <v>27</v>
      </c>
      <c r="C52" t="s">
        <v>82</v>
      </c>
      <c r="D52" t="s">
        <v>38</v>
      </c>
      <c r="E52" s="14">
        <v>0.36805555555555558</v>
      </c>
      <c r="F52" s="14">
        <v>0.43055555555555558</v>
      </c>
      <c r="G52" t="s">
        <v>34</v>
      </c>
      <c r="H52">
        <v>600</v>
      </c>
      <c r="I52">
        <v>60</v>
      </c>
      <c r="J52" s="7" t="s">
        <v>46</v>
      </c>
      <c r="K52">
        <v>30</v>
      </c>
      <c r="L52" t="s">
        <v>9</v>
      </c>
      <c r="M52" t="s">
        <v>21</v>
      </c>
      <c r="N52" s="9">
        <f>Final_Table[[#This Row],[Operator stay]]*1440</f>
        <v>90</v>
      </c>
      <c r="O52" s="15">
        <f>Final_Table[[#This Row],[End Time]]-Final_Table[[#This Row],[Start Time]]</f>
        <v>6.25E-2</v>
      </c>
    </row>
    <row r="53" spans="1:17" x14ac:dyDescent="0.3">
      <c r="A53" s="2">
        <v>45537</v>
      </c>
      <c r="B53" t="s">
        <v>27</v>
      </c>
      <c r="C53" t="s">
        <v>83</v>
      </c>
      <c r="D53" t="s">
        <v>38</v>
      </c>
      <c r="E53" s="14">
        <v>0.43055555555555558</v>
      </c>
      <c r="F53" s="14">
        <v>0.51249999999999996</v>
      </c>
      <c r="G53" t="s">
        <v>34</v>
      </c>
      <c r="H53">
        <v>600</v>
      </c>
      <c r="I53">
        <v>60</v>
      </c>
      <c r="J53" s="7" t="s">
        <v>46</v>
      </c>
      <c r="K53">
        <v>40</v>
      </c>
      <c r="L53" t="s">
        <v>9</v>
      </c>
      <c r="M53" t="s">
        <v>21</v>
      </c>
      <c r="N53" s="9">
        <f>Final_Table[[#This Row],[Operator stay]]*1440</f>
        <v>117.9999999999999</v>
      </c>
      <c r="O53" s="15">
        <f>Final_Table[[#This Row],[End Time]]-Final_Table[[#This Row],[Start Time]]</f>
        <v>8.1944444444444375E-2</v>
      </c>
      <c r="P53" s="15">
        <f>E65-F65</f>
        <v>0.90972222222222232</v>
      </c>
      <c r="Q53" s="4"/>
    </row>
    <row r="54" spans="1:17" x14ac:dyDescent="0.3">
      <c r="A54" s="2">
        <v>45537</v>
      </c>
      <c r="B54" t="s">
        <v>27</v>
      </c>
      <c r="C54" t="s">
        <v>83</v>
      </c>
      <c r="D54" t="s">
        <v>38</v>
      </c>
      <c r="E54" s="14">
        <v>0.43055555555555558</v>
      </c>
      <c r="F54" s="14">
        <v>0.51249999999999996</v>
      </c>
      <c r="G54" t="s">
        <v>34</v>
      </c>
      <c r="H54">
        <v>600</v>
      </c>
      <c r="I54">
        <v>60</v>
      </c>
      <c r="J54" s="7" t="s">
        <v>47</v>
      </c>
      <c r="K54">
        <v>18</v>
      </c>
      <c r="L54" t="s">
        <v>12</v>
      </c>
      <c r="M54" t="s">
        <v>20</v>
      </c>
      <c r="N54" s="9">
        <f>Final_Table[[#This Row],[Operator stay]]*1440</f>
        <v>117.9999999999999</v>
      </c>
      <c r="O54" s="15">
        <f>Final_Table[[#This Row],[End Time]]-Final_Table[[#This Row],[Start Time]]</f>
        <v>8.1944444444444375E-2</v>
      </c>
    </row>
    <row r="55" spans="1:17" x14ac:dyDescent="0.3">
      <c r="A55" s="2">
        <v>45537</v>
      </c>
      <c r="B55" t="s">
        <v>28</v>
      </c>
      <c r="C55" t="s">
        <v>84</v>
      </c>
      <c r="D55" t="s">
        <v>38</v>
      </c>
      <c r="E55" s="14">
        <v>0.51249999999999996</v>
      </c>
      <c r="F55" s="14">
        <v>0.61805555555555558</v>
      </c>
      <c r="G55" t="s">
        <v>32</v>
      </c>
      <c r="H55">
        <v>2000</v>
      </c>
      <c r="I55">
        <v>98</v>
      </c>
      <c r="J55" s="7" t="s">
        <v>46</v>
      </c>
      <c r="K55">
        <v>30</v>
      </c>
      <c r="L55" t="s">
        <v>9</v>
      </c>
      <c r="M55" t="s">
        <v>21</v>
      </c>
      <c r="N55" s="9">
        <f>Final_Table[[#This Row],[Operator stay]]*1440</f>
        <v>152.00000000000011</v>
      </c>
      <c r="O55" s="15">
        <f>Final_Table[[#This Row],[End Time]]-Final_Table[[#This Row],[Start Time]]</f>
        <v>0.10555555555555562</v>
      </c>
      <c r="P55" s="15">
        <f>F58-E58</f>
        <v>0.11111111111111116</v>
      </c>
    </row>
    <row r="56" spans="1:17" x14ac:dyDescent="0.3">
      <c r="A56" s="2">
        <v>45537</v>
      </c>
      <c r="B56" t="s">
        <v>28</v>
      </c>
      <c r="C56" t="s">
        <v>84</v>
      </c>
      <c r="D56" t="s">
        <v>38</v>
      </c>
      <c r="E56" s="14">
        <v>0.51249999999999996</v>
      </c>
      <c r="F56" s="14">
        <v>0.61805555555555558</v>
      </c>
      <c r="G56" t="s">
        <v>32</v>
      </c>
      <c r="H56">
        <v>2000</v>
      </c>
      <c r="I56">
        <v>98</v>
      </c>
      <c r="J56" s="7" t="s">
        <v>48</v>
      </c>
      <c r="K56">
        <v>24</v>
      </c>
      <c r="L56" t="s">
        <v>13</v>
      </c>
      <c r="M56" t="s">
        <v>21</v>
      </c>
      <c r="N56" s="9">
        <f>Final_Table[[#This Row],[Operator stay]]*1440</f>
        <v>152.00000000000011</v>
      </c>
      <c r="O56" s="15">
        <f>Final_Table[[#This Row],[End Time]]-Final_Table[[#This Row],[Start Time]]</f>
        <v>0.10555555555555562</v>
      </c>
    </row>
    <row r="57" spans="1:17" x14ac:dyDescent="0.3">
      <c r="A57" s="2">
        <v>45537</v>
      </c>
      <c r="B57" t="s">
        <v>28</v>
      </c>
      <c r="C57" t="s">
        <v>85</v>
      </c>
      <c r="D57" t="s">
        <v>36</v>
      </c>
      <c r="E57" s="14">
        <v>0.61805555555555558</v>
      </c>
      <c r="F57" s="14">
        <v>0.70138888888888884</v>
      </c>
      <c r="G57" t="s">
        <v>32</v>
      </c>
      <c r="H57">
        <v>2000</v>
      </c>
      <c r="I57">
        <v>98</v>
      </c>
      <c r="J57" s="7" t="s">
        <v>43</v>
      </c>
      <c r="K57">
        <v>22</v>
      </c>
      <c r="L57" t="s">
        <v>19</v>
      </c>
      <c r="M57" t="s">
        <v>20</v>
      </c>
      <c r="N57" s="9">
        <f>Final_Table[[#This Row],[Operator stay]]*1440</f>
        <v>119.99999999999989</v>
      </c>
      <c r="O57" s="15">
        <f>Final_Table[[#This Row],[End Time]]-Final_Table[[#This Row],[Start Time]]</f>
        <v>8.3333333333333259E-2</v>
      </c>
    </row>
    <row r="58" spans="1:17" x14ac:dyDescent="0.3">
      <c r="A58" s="2">
        <v>45537</v>
      </c>
      <c r="B58" t="s">
        <v>28</v>
      </c>
      <c r="C58" t="s">
        <v>86</v>
      </c>
      <c r="D58" t="s">
        <v>36</v>
      </c>
      <c r="E58" s="14">
        <v>0.70138888888888884</v>
      </c>
      <c r="F58" s="14">
        <v>0.8125</v>
      </c>
      <c r="G58" t="s">
        <v>32</v>
      </c>
      <c r="H58">
        <v>2000</v>
      </c>
      <c r="I58">
        <v>98</v>
      </c>
      <c r="J58" s="7" t="s">
        <v>46</v>
      </c>
      <c r="K58">
        <v>30</v>
      </c>
      <c r="L58" t="s">
        <v>9</v>
      </c>
      <c r="M58" t="s">
        <v>21</v>
      </c>
      <c r="N58" s="9">
        <f>Final_Table[[#This Row],[Operator stay]]*1440</f>
        <v>160.00000000000006</v>
      </c>
      <c r="O58" s="15">
        <f>Final_Table[[#This Row],[End Time]]-Final_Table[[#This Row],[Start Time]]</f>
        <v>0.11111111111111116</v>
      </c>
    </row>
    <row r="59" spans="1:17" x14ac:dyDescent="0.3">
      <c r="A59" s="2">
        <v>45537</v>
      </c>
      <c r="B59" t="s">
        <v>28</v>
      </c>
      <c r="C59" t="s">
        <v>86</v>
      </c>
      <c r="D59" t="s">
        <v>36</v>
      </c>
      <c r="E59" s="14">
        <v>0.70138888888888884</v>
      </c>
      <c r="F59" s="14">
        <v>0.8125</v>
      </c>
      <c r="G59" t="s">
        <v>32</v>
      </c>
      <c r="H59">
        <v>2000</v>
      </c>
      <c r="I59">
        <v>98</v>
      </c>
      <c r="J59" s="7" t="s">
        <v>47</v>
      </c>
      <c r="K59">
        <v>25</v>
      </c>
      <c r="L59" t="s">
        <v>12</v>
      </c>
      <c r="M59" t="s">
        <v>20</v>
      </c>
      <c r="N59" s="9">
        <f>Final_Table[[#This Row],[Operator stay]]*1440</f>
        <v>160.00000000000006</v>
      </c>
      <c r="O59" s="15">
        <f>Final_Table[[#This Row],[End Time]]-Final_Table[[#This Row],[Start Time]]</f>
        <v>0.11111111111111116</v>
      </c>
    </row>
    <row r="60" spans="1:17" x14ac:dyDescent="0.3">
      <c r="A60" s="2">
        <v>45537</v>
      </c>
      <c r="B60" t="s">
        <v>28</v>
      </c>
      <c r="C60" t="s">
        <v>86</v>
      </c>
      <c r="D60" t="s">
        <v>36</v>
      </c>
      <c r="E60" s="14">
        <v>0.70138888888888884</v>
      </c>
      <c r="F60" s="14">
        <v>0.8125</v>
      </c>
      <c r="G60" t="s">
        <v>32</v>
      </c>
      <c r="H60">
        <v>2000</v>
      </c>
      <c r="I60">
        <v>98</v>
      </c>
      <c r="J60" s="7" t="s">
        <v>52</v>
      </c>
      <c r="K60">
        <v>7</v>
      </c>
      <c r="L60" t="s">
        <v>16</v>
      </c>
      <c r="M60" t="s">
        <v>20</v>
      </c>
      <c r="N60" s="9">
        <f>Final_Table[[#This Row],[Operator stay]]*1440</f>
        <v>160.00000000000006</v>
      </c>
      <c r="O60" s="15">
        <f>Final_Table[[#This Row],[End Time]]-Final_Table[[#This Row],[Start Time]]</f>
        <v>0.11111111111111116</v>
      </c>
    </row>
    <row r="61" spans="1:17" x14ac:dyDescent="0.3">
      <c r="A61" s="2">
        <v>45537</v>
      </c>
      <c r="B61" t="s">
        <v>28</v>
      </c>
      <c r="C61" t="s">
        <v>87</v>
      </c>
      <c r="D61" t="s">
        <v>36</v>
      </c>
      <c r="E61" s="14">
        <v>0.8125</v>
      </c>
      <c r="F61" s="14">
        <v>0.95486111111111116</v>
      </c>
      <c r="G61" t="s">
        <v>32</v>
      </c>
      <c r="H61">
        <v>2000</v>
      </c>
      <c r="I61">
        <v>98</v>
      </c>
      <c r="J61" s="7" t="s">
        <v>44</v>
      </c>
      <c r="K61">
        <v>17</v>
      </c>
      <c r="L61" t="s">
        <v>14</v>
      </c>
      <c r="M61" t="s">
        <v>20</v>
      </c>
      <c r="N61" s="9">
        <f>Final_Table[[#This Row],[Operator stay]]*1440</f>
        <v>205.00000000000006</v>
      </c>
      <c r="O61" s="15">
        <f>Final_Table[[#This Row],[End Time]]-Final_Table[[#This Row],[Start Time]]</f>
        <v>0.14236111111111116</v>
      </c>
    </row>
    <row r="62" spans="1:17" x14ac:dyDescent="0.3">
      <c r="A62" s="2">
        <v>45537</v>
      </c>
      <c r="B62" t="s">
        <v>28</v>
      </c>
      <c r="C62" t="s">
        <v>87</v>
      </c>
      <c r="D62" t="s">
        <v>36</v>
      </c>
      <c r="E62" s="14">
        <v>0.8125</v>
      </c>
      <c r="F62" s="14">
        <v>0.95486111111111116</v>
      </c>
      <c r="G62" t="s">
        <v>32</v>
      </c>
      <c r="H62">
        <v>2000</v>
      </c>
      <c r="I62">
        <v>98</v>
      </c>
      <c r="J62" s="7" t="s">
        <v>46</v>
      </c>
      <c r="K62">
        <v>60</v>
      </c>
      <c r="L62" t="s">
        <v>9</v>
      </c>
      <c r="M62" t="s">
        <v>21</v>
      </c>
      <c r="N62" s="9">
        <f>Final_Table[[#This Row],[Operator stay]]*1440</f>
        <v>205.00000000000006</v>
      </c>
      <c r="O62" s="15">
        <f>Final_Table[[#This Row],[End Time]]-Final_Table[[#This Row],[Start Time]]</f>
        <v>0.14236111111111116</v>
      </c>
    </row>
    <row r="63" spans="1:17" x14ac:dyDescent="0.3">
      <c r="A63" s="2">
        <v>45537</v>
      </c>
      <c r="B63" t="s">
        <v>28</v>
      </c>
      <c r="C63" t="s">
        <v>87</v>
      </c>
      <c r="D63" t="s">
        <v>36</v>
      </c>
      <c r="E63" s="14">
        <v>0.8125</v>
      </c>
      <c r="F63" s="14">
        <v>0.95486111111111116</v>
      </c>
      <c r="G63" t="s">
        <v>32</v>
      </c>
      <c r="H63">
        <v>2000</v>
      </c>
      <c r="I63">
        <v>98</v>
      </c>
      <c r="J63" s="7" t="s">
        <v>47</v>
      </c>
      <c r="K63">
        <v>30</v>
      </c>
      <c r="L63" t="s">
        <v>12</v>
      </c>
      <c r="M63" t="s">
        <v>20</v>
      </c>
      <c r="N63" s="9">
        <f>Final_Table[[#This Row],[Operator stay]]*1440</f>
        <v>205.00000000000006</v>
      </c>
      <c r="O63" s="15">
        <f>Final_Table[[#This Row],[End Time]]-Final_Table[[#This Row],[Start Time]]</f>
        <v>0.14236111111111116</v>
      </c>
    </row>
    <row r="64" spans="1:17" x14ac:dyDescent="0.3">
      <c r="A64" s="2">
        <v>45538</v>
      </c>
      <c r="B64" t="s">
        <v>28</v>
      </c>
      <c r="C64" t="s">
        <v>88</v>
      </c>
      <c r="D64" t="s">
        <v>39</v>
      </c>
      <c r="E64" s="14">
        <v>0.95486111111111116</v>
      </c>
      <c r="F64" s="14">
        <v>4.5138888888888888E-2</v>
      </c>
      <c r="G64" t="s">
        <v>32</v>
      </c>
      <c r="H64">
        <v>2000</v>
      </c>
      <c r="I64">
        <v>98</v>
      </c>
      <c r="J64" s="7" t="s">
        <v>44</v>
      </c>
      <c r="K64">
        <v>25</v>
      </c>
      <c r="L64" t="s">
        <v>14</v>
      </c>
      <c r="M64" t="s">
        <v>20</v>
      </c>
      <c r="N64" s="9">
        <f>Final_Table[[#This Row],[Operator stay]]*1440</f>
        <v>130</v>
      </c>
      <c r="O64" s="15">
        <v>9.0277777777777776E-2</v>
      </c>
    </row>
    <row r="65" spans="1:15" x14ac:dyDescent="0.3">
      <c r="A65" s="2">
        <v>45538</v>
      </c>
      <c r="B65" t="s">
        <v>28</v>
      </c>
      <c r="C65" t="s">
        <v>88</v>
      </c>
      <c r="D65" t="s">
        <v>39</v>
      </c>
      <c r="E65" s="14">
        <v>0.95486111111111116</v>
      </c>
      <c r="F65" s="14">
        <v>4.5138888888888888E-2</v>
      </c>
      <c r="G65" t="s">
        <v>32</v>
      </c>
      <c r="H65">
        <v>2000</v>
      </c>
      <c r="I65">
        <v>98</v>
      </c>
      <c r="J65" s="7" t="s">
        <v>48</v>
      </c>
      <c r="K65">
        <v>7</v>
      </c>
      <c r="L65" t="s">
        <v>13</v>
      </c>
      <c r="M65" t="s">
        <v>21</v>
      </c>
      <c r="N65" s="9">
        <f>Final_Table[[#This Row],[Operator stay]]*1440</f>
        <v>130</v>
      </c>
      <c r="O65" s="15">
        <v>9.0277777777777776E-2</v>
      </c>
    </row>
  </sheetData>
  <pageMargins left="0.7" right="0.7" top="0.75" bottom="0.75" header="0.3" footer="0.3"/>
  <pageSetup orientation="portrait" r:id="rId1"/>
  <ignoredErrors>
    <ignoredError sqref="O64:O65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AE4F-27A2-4C5F-9CE7-C8D22425D660}">
  <dimension ref="B2:M68"/>
  <sheetViews>
    <sheetView topLeftCell="A17" zoomScaleNormal="100" workbookViewId="0">
      <selection activeCell="I45" sqref="I45"/>
    </sheetView>
  </sheetViews>
  <sheetFormatPr defaultRowHeight="14.4" x14ac:dyDescent="0.3"/>
  <cols>
    <col min="2" max="2" width="18.109375" style="10" customWidth="1"/>
    <col min="3" max="3" width="17.6640625" customWidth="1"/>
    <col min="4" max="4" width="19.88671875" customWidth="1"/>
    <col min="5" max="5" width="13.44140625" customWidth="1"/>
    <col min="6" max="6" width="25.21875" customWidth="1"/>
    <col min="7" max="7" width="17.77734375" customWidth="1"/>
  </cols>
  <sheetData>
    <row r="2" spans="2:13" x14ac:dyDescent="0.3">
      <c r="B2" s="10" t="s">
        <v>89</v>
      </c>
      <c r="C2" s="2">
        <f>MIN('Final Table'!A:A)</f>
        <v>45533</v>
      </c>
    </row>
    <row r="3" spans="2:13" x14ac:dyDescent="0.3">
      <c r="B3" s="10" t="s">
        <v>90</v>
      </c>
      <c r="C3" s="2">
        <f>MAX('Final Table'!A:A)</f>
        <v>45538</v>
      </c>
      <c r="G3" t="s">
        <v>107</v>
      </c>
      <c r="H3" t="s">
        <v>128</v>
      </c>
    </row>
    <row r="4" spans="2:13" x14ac:dyDescent="0.3">
      <c r="B4" s="10" t="s">
        <v>91</v>
      </c>
      <c r="C4">
        <f>_xlfn.DAYS(C3+1, C2)</f>
        <v>6</v>
      </c>
      <c r="G4" t="str">
        <f t="shared" ref="G4:H9" si="0">C6</f>
        <v>OR-600</v>
      </c>
      <c r="H4" s="9">
        <f t="shared" si="0"/>
        <v>1200</v>
      </c>
      <c r="L4" t="s">
        <v>1</v>
      </c>
      <c r="M4" t="s">
        <v>130</v>
      </c>
    </row>
    <row r="5" spans="2:13" x14ac:dyDescent="0.3">
      <c r="C5" t="s">
        <v>1</v>
      </c>
      <c r="D5" t="s">
        <v>131</v>
      </c>
      <c r="G5" t="str">
        <f t="shared" si="0"/>
        <v>LE-600</v>
      </c>
      <c r="H5" s="9">
        <f t="shared" si="0"/>
        <v>5400</v>
      </c>
      <c r="L5" t="s">
        <v>28</v>
      </c>
      <c r="M5">
        <v>22000</v>
      </c>
    </row>
    <row r="6" spans="2:13" x14ac:dyDescent="0.3">
      <c r="B6" s="10" t="s">
        <v>92</v>
      </c>
      <c r="C6" t="str" cm="1">
        <f t="array" ref="C6:C11">_xlfn.UNIQUE(Final_Table[Product])</f>
        <v>OR-600</v>
      </c>
      <c r="D6" s="21">
        <f>SUMIF(Final_Table[Product], Analysis!C6, Final_Table[Size in Ml])</f>
        <v>1200</v>
      </c>
      <c r="G6" t="str">
        <f t="shared" si="0"/>
        <v>CO-600</v>
      </c>
      <c r="H6" s="9">
        <f t="shared" si="0"/>
        <v>15000</v>
      </c>
      <c r="L6" t="s">
        <v>25</v>
      </c>
      <c r="M6">
        <v>15000</v>
      </c>
    </row>
    <row r="7" spans="2:13" x14ac:dyDescent="0.3">
      <c r="C7" t="str">
        <v>LE-600</v>
      </c>
      <c r="D7" s="21">
        <f>SUMIF(Final_Table[Product], Analysis!C7, Final_Table[Size in Ml])</f>
        <v>5400</v>
      </c>
      <c r="G7" t="str">
        <f t="shared" si="0"/>
        <v>DC-600</v>
      </c>
      <c r="H7" s="9">
        <f t="shared" si="0"/>
        <v>3600</v>
      </c>
      <c r="L7" t="s">
        <v>27</v>
      </c>
      <c r="M7">
        <v>6600</v>
      </c>
    </row>
    <row r="8" spans="2:13" x14ac:dyDescent="0.3">
      <c r="C8" t="str">
        <v>CO-600</v>
      </c>
      <c r="D8" s="21">
        <f>SUMIF(Final_Table[Product], Analysis!C8, Final_Table[Size in Ml])</f>
        <v>15000</v>
      </c>
      <c r="G8" t="str">
        <f t="shared" si="0"/>
        <v>RB-600</v>
      </c>
      <c r="H8" s="9">
        <f t="shared" si="0"/>
        <v>6600</v>
      </c>
      <c r="L8" t="s">
        <v>24</v>
      </c>
      <c r="M8">
        <v>5400</v>
      </c>
    </row>
    <row r="9" spans="2:13" x14ac:dyDescent="0.3">
      <c r="C9" t="str">
        <v>DC-600</v>
      </c>
      <c r="D9" s="21">
        <f>SUMIF(Final_Table[Product], Analysis!C9, Final_Table[Size in Ml])</f>
        <v>3600</v>
      </c>
      <c r="G9" t="str">
        <f t="shared" si="0"/>
        <v>CO-2L</v>
      </c>
      <c r="H9" s="9">
        <f t="shared" si="0"/>
        <v>22000</v>
      </c>
      <c r="L9" t="s">
        <v>26</v>
      </c>
      <c r="M9">
        <v>3600</v>
      </c>
    </row>
    <row r="10" spans="2:13" x14ac:dyDescent="0.3">
      <c r="C10" t="str">
        <v>RB-600</v>
      </c>
      <c r="D10" s="21">
        <f>SUMIF(Final_Table[Product], Analysis!C10, Final_Table[Size in Ml])</f>
        <v>6600</v>
      </c>
      <c r="H10" s="9"/>
      <c r="L10" t="s">
        <v>23</v>
      </c>
      <c r="M10">
        <v>1200</v>
      </c>
    </row>
    <row r="11" spans="2:13" x14ac:dyDescent="0.3">
      <c r="C11" t="str">
        <v>CO-2L</v>
      </c>
      <c r="D11" s="21">
        <f>SUMIF(Final_Table[Product], Analysis!C11, Final_Table[Size in Ml])</f>
        <v>22000</v>
      </c>
      <c r="G11" t="str">
        <f>C12</f>
        <v>Total</v>
      </c>
      <c r="H11" s="9">
        <f>D12</f>
        <v>53800</v>
      </c>
    </row>
    <row r="12" spans="2:13" x14ac:dyDescent="0.3">
      <c r="C12" s="10" t="s">
        <v>124</v>
      </c>
      <c r="D12" s="18">
        <f>SUM(D6:D11)</f>
        <v>53800</v>
      </c>
    </row>
    <row r="13" spans="2:13" x14ac:dyDescent="0.3">
      <c r="D13" t="s">
        <v>99</v>
      </c>
      <c r="E13" t="s">
        <v>100</v>
      </c>
      <c r="F13" t="s">
        <v>102</v>
      </c>
      <c r="G13" t="s">
        <v>101</v>
      </c>
      <c r="L13" t="s">
        <v>126</v>
      </c>
      <c r="M13" t="s">
        <v>127</v>
      </c>
    </row>
    <row r="14" spans="2:13" x14ac:dyDescent="0.3">
      <c r="B14" s="10" t="s">
        <v>93</v>
      </c>
      <c r="C14" t="str" cm="1">
        <f t="array" ref="C14:C17">_xlfn.UNIQUE(Final_Table[Operator])</f>
        <v>Mac</v>
      </c>
      <c r="D14" s="4" cm="1">
        <f t="array" ref="D14">MIN(IF('Final Table'!D:D="Mac", 'Final Table'!E:E))</f>
        <v>0.49305555555555558</v>
      </c>
      <c r="E14" s="4" cm="1">
        <f t="array" ref="E14">MAX(IF('Final Table'!D:D=C14, 'Final Table'!E:E))</f>
        <v>0.95486111111111116</v>
      </c>
      <c r="F14" s="4" cm="1">
        <f t="array" ref="F14">MIN(IF('Final Table'!D:D=C14, 'Final Table'!F:F))</f>
        <v>4.5138888888888888E-2</v>
      </c>
      <c r="G14" s="4" cm="1">
        <f t="array" ref="G14">MAX(IF('Final Table'!D:D=C14, 'Final Table'!F:F))</f>
        <v>0.80208333333333337</v>
      </c>
      <c r="L14" t="s">
        <v>30</v>
      </c>
      <c r="M14">
        <v>1200</v>
      </c>
    </row>
    <row r="15" spans="2:13" x14ac:dyDescent="0.3">
      <c r="C15" t="str">
        <v>Charlie</v>
      </c>
      <c r="D15" s="4" cm="1">
        <f t="array" ref="D15">MIN(IF('Final Table'!D:D="Charlie", 'Final Table'!E:E))</f>
        <v>0.61805555555555558</v>
      </c>
      <c r="E15" s="4" cm="1">
        <f t="array" ref="E15">MAX(IF('Final Table'!D:D=C15, 'Final Table'!E:E))</f>
        <v>0.92638888888888893</v>
      </c>
      <c r="F15" s="4" cm="1">
        <f t="array" ref="F15">MIN(IF('Final Table'!D:D=C15, 'Final Table'!F:F))</f>
        <v>0.70138888888888884</v>
      </c>
      <c r="G15" s="4" cm="1">
        <f t="array" ref="G15">MAX(IF('Final Table'!D:D=C15, 'Final Table'!F:F))</f>
        <v>0.97847222222222219</v>
      </c>
      <c r="L15" t="s">
        <v>33</v>
      </c>
      <c r="M15">
        <v>3600</v>
      </c>
    </row>
    <row r="16" spans="2:13" x14ac:dyDescent="0.3">
      <c r="C16" t="str">
        <v>Dee</v>
      </c>
      <c r="D16" s="4" cm="1">
        <f t="array" ref="D16">MIN(IF('Final Table'!D:D="Dee", 'Final Table'!E:E))</f>
        <v>4.1666666666666664E-2</v>
      </c>
      <c r="E16" s="4" cm="1">
        <f t="array" ref="E16">MAX(IF('Final Table'!D:D=C16, 'Final Table'!E:E))</f>
        <v>0.4826388888888889</v>
      </c>
      <c r="F16" s="4" cm="1">
        <f t="array" ref="F16">MIN(IF('Final Table'!D:D=C16, 'Final Table'!F:F))</f>
        <v>0.11458333333333333</v>
      </c>
      <c r="G16" s="4" cm="1">
        <f t="array" ref="G16">MAX(IF('Final Table'!D:D=C16, 'Final Table'!F:F))</f>
        <v>0.53819444444444442</v>
      </c>
      <c r="L16" t="s">
        <v>31</v>
      </c>
      <c r="M16">
        <v>5400</v>
      </c>
    </row>
    <row r="17" spans="2:13" x14ac:dyDescent="0.3">
      <c r="C17" t="str">
        <v>Dennis</v>
      </c>
      <c r="D17" s="4" cm="1">
        <f t="array" ref="D17">MIN(IF('Final Table'!D:D="Mac", 'Final Table'!E:E))</f>
        <v>0.49305555555555558</v>
      </c>
      <c r="E17" s="4" cm="1">
        <f t="array" ref="E17">MAX(IF('Final Table'!D:D=C17, 'Final Table'!E:E))</f>
        <v>0.59375</v>
      </c>
      <c r="F17" s="4" cm="1">
        <f t="array" ref="F17">MIN(IF('Final Table'!D:D=C17, 'Final Table'!F:F))</f>
        <v>0.36805555555555558</v>
      </c>
      <c r="G17" s="4" cm="1">
        <f t="array" ref="G17">MAX(IF('Final Table'!D:D=C17, 'Final Table'!F:F))</f>
        <v>0.66319444444444442</v>
      </c>
      <c r="L17" t="s">
        <v>34</v>
      </c>
      <c r="M17">
        <v>6600</v>
      </c>
    </row>
    <row r="18" spans="2:13" x14ac:dyDescent="0.3">
      <c r="C18" t="s">
        <v>126</v>
      </c>
      <c r="D18" t="s">
        <v>127</v>
      </c>
      <c r="L18" t="s">
        <v>32</v>
      </c>
      <c r="M18">
        <v>37000</v>
      </c>
    </row>
    <row r="19" spans="2:13" x14ac:dyDescent="0.3">
      <c r="B19" s="10" t="s">
        <v>94</v>
      </c>
      <c r="C19" t="str" cm="1">
        <f t="array" ref="C19:C23">_xlfn.UNIQUE(Final_Table[Flavor])</f>
        <v>Orange</v>
      </c>
      <c r="D19" s="21">
        <f>SUMIF('Final Table'!G:G, Analysis!C19, 'Final Table'!H:H)</f>
        <v>1200</v>
      </c>
    </row>
    <row r="20" spans="2:13" x14ac:dyDescent="0.3">
      <c r="C20" t="str">
        <v>Lemon lime</v>
      </c>
      <c r="D20" s="21">
        <f>SUMIF('Final Table'!G:G, Analysis!C20, 'Final Table'!H:H)</f>
        <v>5400</v>
      </c>
    </row>
    <row r="21" spans="2:13" x14ac:dyDescent="0.3">
      <c r="C21" t="str">
        <v>Cola</v>
      </c>
      <c r="D21" s="21">
        <f>SUMIF('Final Table'!G:G, Analysis!C21, 'Final Table'!H:H)</f>
        <v>37000</v>
      </c>
    </row>
    <row r="22" spans="2:13" x14ac:dyDescent="0.3">
      <c r="C22" t="str">
        <v>Diet Cola</v>
      </c>
      <c r="D22" s="21">
        <f>SUMIF('Final Table'!G:G, Analysis!C22, 'Final Table'!H:H)</f>
        <v>3600</v>
      </c>
    </row>
    <row r="23" spans="2:13" x14ac:dyDescent="0.3">
      <c r="C23" t="str">
        <v>Root Beer</v>
      </c>
      <c r="D23" s="21">
        <f>SUMIF('Final Table'!G:G, Analysis!C23, 'Final Table'!H:H)</f>
        <v>6600</v>
      </c>
    </row>
    <row r="24" spans="2:13" x14ac:dyDescent="0.3">
      <c r="C24" s="10" t="s">
        <v>124</v>
      </c>
      <c r="D24" s="22">
        <f>SUM(D19:D23)</f>
        <v>53800</v>
      </c>
    </row>
    <row r="25" spans="2:13" x14ac:dyDescent="0.3">
      <c r="F25" t="s">
        <v>96</v>
      </c>
    </row>
    <row r="26" spans="2:13" x14ac:dyDescent="0.3">
      <c r="B26" s="10" t="s">
        <v>95</v>
      </c>
      <c r="C26">
        <f>COUNTIF('Final Table'!M:M, "Yes")</f>
        <v>32</v>
      </c>
      <c r="D26" t="s">
        <v>21</v>
      </c>
      <c r="E26" s="10" t="s">
        <v>21</v>
      </c>
    </row>
    <row r="27" spans="2:13" x14ac:dyDescent="0.3">
      <c r="C27">
        <f>COUNTIF('Final Table'!M:M, "No")</f>
        <v>29</v>
      </c>
      <c r="D27" t="s">
        <v>20</v>
      </c>
    </row>
    <row r="28" spans="2:13" x14ac:dyDescent="0.3">
      <c r="C28">
        <f>SUM(C26:C27)</f>
        <v>61</v>
      </c>
    </row>
    <row r="29" spans="2:13" x14ac:dyDescent="0.3">
      <c r="B29" s="10" t="s">
        <v>104</v>
      </c>
      <c r="C29" s="15">
        <f>MAX('Final Table'!O:O)</f>
        <v>0.14236111111111116</v>
      </c>
    </row>
    <row r="30" spans="2:13" x14ac:dyDescent="0.3">
      <c r="B30" s="10" t="s">
        <v>105</v>
      </c>
      <c r="C30" s="15">
        <f>MIN('Final Table'!O:O)</f>
        <v>4.166666666666663E-2</v>
      </c>
    </row>
    <row r="33" spans="2:11" x14ac:dyDescent="0.3">
      <c r="B33" s="10" t="s">
        <v>3</v>
      </c>
      <c r="C33" s="10" t="s">
        <v>106</v>
      </c>
      <c r="D33" s="10" t="s">
        <v>114</v>
      </c>
      <c r="E33" s="10" t="s">
        <v>115</v>
      </c>
    </row>
    <row r="34" spans="2:11" x14ac:dyDescent="0.3">
      <c r="B34" t="str" cm="1">
        <f t="array" ref="B34:B37">_xlfn.UNIQUE(Final_Table[Operator])</f>
        <v>Mac</v>
      </c>
      <c r="C34">
        <f>SUMIF('Final Table'!D:D, B34, 'Final Table'!N:N)</f>
        <v>1530.0000000000002</v>
      </c>
      <c r="D34">
        <f>SUMIF(Final_Table[Operator], Analysis!B34, Final_Table[Value])</f>
        <v>332</v>
      </c>
      <c r="E34" s="17">
        <f>((C34-D34)/C34)</f>
        <v>0.78300653594771241</v>
      </c>
    </row>
    <row r="35" spans="2:11" x14ac:dyDescent="0.3">
      <c r="B35" t="str">
        <v>Charlie</v>
      </c>
      <c r="C35">
        <f>SUMIF('Final Table'!D:D, B35, 'Final Table'!N:N)</f>
        <v>2155</v>
      </c>
      <c r="D35">
        <f>SUMIF(Final_Table[Operator], Analysis!B35, Final_Table[Value])</f>
        <v>384</v>
      </c>
      <c r="E35" s="17">
        <f t="shared" ref="E35:E37" si="1">((C35-D35)/C35)</f>
        <v>0.82180974477958235</v>
      </c>
    </row>
    <row r="36" spans="2:11" x14ac:dyDescent="0.3">
      <c r="B36" t="str">
        <v>Dee</v>
      </c>
      <c r="C36">
        <f>SUMIF('Final Table'!D:D, B36, 'Final Table'!N:N)</f>
        <v>2027</v>
      </c>
      <c r="D36">
        <f>SUMIF(Final_Table[Operator], Analysis!B36, Final_Table[Value])</f>
        <v>370</v>
      </c>
      <c r="E36" s="17">
        <f t="shared" si="1"/>
        <v>0.8174642328564381</v>
      </c>
    </row>
    <row r="37" spans="2:11" x14ac:dyDescent="0.3">
      <c r="B37" t="str">
        <v>Dennis</v>
      </c>
      <c r="C37">
        <f>SUMIF('Final Table'!D:D, B37, 'Final Table'!N:N)</f>
        <v>1323</v>
      </c>
      <c r="D37">
        <f>SUMIF(Final_Table[Operator], Analysis!B37, Final_Table[Value])</f>
        <v>302</v>
      </c>
      <c r="E37" s="17">
        <f t="shared" si="1"/>
        <v>0.77173091458805743</v>
      </c>
      <c r="H37" t="s">
        <v>138</v>
      </c>
      <c r="I37" t="s">
        <v>139</v>
      </c>
      <c r="J37" t="s">
        <v>140</v>
      </c>
      <c r="K37" t="s">
        <v>141</v>
      </c>
    </row>
    <row r="38" spans="2:11" x14ac:dyDescent="0.3">
      <c r="B38" s="10" t="s">
        <v>129</v>
      </c>
      <c r="C38" s="10">
        <f>SUM(C34:C37)</f>
        <v>7035</v>
      </c>
      <c r="D38" s="10">
        <f>SUM(D34:D37)</f>
        <v>1388</v>
      </c>
      <c r="E38" s="17">
        <f>((C38-D38)/C38)</f>
        <v>0.80270078180525939</v>
      </c>
      <c r="F38" s="19">
        <f>100%-E38</f>
        <v>0.19729921819474061</v>
      </c>
      <c r="H38" t="s">
        <v>38</v>
      </c>
      <c r="I38">
        <v>1323</v>
      </c>
      <c r="J38">
        <v>302</v>
      </c>
      <c r="K38" s="16">
        <v>0.77173091458805743</v>
      </c>
    </row>
    <row r="39" spans="2:11" x14ac:dyDescent="0.3">
      <c r="H39" t="s">
        <v>39</v>
      </c>
      <c r="I39">
        <v>1530.0000000000002</v>
      </c>
      <c r="J39">
        <v>332</v>
      </c>
      <c r="K39" s="16">
        <v>0.78300653594771241</v>
      </c>
    </row>
    <row r="40" spans="2:11" x14ac:dyDescent="0.3">
      <c r="H40" t="s">
        <v>37</v>
      </c>
      <c r="I40">
        <v>2027</v>
      </c>
      <c r="J40">
        <v>370</v>
      </c>
      <c r="K40" s="16">
        <v>0.8174642328564381</v>
      </c>
    </row>
    <row r="41" spans="2:11" x14ac:dyDescent="0.3">
      <c r="B41" s="10" t="s">
        <v>116</v>
      </c>
      <c r="C41" s="10" t="s">
        <v>117</v>
      </c>
      <c r="D41" s="10" t="s">
        <v>119</v>
      </c>
      <c r="E41" s="10" t="s">
        <v>120</v>
      </c>
      <c r="H41" t="s">
        <v>36</v>
      </c>
      <c r="I41">
        <v>2155</v>
      </c>
      <c r="J41">
        <v>384</v>
      </c>
      <c r="K41" s="16">
        <v>0.82180974477958235</v>
      </c>
    </row>
    <row r="42" spans="2:11" x14ac:dyDescent="0.3">
      <c r="B42" s="6" t="str" cm="1">
        <f t="array" ref="B42:B53">_xlfn.UNIQUE('Final Table'!L7:L65)</f>
        <v>Batch coding error</v>
      </c>
      <c r="C42" s="9">
        <f>SUMIF(Final_Table[Description], Analysis!B42, Final_Table[Value])</f>
        <v>145</v>
      </c>
      <c r="D42" s="9">
        <f>SUM(C42)</f>
        <v>145</v>
      </c>
      <c r="E42" s="16">
        <f>D42/D54</f>
        <v>0.10446685878962536</v>
      </c>
      <c r="H42" t="s">
        <v>124</v>
      </c>
      <c r="K42" s="19">
        <f>E38</f>
        <v>0.80270078180525939</v>
      </c>
    </row>
    <row r="43" spans="2:11" x14ac:dyDescent="0.3">
      <c r="B43" s="6" t="str">
        <v>Inventory shortage</v>
      </c>
      <c r="C43" s="9">
        <f>SUMIF(Final_Table[Description], Analysis!B43, Final_Table[Value])</f>
        <v>225</v>
      </c>
      <c r="D43" s="9">
        <f>SUM(C42:C43)</f>
        <v>370</v>
      </c>
      <c r="E43" s="16">
        <f>D43/D54</f>
        <v>0.2665706051873199</v>
      </c>
    </row>
    <row r="44" spans="2:11" x14ac:dyDescent="0.3">
      <c r="B44" s="6" t="str">
        <v>Machine adjustment</v>
      </c>
      <c r="C44" s="9">
        <f>SUMIF(Final_Table[Description], Analysis!B44, Final_Table[Value])</f>
        <v>332</v>
      </c>
      <c r="D44" s="9">
        <f>SUM(C42:C44)</f>
        <v>702</v>
      </c>
      <c r="E44" s="16">
        <f>D44/D54</f>
        <v>0.50576368876080691</v>
      </c>
      <c r="H44" t="s">
        <v>129</v>
      </c>
      <c r="I44" s="19">
        <f>K42</f>
        <v>0.80270078180525939</v>
      </c>
    </row>
    <row r="45" spans="2:11" x14ac:dyDescent="0.3">
      <c r="B45" s="6" t="str">
        <v>Calibration error</v>
      </c>
      <c r="C45" s="9">
        <f>SUMIF(Final_Table[Description], Analysis!B45, Final_Table[Value])</f>
        <v>49</v>
      </c>
      <c r="D45" s="9">
        <f>SUM(C42:C45)</f>
        <v>751</v>
      </c>
      <c r="E45" s="16">
        <f>D45/D54</f>
        <v>0.54106628242074928</v>
      </c>
    </row>
    <row r="46" spans="2:11" hidden="1" x14ac:dyDescent="0.3">
      <c r="B46" s="6">
        <v>0</v>
      </c>
      <c r="C46" s="9">
        <f>SUMIF(Final_Table[Description], Analysis!B46, Final_Table[Value])</f>
        <v>0</v>
      </c>
      <c r="D46" s="9"/>
      <c r="E46" s="16"/>
    </row>
    <row r="47" spans="2:11" x14ac:dyDescent="0.3">
      <c r="B47" s="6" t="str">
        <v>Machine failure</v>
      </c>
      <c r="C47" s="9">
        <f>SUMIF(Final_Table[Description], Analysis!B47, Final_Table[Value])</f>
        <v>254</v>
      </c>
      <c r="D47" s="9">
        <f>SUM(C42:C47)</f>
        <v>1005</v>
      </c>
      <c r="E47" s="16">
        <f>D47/D54</f>
        <v>0.72406340057636887</v>
      </c>
    </row>
    <row r="48" spans="2:11" x14ac:dyDescent="0.3">
      <c r="B48" s="6" t="str">
        <v>Label switch</v>
      </c>
      <c r="C48" s="9">
        <f>SUMIF(Final_Table[Description], Analysis!B48, Final_Table[Value])</f>
        <v>33</v>
      </c>
      <c r="D48" s="9">
        <f>SUM(C42:C48)</f>
        <v>1038</v>
      </c>
      <c r="E48" s="16">
        <f>D48/D54</f>
        <v>0.74783861671469742</v>
      </c>
    </row>
    <row r="49" spans="2:5" x14ac:dyDescent="0.3">
      <c r="B49" s="6" t="str">
        <v>Other</v>
      </c>
      <c r="C49" s="9">
        <f>SUMIF(Final_Table[Description], Analysis!B49, Final_Table[Value])</f>
        <v>74</v>
      </c>
      <c r="D49" s="9">
        <f>SUM(C42:C49)</f>
        <v>1112</v>
      </c>
      <c r="E49" s="16">
        <f>D49/D53</f>
        <v>0.80115273775216134</v>
      </c>
    </row>
    <row r="50" spans="2:5" x14ac:dyDescent="0.3">
      <c r="B50" s="6" t="str">
        <v>Product spill</v>
      </c>
      <c r="C50" s="9">
        <f>SUMIF(Final_Table[Description], Analysis!B50, Final_Table[Value])</f>
        <v>57</v>
      </c>
      <c r="D50" s="9">
        <f>SUM(C42:C50)</f>
        <v>1169</v>
      </c>
      <c r="E50" s="16">
        <f>D50/D53</f>
        <v>0.84221902017291062</v>
      </c>
    </row>
    <row r="51" spans="2:5" x14ac:dyDescent="0.3">
      <c r="B51" s="6" t="str">
        <v>Conveyor belt jam</v>
      </c>
      <c r="C51" s="9">
        <f>SUMIF(Final_Table[Description], Analysis!B51, Final_Table[Value])</f>
        <v>17</v>
      </c>
      <c r="D51" s="9">
        <f>SUM(C42:C51)</f>
        <v>1186</v>
      </c>
      <c r="E51" s="16">
        <f>D51/D53</f>
        <v>0.85446685878962536</v>
      </c>
    </row>
    <row r="52" spans="2:5" x14ac:dyDescent="0.3">
      <c r="B52" s="6" t="str">
        <v>Batch change</v>
      </c>
      <c r="C52" s="9">
        <f>SUMIF(Final_Table[Description], Analysis!B52, Final_Table[Value])</f>
        <v>160</v>
      </c>
      <c r="D52" s="9">
        <f>SUM(C42:C52)</f>
        <v>1346</v>
      </c>
      <c r="E52" s="16">
        <f>D52/D53</f>
        <v>0.96974063400576371</v>
      </c>
    </row>
    <row r="53" spans="2:5" x14ac:dyDescent="0.3">
      <c r="B53" s="6" t="str">
        <v>Labeling error</v>
      </c>
      <c r="C53" s="9">
        <f>SUMIF(Final_Table[Description], Analysis!B53, Final_Table[Value])</f>
        <v>42</v>
      </c>
      <c r="D53" s="9">
        <f>SUM(C42:C53)</f>
        <v>1388</v>
      </c>
      <c r="E53" s="16">
        <f>D53/D53</f>
        <v>1</v>
      </c>
    </row>
    <row r="54" spans="2:5" x14ac:dyDescent="0.3">
      <c r="B54" s="10" t="s">
        <v>118</v>
      </c>
      <c r="C54" s="18">
        <f>SUM(C42:C53)</f>
        <v>1388</v>
      </c>
      <c r="D54" s="9">
        <f>SUM(C42:C53)</f>
        <v>1388</v>
      </c>
    </row>
    <row r="57" spans="2:5" x14ac:dyDescent="0.3">
      <c r="B57" s="10" t="s">
        <v>132</v>
      </c>
      <c r="C57" t="s">
        <v>133</v>
      </c>
      <c r="D57" t="s">
        <v>134</v>
      </c>
    </row>
    <row r="58" spans="2:5" x14ac:dyDescent="0.3">
      <c r="B58" s="10">
        <v>2</v>
      </c>
      <c r="C58">
        <f>SUMIF('Final Table'!J:J, Analysis!B58, 'Final Table'!H:H)</f>
        <v>3000</v>
      </c>
      <c r="D58">
        <f>COUNTIF('Final Table'!J:J, Analysis!B58)</f>
        <v>5</v>
      </c>
    </row>
    <row r="59" spans="2:5" x14ac:dyDescent="0.3">
      <c r="B59" s="10">
        <v>3</v>
      </c>
      <c r="C59">
        <f>SUMIF('Final Table'!J:J, Analysis!B59, 'Final Table'!H:H)</f>
        <v>2600</v>
      </c>
      <c r="D59">
        <f>COUNTIF('Final Table'!J:J, Analysis!B59)</f>
        <v>2</v>
      </c>
    </row>
    <row r="60" spans="2:5" x14ac:dyDescent="0.3">
      <c r="B60" s="10">
        <v>4</v>
      </c>
      <c r="C60">
        <f>SUMIF('Final Table'!J:J, Analysis!B60, 'Final Table'!H:H)</f>
        <v>8200</v>
      </c>
      <c r="D60">
        <f>COUNTIF('Final Table'!J:J, Analysis!B60)</f>
        <v>9</v>
      </c>
    </row>
    <row r="61" spans="2:5" x14ac:dyDescent="0.3">
      <c r="B61" s="10">
        <v>5</v>
      </c>
      <c r="C61">
        <f>SUMIF('Final Table'!J:J, Analysis!B61, 'Final Table'!H:H)</f>
        <v>1800</v>
      </c>
      <c r="D61">
        <f>COUNTIF('Final Table'!J:J, Analysis!B61)</f>
        <v>3</v>
      </c>
    </row>
    <row r="62" spans="2:5" x14ac:dyDescent="0.3">
      <c r="B62" s="10">
        <v>6</v>
      </c>
      <c r="C62">
        <f>SUMIF('Final Table'!J:J, Analysis!B62, 'Final Table'!H:H)</f>
        <v>11400</v>
      </c>
      <c r="D62">
        <f>COUNTIF('Final Table'!J:J, Analysis!B62)</f>
        <v>12</v>
      </c>
    </row>
    <row r="63" spans="2:5" x14ac:dyDescent="0.3">
      <c r="B63" s="10">
        <v>7</v>
      </c>
      <c r="C63">
        <f>SUMIF('Final Table'!J:J, Analysis!B63, 'Final Table'!H:H)</f>
        <v>9400</v>
      </c>
      <c r="D63">
        <f>COUNTIF('Final Table'!J:J, Analysis!B63)</f>
        <v>11</v>
      </c>
    </row>
    <row r="64" spans="2:5" x14ac:dyDescent="0.3">
      <c r="B64" s="10">
        <v>8</v>
      </c>
      <c r="C64">
        <f>SUMIF('Final Table'!J:J, Analysis!B64, 'Final Table'!H:H)</f>
        <v>6400</v>
      </c>
      <c r="D64">
        <f>COUNTIF('Final Table'!J:J, Analysis!B64)</f>
        <v>6</v>
      </c>
    </row>
    <row r="65" spans="2:4" x14ac:dyDescent="0.3">
      <c r="B65" s="10">
        <v>9</v>
      </c>
      <c r="C65">
        <f>SUMIF('Final Table'!J:J, Analysis!B65, 'Final Table'!H:H)</f>
        <v>600</v>
      </c>
      <c r="D65">
        <f>COUNTIF('Final Table'!J:J, Analysis!B65)</f>
        <v>1</v>
      </c>
    </row>
    <row r="66" spans="2:4" x14ac:dyDescent="0.3">
      <c r="B66" s="10">
        <v>10</v>
      </c>
      <c r="C66">
        <f>SUMIF('Final Table'!J:J, Analysis!B66, 'Final Table'!H:H)</f>
        <v>1800</v>
      </c>
      <c r="D66">
        <f>COUNTIF('Final Table'!J:J, Analysis!B66)</f>
        <v>3</v>
      </c>
    </row>
    <row r="67" spans="2:4" x14ac:dyDescent="0.3">
      <c r="B67" s="10">
        <v>11</v>
      </c>
      <c r="C67">
        <f>SUMIF('Final Table'!J:J, Analysis!B67, 'Final Table'!H:H)</f>
        <v>1800</v>
      </c>
      <c r="D67">
        <f>COUNTIF('Final Table'!J:J, Analysis!B67)</f>
        <v>3</v>
      </c>
    </row>
    <row r="68" spans="2:4" x14ac:dyDescent="0.3">
      <c r="B68" s="10">
        <v>12</v>
      </c>
      <c r="C68">
        <f>SUMIF('Final Table'!J:J, Analysis!B68, 'Final Table'!H:H)</f>
        <v>5000</v>
      </c>
      <c r="D68">
        <f>COUNTIF('Final Table'!J:J, Analysis!B68)</f>
        <v>6</v>
      </c>
    </row>
  </sheetData>
  <sortState xmlns:xlrd2="http://schemas.microsoft.com/office/spreadsheetml/2017/richdata2" ref="H38:K41">
    <sortCondition ref="K38:K41"/>
  </sortState>
  <conditionalFormatting sqref="E34:E3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D204-816B-45C9-94FD-C2869B22B38D}">
  <dimension ref="B2:K71"/>
  <sheetViews>
    <sheetView showGridLines="0" topLeftCell="A9" workbookViewId="0">
      <selection activeCell="B20" sqref="B20:F33"/>
      <pivotSelection pane="bottomRight" activeRow="19" activeCol="1" previousRow="19" previousCol="1" click="1" r:id="rId5">
        <pivotArea type="all" dataOnly="0" outline="0" fieldPosition="0"/>
      </pivotSelection>
    </sheetView>
  </sheetViews>
  <sheetFormatPr defaultRowHeight="14.4" x14ac:dyDescent="0.3"/>
  <cols>
    <col min="2" max="2" width="18.6640625" bestFit="1" customWidth="1"/>
    <col min="3" max="3" width="10.6640625" bestFit="1" customWidth="1"/>
    <col min="4" max="4" width="8.109375" customWidth="1"/>
    <col min="5" max="5" width="6.6640625" customWidth="1"/>
    <col min="6" max="6" width="6.6640625" bestFit="1" customWidth="1"/>
    <col min="7" max="7" width="10.5546875" bestFit="1" customWidth="1"/>
    <col min="8" max="9" width="17.44140625" bestFit="1" customWidth="1"/>
    <col min="10" max="10" width="15" bestFit="1" customWidth="1"/>
    <col min="11" max="11" width="12.109375" bestFit="1" customWidth="1"/>
    <col min="12" max="12" width="12.6640625" bestFit="1" customWidth="1"/>
  </cols>
  <sheetData>
    <row r="2" spans="2:3" x14ac:dyDescent="0.3">
      <c r="B2" s="11" t="s">
        <v>97</v>
      </c>
      <c r="C2" t="s">
        <v>125</v>
      </c>
    </row>
    <row r="3" spans="2:3" x14ac:dyDescent="0.3">
      <c r="B3" s="12" t="s">
        <v>20</v>
      </c>
      <c r="C3">
        <v>25800</v>
      </c>
    </row>
    <row r="4" spans="2:3" x14ac:dyDescent="0.3">
      <c r="B4" s="13" t="s">
        <v>15</v>
      </c>
      <c r="C4">
        <v>600</v>
      </c>
    </row>
    <row r="5" spans="2:3" x14ac:dyDescent="0.3">
      <c r="B5" s="13" t="s">
        <v>14</v>
      </c>
      <c r="C5">
        <v>8200</v>
      </c>
    </row>
    <row r="6" spans="2:3" x14ac:dyDescent="0.3">
      <c r="B6" s="13" t="s">
        <v>19</v>
      </c>
      <c r="C6">
        <v>2600</v>
      </c>
    </row>
    <row r="7" spans="2:3" x14ac:dyDescent="0.3">
      <c r="B7" s="13" t="s">
        <v>12</v>
      </c>
      <c r="C7">
        <v>9400</v>
      </c>
    </row>
    <row r="8" spans="2:3" x14ac:dyDescent="0.3">
      <c r="B8" s="13" t="s">
        <v>16</v>
      </c>
      <c r="C8">
        <v>5000</v>
      </c>
    </row>
    <row r="9" spans="2:3" x14ac:dyDescent="0.3">
      <c r="B9" s="12" t="s">
        <v>21</v>
      </c>
      <c r="C9">
        <v>26200</v>
      </c>
    </row>
    <row r="10" spans="2:3" x14ac:dyDescent="0.3">
      <c r="B10" s="13" t="s">
        <v>8</v>
      </c>
      <c r="C10">
        <v>3000</v>
      </c>
    </row>
    <row r="11" spans="2:3" x14ac:dyDescent="0.3">
      <c r="B11" s="13" t="s">
        <v>13</v>
      </c>
      <c r="C11">
        <v>6400</v>
      </c>
    </row>
    <row r="12" spans="2:3" x14ac:dyDescent="0.3">
      <c r="B12" s="13" t="s">
        <v>18</v>
      </c>
      <c r="C12">
        <v>1800</v>
      </c>
    </row>
    <row r="13" spans="2:3" x14ac:dyDescent="0.3">
      <c r="B13" s="13" t="s">
        <v>11</v>
      </c>
      <c r="C13">
        <v>1800</v>
      </c>
    </row>
    <row r="14" spans="2:3" x14ac:dyDescent="0.3">
      <c r="B14" s="13" t="s">
        <v>9</v>
      </c>
      <c r="C14">
        <v>11400</v>
      </c>
    </row>
    <row r="15" spans="2:3" x14ac:dyDescent="0.3">
      <c r="B15" s="13" t="s">
        <v>10</v>
      </c>
      <c r="C15">
        <v>1800</v>
      </c>
    </row>
    <row r="16" spans="2:3" x14ac:dyDescent="0.3">
      <c r="B16" s="12" t="s">
        <v>135</v>
      </c>
      <c r="C16">
        <v>1800</v>
      </c>
    </row>
    <row r="17" spans="2:11" x14ac:dyDescent="0.3">
      <c r="B17" s="13" t="s">
        <v>135</v>
      </c>
      <c r="C17">
        <v>1800</v>
      </c>
    </row>
    <row r="18" spans="2:11" x14ac:dyDescent="0.3">
      <c r="B18" s="12" t="s">
        <v>98</v>
      </c>
      <c r="C18">
        <v>53800</v>
      </c>
    </row>
    <row r="20" spans="2:11" x14ac:dyDescent="0.3">
      <c r="B20" s="11" t="s">
        <v>137</v>
      </c>
      <c r="C20" s="11" t="s">
        <v>3</v>
      </c>
      <c r="I20" s="11" t="s">
        <v>97</v>
      </c>
      <c r="J20" t="s">
        <v>113</v>
      </c>
      <c r="K20" t="s">
        <v>112</v>
      </c>
    </row>
    <row r="21" spans="2:11" x14ac:dyDescent="0.3">
      <c r="B21" s="11" t="s">
        <v>123</v>
      </c>
      <c r="C21" t="s">
        <v>36</v>
      </c>
      <c r="D21" t="s">
        <v>37</v>
      </c>
      <c r="E21" t="s">
        <v>39</v>
      </c>
      <c r="F21" t="s">
        <v>38</v>
      </c>
      <c r="I21" s="12" t="s">
        <v>36</v>
      </c>
      <c r="J21">
        <v>2155</v>
      </c>
      <c r="K21">
        <v>384</v>
      </c>
    </row>
    <row r="22" spans="2:11" x14ac:dyDescent="0.3">
      <c r="B22" s="12" t="s">
        <v>8</v>
      </c>
      <c r="C22">
        <v>10</v>
      </c>
      <c r="D22">
        <v>20</v>
      </c>
      <c r="E22">
        <v>130</v>
      </c>
      <c r="I22" s="12" t="s">
        <v>37</v>
      </c>
      <c r="J22">
        <v>2027</v>
      </c>
      <c r="K22">
        <v>370</v>
      </c>
    </row>
    <row r="23" spans="2:11" x14ac:dyDescent="0.3">
      <c r="B23" s="12" t="s">
        <v>13</v>
      </c>
      <c r="C23">
        <v>44</v>
      </c>
      <c r="D23">
        <v>30</v>
      </c>
      <c r="E23">
        <v>47</v>
      </c>
      <c r="F23">
        <v>24</v>
      </c>
      <c r="I23" s="12" t="s">
        <v>38</v>
      </c>
      <c r="J23">
        <v>1323</v>
      </c>
      <c r="K23">
        <v>302</v>
      </c>
    </row>
    <row r="24" spans="2:11" x14ac:dyDescent="0.3">
      <c r="B24" s="12" t="s">
        <v>18</v>
      </c>
      <c r="C24">
        <v>24</v>
      </c>
      <c r="D24">
        <v>25</v>
      </c>
      <c r="I24" s="12" t="s">
        <v>39</v>
      </c>
      <c r="J24">
        <v>-1350.0000000000002</v>
      </c>
      <c r="K24">
        <v>332</v>
      </c>
    </row>
    <row r="25" spans="2:11" x14ac:dyDescent="0.3">
      <c r="B25" s="12" t="s">
        <v>15</v>
      </c>
      <c r="D25">
        <v>17</v>
      </c>
      <c r="I25" s="12" t="s">
        <v>98</v>
      </c>
      <c r="J25">
        <v>4155</v>
      </c>
      <c r="K25">
        <v>1388</v>
      </c>
    </row>
    <row r="26" spans="2:11" x14ac:dyDescent="0.3">
      <c r="B26" s="20" t="s">
        <v>14</v>
      </c>
      <c r="C26">
        <v>17</v>
      </c>
      <c r="D26">
        <v>85</v>
      </c>
      <c r="E26">
        <v>80</v>
      </c>
      <c r="F26">
        <v>43</v>
      </c>
    </row>
    <row r="27" spans="2:11" x14ac:dyDescent="0.3">
      <c r="B27" s="12" t="s">
        <v>11</v>
      </c>
      <c r="C27">
        <v>10</v>
      </c>
      <c r="D27">
        <v>23</v>
      </c>
    </row>
    <row r="28" spans="2:11" x14ac:dyDescent="0.3">
      <c r="B28" s="12" t="s">
        <v>19</v>
      </c>
      <c r="C28">
        <v>22</v>
      </c>
      <c r="D28">
        <v>20</v>
      </c>
    </row>
    <row r="29" spans="2:11" x14ac:dyDescent="0.3">
      <c r="B29" s="20" t="s">
        <v>9</v>
      </c>
      <c r="C29">
        <v>118</v>
      </c>
      <c r="D29">
        <v>79</v>
      </c>
      <c r="E29">
        <v>15</v>
      </c>
      <c r="F29">
        <v>120</v>
      </c>
    </row>
    <row r="30" spans="2:11" x14ac:dyDescent="0.3">
      <c r="B30" s="20" t="s">
        <v>12</v>
      </c>
      <c r="C30">
        <v>85</v>
      </c>
      <c r="D30">
        <v>36</v>
      </c>
      <c r="E30">
        <v>45</v>
      </c>
      <c r="F30">
        <v>88</v>
      </c>
      <c r="I30" s="11" t="s">
        <v>97</v>
      </c>
      <c r="J30" t="s">
        <v>121</v>
      </c>
      <c r="K30" t="s">
        <v>122</v>
      </c>
    </row>
    <row r="31" spans="2:11" x14ac:dyDescent="0.3">
      <c r="B31" s="12" t="s">
        <v>16</v>
      </c>
      <c r="C31">
        <v>32</v>
      </c>
      <c r="D31">
        <v>20</v>
      </c>
      <c r="E31">
        <v>15</v>
      </c>
      <c r="F31">
        <v>7</v>
      </c>
      <c r="I31" s="12" t="s">
        <v>9</v>
      </c>
      <c r="J31">
        <v>332</v>
      </c>
      <c r="K31" s="19">
        <v>0.23919308357348704</v>
      </c>
    </row>
    <row r="32" spans="2:11" x14ac:dyDescent="0.3">
      <c r="B32" s="12" t="s">
        <v>10</v>
      </c>
      <c r="C32">
        <v>22</v>
      </c>
      <c r="D32">
        <v>15</v>
      </c>
      <c r="F32">
        <v>20</v>
      </c>
      <c r="I32" s="12" t="s">
        <v>12</v>
      </c>
      <c r="J32">
        <v>254</v>
      </c>
      <c r="K32" s="19">
        <v>0.42219020172910665</v>
      </c>
    </row>
    <row r="33" spans="2:11" x14ac:dyDescent="0.3">
      <c r="B33" s="12" t="s">
        <v>98</v>
      </c>
      <c r="C33">
        <v>384</v>
      </c>
      <c r="D33">
        <v>370</v>
      </c>
      <c r="E33">
        <v>332</v>
      </c>
      <c r="F33">
        <v>302</v>
      </c>
      <c r="I33" s="12" t="s">
        <v>14</v>
      </c>
      <c r="J33">
        <v>225</v>
      </c>
      <c r="K33" s="19">
        <v>0.58429394812680113</v>
      </c>
    </row>
    <row r="34" spans="2:11" x14ac:dyDescent="0.3">
      <c r="I34" s="12" t="s">
        <v>8</v>
      </c>
      <c r="J34">
        <v>160</v>
      </c>
      <c r="K34" s="19">
        <v>0.69956772334293948</v>
      </c>
    </row>
    <row r="35" spans="2:11" x14ac:dyDescent="0.3">
      <c r="I35" s="12" t="s">
        <v>13</v>
      </c>
      <c r="J35">
        <v>145</v>
      </c>
      <c r="K35" s="19">
        <v>0.80403458213256485</v>
      </c>
    </row>
    <row r="36" spans="2:11" x14ac:dyDescent="0.3">
      <c r="I36" s="12" t="s">
        <v>16</v>
      </c>
      <c r="J36">
        <v>74</v>
      </c>
      <c r="K36" s="19">
        <v>0.85734870317002887</v>
      </c>
    </row>
    <row r="37" spans="2:11" x14ac:dyDescent="0.3">
      <c r="I37" s="12" t="s">
        <v>10</v>
      </c>
      <c r="J37">
        <v>57</v>
      </c>
      <c r="K37" s="19">
        <v>0.89841498559077815</v>
      </c>
    </row>
    <row r="38" spans="2:11" x14ac:dyDescent="0.3">
      <c r="I38" s="12" t="s">
        <v>18</v>
      </c>
      <c r="J38">
        <v>49</v>
      </c>
      <c r="K38" s="19">
        <v>0.93371757925072041</v>
      </c>
    </row>
    <row r="39" spans="2:11" x14ac:dyDescent="0.3">
      <c r="I39" s="12" t="s">
        <v>19</v>
      </c>
      <c r="J39">
        <v>42</v>
      </c>
      <c r="K39" s="19">
        <v>0.96397694524495681</v>
      </c>
    </row>
    <row r="40" spans="2:11" x14ac:dyDescent="0.3">
      <c r="I40" s="12" t="s">
        <v>11</v>
      </c>
      <c r="J40">
        <v>33</v>
      </c>
      <c r="K40" s="19">
        <v>0.98775216138328525</v>
      </c>
    </row>
    <row r="41" spans="2:11" x14ac:dyDescent="0.3">
      <c r="I41" s="12" t="s">
        <v>15</v>
      </c>
      <c r="J41">
        <v>17</v>
      </c>
      <c r="K41" s="19">
        <v>1</v>
      </c>
    </row>
    <row r="42" spans="2:11" x14ac:dyDescent="0.3">
      <c r="I42" s="12" t="s">
        <v>98</v>
      </c>
      <c r="J42">
        <v>1388</v>
      </c>
      <c r="K42" s="19"/>
    </row>
    <row r="44" spans="2:11" x14ac:dyDescent="0.3">
      <c r="H44" s="11" t="s">
        <v>7</v>
      </c>
      <c r="I44" t="s">
        <v>21</v>
      </c>
    </row>
    <row r="45" spans="2:11" x14ac:dyDescent="0.3">
      <c r="B45" s="11" t="s">
        <v>97</v>
      </c>
      <c r="C45" t="s">
        <v>125</v>
      </c>
      <c r="D45" t="s">
        <v>136</v>
      </c>
    </row>
    <row r="46" spans="2:11" x14ac:dyDescent="0.3">
      <c r="B46" s="12" t="s">
        <v>8</v>
      </c>
      <c r="C46">
        <v>3000</v>
      </c>
      <c r="D46">
        <v>5</v>
      </c>
      <c r="H46" s="11" t="s">
        <v>97</v>
      </c>
    </row>
    <row r="47" spans="2:11" x14ac:dyDescent="0.3">
      <c r="B47" s="12" t="s">
        <v>13</v>
      </c>
      <c r="C47">
        <v>6400</v>
      </c>
      <c r="D47">
        <v>6</v>
      </c>
      <c r="H47" s="12" t="s">
        <v>8</v>
      </c>
    </row>
    <row r="48" spans="2:11" x14ac:dyDescent="0.3">
      <c r="B48" s="12" t="s">
        <v>18</v>
      </c>
      <c r="C48">
        <v>1800</v>
      </c>
      <c r="D48">
        <v>3</v>
      </c>
      <c r="H48" s="12" t="s">
        <v>13</v>
      </c>
    </row>
    <row r="49" spans="2:8" x14ac:dyDescent="0.3">
      <c r="B49" s="12" t="s">
        <v>15</v>
      </c>
      <c r="C49">
        <v>600</v>
      </c>
      <c r="D49">
        <v>1</v>
      </c>
      <c r="H49" s="12" t="s">
        <v>18</v>
      </c>
    </row>
    <row r="50" spans="2:8" x14ac:dyDescent="0.3">
      <c r="B50" s="12" t="s">
        <v>14</v>
      </c>
      <c r="C50">
        <v>8200</v>
      </c>
      <c r="D50">
        <v>9</v>
      </c>
      <c r="H50" s="12" t="s">
        <v>11</v>
      </c>
    </row>
    <row r="51" spans="2:8" x14ac:dyDescent="0.3">
      <c r="B51" s="12" t="s">
        <v>11</v>
      </c>
      <c r="C51">
        <v>1800</v>
      </c>
      <c r="D51">
        <v>3</v>
      </c>
      <c r="H51" s="12" t="s">
        <v>9</v>
      </c>
    </row>
    <row r="52" spans="2:8" x14ac:dyDescent="0.3">
      <c r="B52" s="12" t="s">
        <v>19</v>
      </c>
      <c r="C52">
        <v>2600</v>
      </c>
      <c r="D52">
        <v>2</v>
      </c>
      <c r="H52" s="12" t="s">
        <v>10</v>
      </c>
    </row>
    <row r="53" spans="2:8" x14ac:dyDescent="0.3">
      <c r="B53" s="12" t="s">
        <v>9</v>
      </c>
      <c r="C53">
        <v>11400</v>
      </c>
      <c r="D53">
        <v>12</v>
      </c>
      <c r="H53" s="12" t="s">
        <v>98</v>
      </c>
    </row>
    <row r="54" spans="2:8" x14ac:dyDescent="0.3">
      <c r="B54" s="12" t="s">
        <v>12</v>
      </c>
      <c r="C54">
        <v>9400</v>
      </c>
      <c r="D54">
        <v>11</v>
      </c>
    </row>
    <row r="55" spans="2:8" x14ac:dyDescent="0.3">
      <c r="B55" s="12" t="s">
        <v>16</v>
      </c>
      <c r="C55">
        <v>5000</v>
      </c>
      <c r="D55">
        <v>6</v>
      </c>
    </row>
    <row r="56" spans="2:8" x14ac:dyDescent="0.3">
      <c r="B56" s="12" t="s">
        <v>10</v>
      </c>
      <c r="C56">
        <v>1800</v>
      </c>
      <c r="D56">
        <v>3</v>
      </c>
    </row>
    <row r="57" spans="2:8" x14ac:dyDescent="0.3">
      <c r="B57" s="12" t="s">
        <v>98</v>
      </c>
      <c r="C57">
        <v>52000</v>
      </c>
      <c r="D57">
        <v>61</v>
      </c>
    </row>
    <row r="60" spans="2:8" x14ac:dyDescent="0.3">
      <c r="B60" t="s">
        <v>97</v>
      </c>
      <c r="C60" t="s">
        <v>125</v>
      </c>
      <c r="D60" t="s">
        <v>136</v>
      </c>
    </row>
    <row r="61" spans="2:8" x14ac:dyDescent="0.3">
      <c r="B61" t="s">
        <v>8</v>
      </c>
      <c r="C61">
        <v>3000</v>
      </c>
      <c r="D61">
        <v>5</v>
      </c>
    </row>
    <row r="62" spans="2:8" x14ac:dyDescent="0.3">
      <c r="B62" t="s">
        <v>13</v>
      </c>
      <c r="C62">
        <v>6400</v>
      </c>
      <c r="D62">
        <v>6</v>
      </c>
    </row>
    <row r="63" spans="2:8" x14ac:dyDescent="0.3">
      <c r="B63" t="s">
        <v>18</v>
      </c>
      <c r="C63">
        <v>1800</v>
      </c>
      <c r="D63">
        <v>3</v>
      </c>
    </row>
    <row r="64" spans="2:8" x14ac:dyDescent="0.3">
      <c r="B64" t="s">
        <v>15</v>
      </c>
      <c r="C64">
        <v>600</v>
      </c>
      <c r="D64">
        <v>1</v>
      </c>
    </row>
    <row r="65" spans="2:4" x14ac:dyDescent="0.3">
      <c r="B65" t="s">
        <v>14</v>
      </c>
      <c r="C65">
        <v>8200</v>
      </c>
      <c r="D65">
        <v>9</v>
      </c>
    </row>
    <row r="66" spans="2:4" x14ac:dyDescent="0.3">
      <c r="B66" t="s">
        <v>11</v>
      </c>
      <c r="C66">
        <v>1800</v>
      </c>
      <c r="D66">
        <v>3</v>
      </c>
    </row>
    <row r="67" spans="2:4" x14ac:dyDescent="0.3">
      <c r="B67" t="s">
        <v>19</v>
      </c>
      <c r="C67">
        <v>2600</v>
      </c>
      <c r="D67">
        <v>2</v>
      </c>
    </row>
    <row r="68" spans="2:4" x14ac:dyDescent="0.3">
      <c r="B68" t="s">
        <v>9</v>
      </c>
      <c r="C68">
        <v>11400</v>
      </c>
      <c r="D68">
        <v>12</v>
      </c>
    </row>
    <row r="69" spans="2:4" x14ac:dyDescent="0.3">
      <c r="B69" t="s">
        <v>12</v>
      </c>
      <c r="C69">
        <v>9400</v>
      </c>
      <c r="D69">
        <v>11</v>
      </c>
    </row>
    <row r="70" spans="2:4" x14ac:dyDescent="0.3">
      <c r="B70" t="s">
        <v>16</v>
      </c>
      <c r="C70">
        <v>5000</v>
      </c>
      <c r="D70">
        <v>6</v>
      </c>
    </row>
    <row r="71" spans="2:4" x14ac:dyDescent="0.3">
      <c r="B71" t="s">
        <v>10</v>
      </c>
      <c r="C71">
        <v>1800</v>
      </c>
      <c r="D71">
        <v>3</v>
      </c>
    </row>
  </sheetData>
  <conditionalFormatting pivot="1" sqref="J31:J41">
    <cfRule type="colorScale" priority="4">
      <colorScale>
        <cfvo type="min"/>
        <cfvo type="max"/>
        <color rgb="FFFCFCFF"/>
        <color rgb="FFF8696B"/>
      </colorScale>
    </cfRule>
  </conditionalFormatting>
  <conditionalFormatting pivot="1" sqref="C22:F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4DC6-3869-4546-B955-144BC8156000}">
  <dimension ref="A1"/>
  <sheetViews>
    <sheetView showGridLines="0" workbookViewId="0">
      <selection activeCell="Q21" sqref="Q21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9D34-3368-4707-96F7-D90C2192BBDA}">
  <dimension ref="A1"/>
  <sheetViews>
    <sheetView showGridLines="0" tabSelected="1" workbookViewId="0">
      <selection activeCell="Q14" sqref="Q14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M39"/>
  <sheetViews>
    <sheetView workbookViewId="0">
      <selection activeCell="K19" sqref="K19"/>
    </sheetView>
  </sheetViews>
  <sheetFormatPr defaultRowHeight="14.4" x14ac:dyDescent="0.3"/>
  <cols>
    <col min="1" max="1" width="18.6640625" style="2" customWidth="1"/>
    <col min="2" max="2" width="9.5546875" style="6" bestFit="1" customWidth="1"/>
    <col min="3" max="3" width="8.88671875" style="6" customWidth="1"/>
    <col min="4" max="4" width="10.33203125" style="6" customWidth="1"/>
    <col min="5" max="6" width="16.88671875" style="4" customWidth="1"/>
    <col min="7" max="10" width="8.88671875" customWidth="1"/>
    <col min="12" max="12" width="8.88671875" customWidth="1"/>
    <col min="13" max="13" width="14.5546875" customWidth="1"/>
  </cols>
  <sheetData>
    <row r="1" spans="1:13" x14ac:dyDescent="0.3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J1" s="5" t="s">
        <v>1</v>
      </c>
      <c r="K1" s="5" t="s">
        <v>29</v>
      </c>
      <c r="L1" s="8" t="s">
        <v>40</v>
      </c>
      <c r="M1" s="8" t="s">
        <v>35</v>
      </c>
    </row>
    <row r="2" spans="1:13" x14ac:dyDescent="0.3">
      <c r="A2" s="2">
        <v>45533</v>
      </c>
      <c r="B2" s="6" t="s">
        <v>23</v>
      </c>
      <c r="C2" s="6">
        <v>422111</v>
      </c>
      <c r="D2" s="6" t="s">
        <v>39</v>
      </c>
      <c r="E2" s="4">
        <v>0.49305555555555558</v>
      </c>
      <c r="F2" s="4">
        <v>0.58680555555555558</v>
      </c>
      <c r="J2" s="6" t="s">
        <v>23</v>
      </c>
      <c r="K2" s="6" t="s">
        <v>30</v>
      </c>
      <c r="L2" s="9">
        <v>600</v>
      </c>
      <c r="M2" s="9">
        <v>60</v>
      </c>
    </row>
    <row r="3" spans="1:13" x14ac:dyDescent="0.3">
      <c r="A3" s="2">
        <v>45533</v>
      </c>
      <c r="B3" s="6" t="s">
        <v>24</v>
      </c>
      <c r="C3" s="6">
        <v>422112</v>
      </c>
      <c r="D3" s="6" t="s">
        <v>39</v>
      </c>
      <c r="E3" s="4">
        <v>0.58680555555555558</v>
      </c>
      <c r="F3" s="4">
        <v>0.65625</v>
      </c>
      <c r="J3" s="6" t="s">
        <v>24</v>
      </c>
      <c r="K3" s="6" t="s">
        <v>31</v>
      </c>
      <c r="L3" s="9">
        <v>600</v>
      </c>
      <c r="M3" s="9">
        <v>60</v>
      </c>
    </row>
    <row r="4" spans="1:13" x14ac:dyDescent="0.3">
      <c r="A4" s="2">
        <v>45533</v>
      </c>
      <c r="B4" s="6" t="s">
        <v>24</v>
      </c>
      <c r="C4" s="6">
        <v>422113</v>
      </c>
      <c r="D4" s="6" t="s">
        <v>39</v>
      </c>
      <c r="E4" s="4">
        <v>0.65625</v>
      </c>
      <c r="F4" s="4">
        <v>0.73263888888888884</v>
      </c>
      <c r="J4" s="6" t="s">
        <v>25</v>
      </c>
      <c r="K4" s="6" t="s">
        <v>32</v>
      </c>
      <c r="L4" s="9">
        <v>600</v>
      </c>
      <c r="M4" s="9">
        <v>60</v>
      </c>
    </row>
    <row r="5" spans="1:13" x14ac:dyDescent="0.3">
      <c r="A5" s="2">
        <v>45533</v>
      </c>
      <c r="B5" s="6" t="s">
        <v>24</v>
      </c>
      <c r="C5" s="6">
        <v>422114</v>
      </c>
      <c r="D5" s="6" t="s">
        <v>39</v>
      </c>
      <c r="E5" s="4">
        <v>0.73263888888888884</v>
      </c>
      <c r="F5" s="4">
        <v>0.80208333333333326</v>
      </c>
      <c r="J5" s="6" t="s">
        <v>26</v>
      </c>
      <c r="K5" s="6" t="s">
        <v>33</v>
      </c>
      <c r="L5" s="9">
        <v>600</v>
      </c>
      <c r="M5" s="9">
        <v>60</v>
      </c>
    </row>
    <row r="6" spans="1:13" x14ac:dyDescent="0.3">
      <c r="A6" s="2">
        <v>45533</v>
      </c>
      <c r="B6" s="6" t="s">
        <v>24</v>
      </c>
      <c r="C6" s="6">
        <v>422115</v>
      </c>
      <c r="D6" s="6" t="s">
        <v>36</v>
      </c>
      <c r="E6" s="4">
        <v>0.80208333333333326</v>
      </c>
      <c r="F6" s="4">
        <v>0.86041666666666661</v>
      </c>
      <c r="J6" s="6" t="s">
        <v>27</v>
      </c>
      <c r="K6" s="6" t="s">
        <v>34</v>
      </c>
      <c r="L6" s="9">
        <v>600</v>
      </c>
      <c r="M6" s="9">
        <v>60</v>
      </c>
    </row>
    <row r="7" spans="1:13" x14ac:dyDescent="0.3">
      <c r="A7" s="2">
        <v>45533</v>
      </c>
      <c r="B7" s="6" t="s">
        <v>24</v>
      </c>
      <c r="C7" s="6">
        <v>422116</v>
      </c>
      <c r="D7" s="6" t="s">
        <v>36</v>
      </c>
      <c r="E7" s="4">
        <v>0.86041666666666661</v>
      </c>
      <c r="F7" s="4">
        <v>0.90208333333333324</v>
      </c>
      <c r="J7" s="6" t="s">
        <v>28</v>
      </c>
      <c r="K7" s="6" t="s">
        <v>32</v>
      </c>
      <c r="L7" s="9">
        <v>2000</v>
      </c>
      <c r="M7" s="9">
        <v>98</v>
      </c>
    </row>
    <row r="8" spans="1:13" x14ac:dyDescent="0.3">
      <c r="A8" s="2">
        <v>45533</v>
      </c>
      <c r="B8" s="6" t="s">
        <v>24</v>
      </c>
      <c r="C8" s="6">
        <v>422117</v>
      </c>
      <c r="D8" s="6" t="s">
        <v>36</v>
      </c>
      <c r="E8" s="4">
        <v>0.90208333333333324</v>
      </c>
      <c r="F8" s="4">
        <v>0.95416666666666661</v>
      </c>
    </row>
    <row r="9" spans="1:13" x14ac:dyDescent="0.3">
      <c r="A9" s="2">
        <v>45534</v>
      </c>
      <c r="B9" s="6" t="s">
        <v>25</v>
      </c>
      <c r="C9" s="6">
        <v>422118</v>
      </c>
      <c r="D9" s="6" t="s">
        <v>37</v>
      </c>
      <c r="E9" s="4">
        <v>0.1701388888888889</v>
      </c>
      <c r="F9" s="4">
        <v>0.25347222222222221</v>
      </c>
      <c r="G9" s="6"/>
    </row>
    <row r="10" spans="1:13" x14ac:dyDescent="0.3">
      <c r="A10" s="2">
        <v>45534</v>
      </c>
      <c r="B10" s="6" t="s">
        <v>25</v>
      </c>
      <c r="C10" s="6">
        <v>422119</v>
      </c>
      <c r="D10" s="6" t="s">
        <v>37</v>
      </c>
      <c r="E10" s="4">
        <v>0.25347222222222221</v>
      </c>
      <c r="F10" s="4">
        <v>0.3125</v>
      </c>
    </row>
    <row r="11" spans="1:13" x14ac:dyDescent="0.3">
      <c r="A11" s="2">
        <v>45534</v>
      </c>
      <c r="B11" s="6" t="s">
        <v>25</v>
      </c>
      <c r="C11" s="6">
        <v>422120</v>
      </c>
      <c r="D11" s="6" t="s">
        <v>37</v>
      </c>
      <c r="E11" s="4">
        <v>0.3125</v>
      </c>
      <c r="F11" s="4">
        <v>0.39027777777777778</v>
      </c>
    </row>
    <row r="12" spans="1:13" x14ac:dyDescent="0.3">
      <c r="A12" s="2">
        <v>45534</v>
      </c>
      <c r="B12" s="6" t="s">
        <v>25</v>
      </c>
      <c r="C12" s="6">
        <v>422121</v>
      </c>
      <c r="D12" s="6" t="s">
        <v>38</v>
      </c>
      <c r="E12" s="4">
        <v>0.39027777777777778</v>
      </c>
      <c r="F12" s="4">
        <v>0.44236111111111109</v>
      </c>
    </row>
    <row r="13" spans="1:13" x14ac:dyDescent="0.3">
      <c r="A13" s="2">
        <v>45534</v>
      </c>
      <c r="B13" s="6" t="s">
        <v>25</v>
      </c>
      <c r="C13" s="6">
        <v>422122</v>
      </c>
      <c r="D13" s="6" t="s">
        <v>38</v>
      </c>
      <c r="E13" s="4">
        <v>0.44236111111111109</v>
      </c>
      <c r="F13" s="4">
        <v>0.50138888888888888</v>
      </c>
    </row>
    <row r="14" spans="1:13" x14ac:dyDescent="0.3">
      <c r="A14" s="2">
        <v>45534</v>
      </c>
      <c r="B14" s="6" t="s">
        <v>25</v>
      </c>
      <c r="C14" s="6">
        <v>422123</v>
      </c>
      <c r="D14" s="6" t="s">
        <v>38</v>
      </c>
      <c r="E14" s="4">
        <v>0.50138888888888888</v>
      </c>
      <c r="F14" s="4">
        <v>0.59375</v>
      </c>
    </row>
    <row r="15" spans="1:13" x14ac:dyDescent="0.3">
      <c r="A15" s="2">
        <v>45534</v>
      </c>
      <c r="B15" s="6" t="s">
        <v>25</v>
      </c>
      <c r="C15" s="6">
        <v>422124</v>
      </c>
      <c r="D15" s="6" t="s">
        <v>38</v>
      </c>
      <c r="E15" s="4">
        <v>0.59375</v>
      </c>
      <c r="F15" s="4">
        <v>0.66319444444444442</v>
      </c>
    </row>
    <row r="16" spans="1:13" x14ac:dyDescent="0.3">
      <c r="A16" s="2">
        <v>45534</v>
      </c>
      <c r="B16" s="6" t="s">
        <v>25</v>
      </c>
      <c r="C16" s="6">
        <v>422125</v>
      </c>
      <c r="D16" s="6" t="s">
        <v>36</v>
      </c>
      <c r="E16" s="4">
        <v>0.66319444444444442</v>
      </c>
      <c r="F16" s="4">
        <v>0.71875</v>
      </c>
    </row>
    <row r="17" spans="1:6" x14ac:dyDescent="0.3">
      <c r="A17" s="2">
        <v>45534</v>
      </c>
      <c r="B17" s="6" t="s">
        <v>25</v>
      </c>
      <c r="C17" s="6">
        <v>422126</v>
      </c>
      <c r="D17" s="6" t="s">
        <v>36</v>
      </c>
      <c r="E17" s="4">
        <v>0.71875</v>
      </c>
      <c r="F17" s="4">
        <v>0.79097222222222219</v>
      </c>
    </row>
    <row r="18" spans="1:6" x14ac:dyDescent="0.3">
      <c r="A18" s="2">
        <v>45534</v>
      </c>
      <c r="B18" s="6" t="s">
        <v>25</v>
      </c>
      <c r="C18" s="6">
        <v>422127</v>
      </c>
      <c r="D18" s="6" t="s">
        <v>36</v>
      </c>
      <c r="E18" s="4">
        <v>0.79097222222222219</v>
      </c>
      <c r="F18" s="4">
        <v>0.84861111111111109</v>
      </c>
    </row>
    <row r="19" spans="1:6" x14ac:dyDescent="0.3">
      <c r="A19" s="2">
        <v>45534</v>
      </c>
      <c r="B19" s="6" t="s">
        <v>25</v>
      </c>
      <c r="C19" s="6">
        <v>422128</v>
      </c>
      <c r="D19" s="6" t="s">
        <v>36</v>
      </c>
      <c r="E19" s="4">
        <v>0.84861111111111109</v>
      </c>
      <c r="F19" s="4">
        <v>0.92638888888888893</v>
      </c>
    </row>
    <row r="20" spans="1:6" x14ac:dyDescent="0.3">
      <c r="A20" s="2">
        <v>45534</v>
      </c>
      <c r="B20" s="6" t="s">
        <v>25</v>
      </c>
      <c r="C20" s="6">
        <v>422129</v>
      </c>
      <c r="D20" s="6" t="s">
        <v>36</v>
      </c>
      <c r="E20" s="4">
        <v>0.92638888888888893</v>
      </c>
      <c r="F20" s="4">
        <v>0.97847222222222219</v>
      </c>
    </row>
    <row r="21" spans="1:6" x14ac:dyDescent="0.3">
      <c r="A21" s="2">
        <v>45535</v>
      </c>
      <c r="B21" s="6" t="s">
        <v>25</v>
      </c>
      <c r="C21" s="6">
        <v>422130</v>
      </c>
      <c r="D21" s="6" t="s">
        <v>37</v>
      </c>
      <c r="E21" s="4">
        <v>0.32291666666666669</v>
      </c>
      <c r="F21" s="4">
        <v>0.37847222222222221</v>
      </c>
    </row>
    <row r="22" spans="1:6" x14ac:dyDescent="0.3">
      <c r="A22" s="2">
        <v>45535</v>
      </c>
      <c r="B22" s="6" t="s">
        <v>25</v>
      </c>
      <c r="C22" s="6">
        <v>422131</v>
      </c>
      <c r="D22" s="6" t="s">
        <v>37</v>
      </c>
      <c r="E22" s="4">
        <v>0.37847222222222221</v>
      </c>
      <c r="F22" s="4">
        <v>0.44097222222222221</v>
      </c>
    </row>
    <row r="23" spans="1:6" x14ac:dyDescent="0.3">
      <c r="A23" s="2">
        <v>45535</v>
      </c>
      <c r="B23" s="6" t="s">
        <v>25</v>
      </c>
      <c r="C23" s="6">
        <v>422132</v>
      </c>
      <c r="D23" s="6" t="s">
        <v>37</v>
      </c>
      <c r="E23" s="4">
        <v>0.44097222222222221</v>
      </c>
      <c r="F23" s="4">
        <v>0.4826388888888889</v>
      </c>
    </row>
    <row r="24" spans="1:6" x14ac:dyDescent="0.3">
      <c r="A24" s="2">
        <v>45535</v>
      </c>
      <c r="B24" s="6" t="s">
        <v>26</v>
      </c>
      <c r="C24" s="6">
        <v>422133</v>
      </c>
      <c r="D24" s="6" t="s">
        <v>37</v>
      </c>
      <c r="E24" s="4">
        <v>0.4826388888888889</v>
      </c>
      <c r="F24" s="4">
        <v>0.53819444444444442</v>
      </c>
    </row>
    <row r="25" spans="1:6" x14ac:dyDescent="0.3">
      <c r="A25" s="2">
        <v>45535</v>
      </c>
      <c r="B25" s="6" t="s">
        <v>26</v>
      </c>
      <c r="C25" s="6">
        <v>422134</v>
      </c>
      <c r="D25" s="6" t="s">
        <v>39</v>
      </c>
      <c r="E25" s="4">
        <v>0.53819444444444442</v>
      </c>
      <c r="F25" s="4">
        <v>0.61458333333333337</v>
      </c>
    </row>
    <row r="26" spans="1:6" x14ac:dyDescent="0.3">
      <c r="A26" s="2">
        <v>45535</v>
      </c>
      <c r="B26" s="6" t="s">
        <v>26</v>
      </c>
      <c r="C26" s="6">
        <v>422135</v>
      </c>
      <c r="D26" s="6" t="s">
        <v>39</v>
      </c>
      <c r="E26" s="4">
        <v>0.61458333333333337</v>
      </c>
      <c r="F26" s="4">
        <v>0.6875</v>
      </c>
    </row>
    <row r="27" spans="1:6" x14ac:dyDescent="0.3">
      <c r="A27" s="2">
        <v>45535</v>
      </c>
      <c r="B27" s="6" t="s">
        <v>26</v>
      </c>
      <c r="C27" s="6">
        <v>422136</v>
      </c>
      <c r="D27" s="6" t="s">
        <v>39</v>
      </c>
      <c r="E27" s="4">
        <v>0.6875</v>
      </c>
      <c r="F27" s="4">
        <v>0.72916666666666663</v>
      </c>
    </row>
    <row r="28" spans="1:6" x14ac:dyDescent="0.3">
      <c r="A28" s="2">
        <v>45537</v>
      </c>
      <c r="B28" s="6" t="s">
        <v>27</v>
      </c>
      <c r="C28" s="6">
        <v>422137</v>
      </c>
      <c r="D28" s="6" t="s">
        <v>37</v>
      </c>
      <c r="E28" s="4">
        <v>4.1666666666666664E-2</v>
      </c>
      <c r="F28" s="4">
        <v>0.11458333333333333</v>
      </c>
    </row>
    <row r="29" spans="1:6" x14ac:dyDescent="0.3">
      <c r="A29" s="2">
        <v>45537</v>
      </c>
      <c r="B29" s="6" t="s">
        <v>27</v>
      </c>
      <c r="C29" s="6">
        <v>422138</v>
      </c>
      <c r="D29" s="6" t="s">
        <v>37</v>
      </c>
      <c r="E29" s="4">
        <v>0.11458333333333333</v>
      </c>
      <c r="F29" s="4">
        <v>0.1701388888888889</v>
      </c>
    </row>
    <row r="30" spans="1:6" x14ac:dyDescent="0.3">
      <c r="A30" s="2">
        <v>45537</v>
      </c>
      <c r="B30" s="6" t="s">
        <v>27</v>
      </c>
      <c r="C30" s="6">
        <v>422139</v>
      </c>
      <c r="D30" s="6" t="s">
        <v>37</v>
      </c>
      <c r="E30" s="4">
        <v>0.1701388888888889</v>
      </c>
      <c r="F30" s="4">
        <v>0.2361111111111111</v>
      </c>
    </row>
    <row r="31" spans="1:6" x14ac:dyDescent="0.3">
      <c r="A31" s="2">
        <v>45537</v>
      </c>
      <c r="B31" s="6" t="s">
        <v>27</v>
      </c>
      <c r="C31" s="6">
        <v>422140</v>
      </c>
      <c r="D31" s="6" t="s">
        <v>37</v>
      </c>
      <c r="E31" s="4">
        <v>0.2361111111111111</v>
      </c>
      <c r="F31" s="4">
        <v>0.3215277777777778</v>
      </c>
    </row>
    <row r="32" spans="1:6" x14ac:dyDescent="0.3">
      <c r="A32" s="2">
        <v>45537</v>
      </c>
      <c r="B32" s="6" t="s">
        <v>27</v>
      </c>
      <c r="C32" s="6">
        <v>422141</v>
      </c>
      <c r="D32" s="6" t="s">
        <v>38</v>
      </c>
      <c r="E32" s="4">
        <v>0.3215277777777778</v>
      </c>
      <c r="F32" s="4">
        <v>0.36805555555555558</v>
      </c>
    </row>
    <row r="33" spans="1:6" x14ac:dyDescent="0.3">
      <c r="A33" s="2">
        <v>45537</v>
      </c>
      <c r="B33" s="6" t="s">
        <v>27</v>
      </c>
      <c r="C33" s="6">
        <v>422142</v>
      </c>
      <c r="D33" s="6" t="s">
        <v>38</v>
      </c>
      <c r="E33" s="4">
        <v>0.36805555555555558</v>
      </c>
      <c r="F33" s="4">
        <v>0.43055555555555558</v>
      </c>
    </row>
    <row r="34" spans="1:6" x14ac:dyDescent="0.3">
      <c r="A34" s="2">
        <v>45537</v>
      </c>
      <c r="B34" s="6" t="s">
        <v>27</v>
      </c>
      <c r="C34" s="6">
        <v>422143</v>
      </c>
      <c r="D34" s="6" t="s">
        <v>38</v>
      </c>
      <c r="E34" s="4">
        <v>0.43055555555555558</v>
      </c>
      <c r="F34" s="4">
        <v>0.51249999999999996</v>
      </c>
    </row>
    <row r="35" spans="1:6" x14ac:dyDescent="0.3">
      <c r="A35" s="2">
        <v>45537</v>
      </c>
      <c r="B35" s="6" t="s">
        <v>28</v>
      </c>
      <c r="C35" s="6">
        <v>422144</v>
      </c>
      <c r="D35" s="6" t="s">
        <v>38</v>
      </c>
      <c r="E35" s="4">
        <v>0.51249999999999996</v>
      </c>
      <c r="F35" s="4">
        <v>0.61805555555555558</v>
      </c>
    </row>
    <row r="36" spans="1:6" x14ac:dyDescent="0.3">
      <c r="A36" s="2">
        <v>45537</v>
      </c>
      <c r="B36" s="6" t="s">
        <v>28</v>
      </c>
      <c r="C36" s="6">
        <v>422145</v>
      </c>
      <c r="D36" s="6" t="s">
        <v>36</v>
      </c>
      <c r="E36" s="4">
        <v>0.61805555555555558</v>
      </c>
      <c r="F36" s="4">
        <v>0.70138888888888895</v>
      </c>
    </row>
    <row r="37" spans="1:6" x14ac:dyDescent="0.3">
      <c r="A37" s="2">
        <v>45537</v>
      </c>
      <c r="B37" s="6" t="s">
        <v>28</v>
      </c>
      <c r="C37" s="6">
        <v>422146</v>
      </c>
      <c r="D37" s="6" t="s">
        <v>36</v>
      </c>
      <c r="E37" s="4">
        <v>0.70138888888888895</v>
      </c>
      <c r="F37" s="4">
        <v>0.8125</v>
      </c>
    </row>
    <row r="38" spans="1:6" x14ac:dyDescent="0.3">
      <c r="A38" s="2">
        <v>45537</v>
      </c>
      <c r="B38" s="6" t="s">
        <v>28</v>
      </c>
      <c r="C38" s="6">
        <v>422147</v>
      </c>
      <c r="D38" s="6" t="s">
        <v>36</v>
      </c>
      <c r="E38" s="4">
        <v>0.8125</v>
      </c>
      <c r="F38" s="4">
        <v>0.95486111111111116</v>
      </c>
    </row>
    <row r="39" spans="1:6" x14ac:dyDescent="0.3">
      <c r="A39" s="2">
        <v>45538</v>
      </c>
      <c r="B39" s="6" t="s">
        <v>28</v>
      </c>
      <c r="C39" s="6">
        <v>422148</v>
      </c>
      <c r="D39" s="6" t="s">
        <v>39</v>
      </c>
      <c r="E39" s="4">
        <v>0.95486111111111116</v>
      </c>
      <c r="F39" s="4">
        <v>4.5138888888888888E-2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I7"/>
  <sheetViews>
    <sheetView workbookViewId="0">
      <pane ySplit="1" topLeftCell="A2" activePane="bottomLeft" state="frozen"/>
      <selection activeCell="K19" sqref="K19"/>
      <selection pane="bottomLeft" activeCell="K19" sqref="K19"/>
    </sheetView>
  </sheetViews>
  <sheetFormatPr defaultRowHeight="14.4" x14ac:dyDescent="0.3"/>
  <cols>
    <col min="1" max="1" width="9.44140625" style="6" customWidth="1"/>
    <col min="2" max="2" width="11.109375" style="6" bestFit="1" customWidth="1"/>
    <col min="3" max="3" width="10.6640625" style="9" customWidth="1"/>
    <col min="4" max="4" width="15.21875" style="9" customWidth="1"/>
    <col min="6" max="6" width="8.88671875" style="6"/>
    <col min="7" max="7" width="11.21875" style="6" customWidth="1"/>
    <col min="8" max="8" width="8.88671875" style="7"/>
    <col min="9" max="9" width="17" style="7" customWidth="1"/>
  </cols>
  <sheetData>
    <row r="1" spans="1:9" x14ac:dyDescent="0.3">
      <c r="A1" s="5" t="s">
        <v>1</v>
      </c>
      <c r="B1" s="5" t="s">
        <v>29</v>
      </c>
      <c r="C1" s="8" t="s">
        <v>40</v>
      </c>
      <c r="D1" s="8" t="s">
        <v>35</v>
      </c>
      <c r="F1"/>
      <c r="G1"/>
      <c r="H1"/>
      <c r="I1"/>
    </row>
    <row r="2" spans="1:9" x14ac:dyDescent="0.3">
      <c r="A2" s="6" t="s">
        <v>23</v>
      </c>
      <c r="B2" s="6" t="s">
        <v>30</v>
      </c>
      <c r="C2" s="9">
        <v>600</v>
      </c>
      <c r="D2" s="9">
        <v>60</v>
      </c>
      <c r="F2"/>
      <c r="G2"/>
      <c r="H2"/>
      <c r="I2"/>
    </row>
    <row r="3" spans="1:9" x14ac:dyDescent="0.3">
      <c r="A3" s="6" t="s">
        <v>24</v>
      </c>
      <c r="B3" s="6" t="s">
        <v>31</v>
      </c>
      <c r="C3" s="9">
        <v>600</v>
      </c>
      <c r="D3" s="9">
        <v>60</v>
      </c>
      <c r="F3"/>
      <c r="G3"/>
      <c r="H3"/>
      <c r="I3"/>
    </row>
    <row r="4" spans="1:9" x14ac:dyDescent="0.3">
      <c r="A4" s="6" t="s">
        <v>25</v>
      </c>
      <c r="B4" s="6" t="s">
        <v>32</v>
      </c>
      <c r="C4" s="9">
        <v>600</v>
      </c>
      <c r="D4" s="9">
        <v>60</v>
      </c>
      <c r="F4"/>
      <c r="G4"/>
      <c r="H4"/>
      <c r="I4"/>
    </row>
    <row r="5" spans="1:9" x14ac:dyDescent="0.3">
      <c r="A5" s="6" t="s">
        <v>26</v>
      </c>
      <c r="B5" s="6" t="s">
        <v>33</v>
      </c>
      <c r="C5" s="9">
        <v>600</v>
      </c>
      <c r="D5" s="9">
        <v>60</v>
      </c>
      <c r="F5"/>
      <c r="G5"/>
      <c r="H5"/>
      <c r="I5"/>
    </row>
    <row r="6" spans="1:9" x14ac:dyDescent="0.3">
      <c r="A6" s="6" t="s">
        <v>27</v>
      </c>
      <c r="B6" s="6" t="s">
        <v>34</v>
      </c>
      <c r="C6" s="9">
        <v>600</v>
      </c>
      <c r="D6" s="9">
        <v>60</v>
      </c>
      <c r="F6"/>
      <c r="G6"/>
      <c r="H6"/>
      <c r="I6"/>
    </row>
    <row r="7" spans="1:9" x14ac:dyDescent="0.3">
      <c r="A7" s="6" t="s">
        <v>28</v>
      </c>
      <c r="B7" s="6" t="s">
        <v>32</v>
      </c>
      <c r="C7" s="9">
        <v>2000</v>
      </c>
      <c r="D7" s="9">
        <v>98</v>
      </c>
      <c r="F7"/>
      <c r="G7"/>
      <c r="H7"/>
      <c r="I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>
      <selection activeCell="K19" sqref="K19"/>
    </sheetView>
  </sheetViews>
  <sheetFormatPr defaultRowHeight="14.4" x14ac:dyDescent="0.3"/>
  <cols>
    <col min="1" max="1" width="8.88671875" style="6" customWidth="1"/>
    <col min="2" max="2" width="19.33203125" style="6" bestFit="1" customWidth="1"/>
    <col min="3" max="3" width="14.6640625" style="6" customWidth="1"/>
  </cols>
  <sheetData>
    <row r="1" spans="1:3" x14ac:dyDescent="0.3">
      <c r="A1" s="5" t="s">
        <v>6</v>
      </c>
      <c r="B1" s="5" t="s">
        <v>22</v>
      </c>
      <c r="C1" s="5" t="s">
        <v>7</v>
      </c>
    </row>
    <row r="2" spans="1:3" x14ac:dyDescent="0.3">
      <c r="A2" s="6">
        <v>1</v>
      </c>
      <c r="B2" s="6" t="s">
        <v>17</v>
      </c>
      <c r="C2" s="6" t="s">
        <v>20</v>
      </c>
    </row>
    <row r="3" spans="1:3" x14ac:dyDescent="0.3">
      <c r="A3" s="6">
        <v>2</v>
      </c>
      <c r="B3" s="6" t="s">
        <v>8</v>
      </c>
      <c r="C3" s="6" t="s">
        <v>21</v>
      </c>
    </row>
    <row r="4" spans="1:3" x14ac:dyDescent="0.3">
      <c r="A4" s="6">
        <v>3</v>
      </c>
      <c r="B4" s="6" t="s">
        <v>19</v>
      </c>
      <c r="C4" s="6" t="s">
        <v>20</v>
      </c>
    </row>
    <row r="5" spans="1:3" x14ac:dyDescent="0.3">
      <c r="A5" s="6">
        <v>4</v>
      </c>
      <c r="B5" s="6" t="s">
        <v>14</v>
      </c>
      <c r="C5" s="6" t="s">
        <v>20</v>
      </c>
    </row>
    <row r="6" spans="1:3" x14ac:dyDescent="0.3">
      <c r="A6" s="6">
        <v>5</v>
      </c>
      <c r="B6" s="6" t="s">
        <v>10</v>
      </c>
      <c r="C6" s="6" t="s">
        <v>21</v>
      </c>
    </row>
    <row r="7" spans="1:3" x14ac:dyDescent="0.3">
      <c r="A7" s="6">
        <v>6</v>
      </c>
      <c r="B7" s="6" t="s">
        <v>9</v>
      </c>
      <c r="C7" s="6" t="s">
        <v>21</v>
      </c>
    </row>
    <row r="8" spans="1:3" x14ac:dyDescent="0.3">
      <c r="A8" s="6">
        <v>7</v>
      </c>
      <c r="B8" s="6" t="s">
        <v>12</v>
      </c>
      <c r="C8" s="6" t="s">
        <v>20</v>
      </c>
    </row>
    <row r="9" spans="1:3" x14ac:dyDescent="0.3">
      <c r="A9" s="6">
        <v>8</v>
      </c>
      <c r="B9" s="6" t="s">
        <v>13</v>
      </c>
      <c r="C9" s="6" t="s">
        <v>21</v>
      </c>
    </row>
    <row r="10" spans="1:3" x14ac:dyDescent="0.3">
      <c r="A10" s="6">
        <v>9</v>
      </c>
      <c r="B10" s="6" t="s">
        <v>15</v>
      </c>
      <c r="C10" s="6" t="s">
        <v>20</v>
      </c>
    </row>
    <row r="11" spans="1:3" x14ac:dyDescent="0.3">
      <c r="A11" s="6">
        <v>10</v>
      </c>
      <c r="B11" s="6" t="s">
        <v>18</v>
      </c>
      <c r="C11" s="6" t="s">
        <v>21</v>
      </c>
    </row>
    <row r="12" spans="1:3" x14ac:dyDescent="0.3">
      <c r="A12" s="6">
        <v>11</v>
      </c>
      <c r="B12" s="6" t="s">
        <v>11</v>
      </c>
      <c r="C12" s="6" t="s">
        <v>21</v>
      </c>
    </row>
    <row r="13" spans="1:3" x14ac:dyDescent="0.3">
      <c r="A13" s="6">
        <v>12</v>
      </c>
      <c r="B13" s="6" t="s">
        <v>16</v>
      </c>
      <c r="C13" s="6" t="s">
        <v>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39"/>
  <sheetViews>
    <sheetView workbookViewId="0">
      <selection activeCell="J10" sqref="J10"/>
    </sheetView>
  </sheetViews>
  <sheetFormatPr defaultRowHeight="14.4" x14ac:dyDescent="0.3"/>
  <cols>
    <col min="1" max="1" width="8.88671875" style="6" customWidth="1"/>
    <col min="2" max="13" width="5.5546875" style="9" customWidth="1"/>
  </cols>
  <sheetData>
    <row r="1" spans="1:13" x14ac:dyDescent="0.3">
      <c r="A1" s="5" t="s">
        <v>2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8" t="s">
        <v>50</v>
      </c>
      <c r="L1" s="8" t="s">
        <v>51</v>
      </c>
      <c r="M1" s="8" t="s">
        <v>52</v>
      </c>
    </row>
    <row r="2" spans="1:13" x14ac:dyDescent="0.3">
      <c r="A2" s="6">
        <v>422111</v>
      </c>
      <c r="C2" s="9">
        <v>60</v>
      </c>
      <c r="H2" s="9">
        <v>15</v>
      </c>
    </row>
    <row r="3" spans="1:13" x14ac:dyDescent="0.3">
      <c r="A3" s="6">
        <v>422112</v>
      </c>
      <c r="C3" s="9">
        <v>20</v>
      </c>
      <c r="I3" s="9">
        <v>20</v>
      </c>
    </row>
    <row r="4" spans="1:13" x14ac:dyDescent="0.3">
      <c r="A4" s="6">
        <v>422113</v>
      </c>
      <c r="C4" s="9">
        <v>50</v>
      </c>
    </row>
    <row r="5" spans="1:13" x14ac:dyDescent="0.3">
      <c r="A5" s="6">
        <v>422114</v>
      </c>
      <c r="E5" s="9">
        <v>25</v>
      </c>
      <c r="G5" s="9">
        <v>15</v>
      </c>
    </row>
    <row r="6" spans="1:13" x14ac:dyDescent="0.3">
      <c r="A6" s="6">
        <v>422115</v>
      </c>
      <c r="K6" s="9">
        <v>24</v>
      </c>
    </row>
    <row r="7" spans="1:13" x14ac:dyDescent="0.3">
      <c r="A7" s="6">
        <v>422116</v>
      </c>
    </row>
    <row r="8" spans="1:13" x14ac:dyDescent="0.3">
      <c r="A8" s="6">
        <v>422117</v>
      </c>
      <c r="C8" s="9">
        <v>10</v>
      </c>
      <c r="G8" s="9">
        <v>5</v>
      </c>
    </row>
    <row r="9" spans="1:13" x14ac:dyDescent="0.3">
      <c r="A9" s="6">
        <v>422118</v>
      </c>
      <c r="G9" s="9">
        <v>14</v>
      </c>
      <c r="H9" s="9">
        <v>16</v>
      </c>
      <c r="L9" s="9">
        <v>10</v>
      </c>
      <c r="M9" s="9">
        <v>20</v>
      </c>
    </row>
    <row r="10" spans="1:13" x14ac:dyDescent="0.3">
      <c r="A10" s="6">
        <v>422119</v>
      </c>
      <c r="E10" s="9">
        <v>25</v>
      </c>
    </row>
    <row r="11" spans="1:13" x14ac:dyDescent="0.3">
      <c r="A11" s="6">
        <v>422120</v>
      </c>
      <c r="E11" s="9">
        <v>20</v>
      </c>
      <c r="F11" s="9">
        <v>15</v>
      </c>
      <c r="J11" s="9">
        <v>17</v>
      </c>
    </row>
    <row r="12" spans="1:13" x14ac:dyDescent="0.3">
      <c r="A12" s="6">
        <v>422121</v>
      </c>
      <c r="H12" s="9">
        <v>15</v>
      </c>
    </row>
    <row r="13" spans="1:13" x14ac:dyDescent="0.3">
      <c r="A13" s="6">
        <v>422122</v>
      </c>
      <c r="H13" s="9">
        <v>25</v>
      </c>
    </row>
    <row r="14" spans="1:13" x14ac:dyDescent="0.3">
      <c r="A14" s="6">
        <v>422123</v>
      </c>
      <c r="E14" s="9">
        <v>43</v>
      </c>
      <c r="H14" s="9">
        <v>30</v>
      </c>
    </row>
    <row r="15" spans="1:13" x14ac:dyDescent="0.3">
      <c r="A15" s="6">
        <v>422124</v>
      </c>
      <c r="F15" s="9">
        <v>20</v>
      </c>
      <c r="G15" s="9">
        <v>20</v>
      </c>
    </row>
    <row r="16" spans="1:13" x14ac:dyDescent="0.3">
      <c r="A16" s="6">
        <v>422125</v>
      </c>
      <c r="L16" s="9">
        <v>10</v>
      </c>
      <c r="M16" s="9">
        <v>10</v>
      </c>
    </row>
    <row r="17" spans="1:13" x14ac:dyDescent="0.3">
      <c r="A17" s="6">
        <v>422126</v>
      </c>
      <c r="I17" s="9">
        <v>44</v>
      </c>
    </row>
    <row r="18" spans="1:13" x14ac:dyDescent="0.3">
      <c r="A18" s="6">
        <v>422127</v>
      </c>
      <c r="G18" s="9">
        <v>23</v>
      </c>
    </row>
    <row r="19" spans="1:13" x14ac:dyDescent="0.3">
      <c r="A19" s="6">
        <v>422128</v>
      </c>
      <c r="F19" s="9">
        <v>22</v>
      </c>
      <c r="H19" s="9">
        <v>30</v>
      </c>
    </row>
    <row r="20" spans="1:13" x14ac:dyDescent="0.3">
      <c r="A20" s="6">
        <v>422129</v>
      </c>
      <c r="M20" s="9">
        <v>15</v>
      </c>
    </row>
    <row r="21" spans="1:13" x14ac:dyDescent="0.3">
      <c r="A21" s="6">
        <v>422130</v>
      </c>
      <c r="C21" s="9">
        <v>20</v>
      </c>
    </row>
    <row r="22" spans="1:13" x14ac:dyDescent="0.3">
      <c r="A22" s="6">
        <v>422131</v>
      </c>
      <c r="E22" s="9">
        <v>20</v>
      </c>
      <c r="K22" s="9">
        <v>10</v>
      </c>
    </row>
    <row r="23" spans="1:13" x14ac:dyDescent="0.3">
      <c r="A23" s="6">
        <v>422132</v>
      </c>
    </row>
    <row r="24" spans="1:13" x14ac:dyDescent="0.3">
      <c r="A24" s="6">
        <v>422133</v>
      </c>
      <c r="H24" s="9">
        <v>20</v>
      </c>
    </row>
    <row r="25" spans="1:13" x14ac:dyDescent="0.3">
      <c r="A25" s="6">
        <v>422134</v>
      </c>
      <c r="H25" s="9">
        <v>30</v>
      </c>
      <c r="I25" s="9">
        <v>20</v>
      </c>
    </row>
    <row r="26" spans="1:13" x14ac:dyDescent="0.3">
      <c r="A26" s="6">
        <v>422135</v>
      </c>
      <c r="E26" s="9">
        <v>30</v>
      </c>
      <c r="M26" s="9">
        <v>15</v>
      </c>
    </row>
    <row r="27" spans="1:13" x14ac:dyDescent="0.3">
      <c r="A27" s="6">
        <v>422136</v>
      </c>
    </row>
    <row r="28" spans="1:13" x14ac:dyDescent="0.3">
      <c r="A28" s="6">
        <v>422137</v>
      </c>
      <c r="I28" s="9">
        <v>30</v>
      </c>
      <c r="K28" s="9">
        <v>15</v>
      </c>
    </row>
    <row r="29" spans="1:13" x14ac:dyDescent="0.3">
      <c r="A29" s="6">
        <v>422138</v>
      </c>
      <c r="D29" s="9">
        <v>20</v>
      </c>
    </row>
    <row r="30" spans="1:13" x14ac:dyDescent="0.3">
      <c r="A30" s="6">
        <v>422139</v>
      </c>
      <c r="E30" s="9">
        <v>20</v>
      </c>
      <c r="G30" s="9">
        <v>15</v>
      </c>
    </row>
    <row r="31" spans="1:13" x14ac:dyDescent="0.3">
      <c r="A31" s="6">
        <v>422140</v>
      </c>
      <c r="G31" s="9">
        <v>50</v>
      </c>
      <c r="L31" s="9">
        <v>13</v>
      </c>
    </row>
    <row r="32" spans="1:13" x14ac:dyDescent="0.3">
      <c r="A32" s="6">
        <v>422141</v>
      </c>
      <c r="M32" s="9">
        <v>7</v>
      </c>
    </row>
    <row r="33" spans="1:13" x14ac:dyDescent="0.3">
      <c r="A33" s="6">
        <v>422142</v>
      </c>
      <c r="G33" s="9">
        <v>30</v>
      </c>
    </row>
    <row r="34" spans="1:13" x14ac:dyDescent="0.3">
      <c r="A34" s="6">
        <v>422143</v>
      </c>
      <c r="G34" s="9">
        <v>40</v>
      </c>
      <c r="H34" s="9">
        <v>18</v>
      </c>
    </row>
    <row r="35" spans="1:13" x14ac:dyDescent="0.3">
      <c r="A35" s="6">
        <v>422144</v>
      </c>
      <c r="G35" s="9">
        <v>30</v>
      </c>
      <c r="I35" s="9">
        <v>24</v>
      </c>
    </row>
    <row r="36" spans="1:13" x14ac:dyDescent="0.3">
      <c r="A36" s="6">
        <v>422145</v>
      </c>
      <c r="D36" s="9">
        <v>22</v>
      </c>
    </row>
    <row r="37" spans="1:13" x14ac:dyDescent="0.3">
      <c r="A37" s="6">
        <v>422146</v>
      </c>
      <c r="G37" s="9">
        <v>30</v>
      </c>
      <c r="H37" s="9">
        <v>25</v>
      </c>
      <c r="M37" s="9">
        <v>7</v>
      </c>
    </row>
    <row r="38" spans="1:13" x14ac:dyDescent="0.3">
      <c r="A38" s="6">
        <v>422147</v>
      </c>
      <c r="E38" s="9">
        <v>17</v>
      </c>
      <c r="G38" s="9">
        <v>60</v>
      </c>
      <c r="H38" s="9">
        <v>30</v>
      </c>
    </row>
    <row r="39" spans="1:13" x14ac:dyDescent="0.3">
      <c r="A39" s="6">
        <v>422148</v>
      </c>
      <c r="E39" s="9">
        <v>25</v>
      </c>
      <c r="I39" s="9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3C611-BC55-49A4-A14B-E12D9A773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 Table</vt:lpstr>
      <vt:lpstr>Analysis</vt:lpstr>
      <vt:lpstr>pivot</vt:lpstr>
      <vt:lpstr>Efficiency</vt:lpstr>
      <vt:lpstr>Operator Downtime</vt:lpstr>
      <vt:lpstr>Line productivity</vt:lpstr>
      <vt:lpstr>Products</vt:lpstr>
      <vt:lpstr>Downtime factors</vt:lpstr>
      <vt:lpstr>Line downtime and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Zilphar Mbula</cp:lastModifiedBy>
  <cp:lastPrinted>2024-11-14T23:08:41Z</cp:lastPrinted>
  <dcterms:created xsi:type="dcterms:W3CDTF">2024-08-19T19:52:48Z</dcterms:created>
  <dcterms:modified xsi:type="dcterms:W3CDTF">2024-11-15T01:22:55Z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2024-11-10T14:06:01Z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ecea252b-90c9-4a3d-ae1b-2ed75c14a8f1</vt:lpwstr>
  </property>
  <property fmtid="{D5CDD505-2E9C-101B-9397-08002B2CF9AE}" pid="7" name="MSIP_Label_defa4170-0d19-0005-0004-bc88714345d2_ActionId">
    <vt:lpwstr>4dc27e17-5dc7-4b21-b49c-bb278d4b8b2c</vt:lpwstr>
  </property>
  <property fmtid="{D5CDD505-2E9C-101B-9397-08002B2CF9AE}" pid="8" name="MSIP_Label_defa4170-0d19-0005-0004-bc88714345d2_ContentBits">
    <vt:lpwstr>0</vt:lpwstr>
  </property>
</Properties>
</file>