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92.xml" ContentType="application/vnd.openxmlformats-officedocument.spreadsheetml.worksheet+xml"/>
  <Override PartName="/xl/worksheets/sheet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0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9.xml" ContentType="application/vnd.openxmlformats-officedocument.spreadsheetml.worksheet+xml"/>
  <Override PartName="/xl/worksheets/sheet7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.xml" ContentType="application/vnd.openxmlformats-officedocument.spreadsheetml.worksheet+xml"/>
  <Override PartName="/xl/worksheets/sheet73.xml" ContentType="application/vnd.openxmlformats-officedocument.spreadsheetml.worksheet+xml"/>
  <Override PartName="/xl/worksheets/sheet46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76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5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7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07.xml" ContentType="application/vnd.openxmlformats-officedocument.spreadsheetml.worksheet+xml"/>
  <Override PartName="/xl/worksheets/sheet8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9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8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5.xml" ContentType="application/vnd.openxmlformats-officedocument.spreadsheetml.worksheet+xml"/>
  <Override PartName="/xl/worksheets/sheet91.xml" ContentType="application/vnd.openxmlformats-officedocument.spreadsheetml.worksheet+xml"/>
  <Override PartName="/xl/worksheets/sheet34.xml" ContentType="application/vnd.openxmlformats-officedocument.spreadsheetml.worksheet+xml"/>
  <Override PartName="/xl/worksheets/sheet57.xml" ContentType="application/vnd.openxmlformats-officedocument.spreadsheetml.worksheet+xml"/>
  <Override PartName="/xl/worksheets/sheet59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26.xml" ContentType="application/vnd.openxmlformats-officedocument.spreadsheetml.worksheet+xml"/>
  <Override PartName="/xl/worksheets/sheet83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7.xml" ContentType="application/vnd.openxmlformats-officedocument.spreadsheetml.worksheet+xml"/>
  <Override PartName="/xl/worksheets/sheet60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43.xml" ContentType="application/vnd.openxmlformats-officedocument.spreadsheetml.worksheet+xml"/>
  <Override PartName="/xl/worksheets/sheet8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78.xml" ContentType="application/vnd.openxmlformats-officedocument.spreadsheetml.worksheet+xml"/>
  <Override PartName="/xl/worksheets/sheet66.xml" ContentType="application/vnd.openxmlformats-officedocument.spreadsheetml.worksheet+xml"/>
  <Override PartName="/xl/worksheets/sheet37.xml" ContentType="application/vnd.openxmlformats-officedocument.spreadsheetml.worksheet+xml"/>
  <Override PartName="/xl/worksheets/sheet6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4.xml" ContentType="application/vnd.openxmlformats-officedocument.spreadsheetml.worksheet+xml"/>
  <Override PartName="/xl/worksheets/sheet74.xml" ContentType="application/vnd.openxmlformats-officedocument.spreadsheetml.worksheet+xml"/>
  <Override PartName="/xl/worksheets/sheet94.xml" ContentType="application/vnd.openxmlformats-officedocument.spreadsheetml.worksheet+xml"/>
  <Override PartName="/xl/worksheets/sheet71.xml" ContentType="application/vnd.openxmlformats-officedocument.spreadsheetml.worksheet+xml"/>
  <Override PartName="/xl/worksheets/sheet27.xml" ContentType="application/vnd.openxmlformats-officedocument.spreadsheetml.worksheet+xml"/>
  <Override PartName="/xl/worksheets/sheet81.xml" ContentType="application/vnd.openxmlformats-officedocument.spreadsheetml.worksheet+xml"/>
  <Override PartName="/xl/worksheets/sheet31.xml" ContentType="application/vnd.openxmlformats-officedocument.spreadsheetml.worksheet+xml"/>
  <Override PartName="/xl/worksheets/sheet82.xml" ContentType="application/vnd.openxmlformats-officedocument.spreadsheetml.worksheet+xml"/>
  <Override PartName="/xl/worksheets/sheet22.xml" ContentType="application/vnd.openxmlformats-officedocument.spreadsheetml.worksheet+xml"/>
  <Override PartName="/xl/worksheets/sheet53.xml" ContentType="application/vnd.openxmlformats-officedocument.spreadsheetml.worksheet+xml"/>
  <Override PartName="/xl/worksheets/sheet87.xml" ContentType="application/vnd.openxmlformats-officedocument.spreadsheetml.worksheet+xml"/>
  <Override PartName="/xl/worksheets/sheet58.xml" ContentType="application/vnd.openxmlformats-officedocument.spreadsheetml.worksheet+xml"/>
  <Override PartName="/xl/worksheets/sheet88.xml" ContentType="application/vnd.openxmlformats-officedocument.spreadsheetml.worksheet+xml"/>
  <Override PartName="/xl/worksheets/sheet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8.xml" ContentType="application/vnd.openxmlformats-officedocument.spreadsheetml.worksheet+xml"/>
  <Override PartName="/xl/worksheets/sheet99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96.xml" ContentType="application/vnd.openxmlformats-officedocument.spreadsheetml.worksheet+xml"/>
  <Override PartName="/xl/worksheets/sheet6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16.xml" ContentType="application/vnd.openxmlformats-officedocument.spreadsheetml.worksheet+xml"/>
  <Override PartName="/xl/worksheets/sheet51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61.xml" ContentType="application/vnd.openxmlformats-officedocument.spreadsheetml.worksheet+xml"/>
  <Override PartName="/xl/worksheets/sheet4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90.xml" ContentType="application/vnd.openxmlformats-officedocument.spreadsheetml.worksheet+xml"/>
  <Override PartName="/xl/worksheets/sheet68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3.xml" ContentType="application/vnd.openxmlformats-officedocument.spreadsheetml.worksheet+xml"/>
  <Override PartName="/xl/worksheets/sheet70.xml" ContentType="application/vnd.openxmlformats-officedocument.spreadsheetml.worksheet+xml"/>
  <Override PartName="/xl/worksheets/sheet84.xml" ContentType="application/vnd.openxmlformats-officedocument.spreadsheetml.worksheet+xml"/>
  <Override PartName="/xl/worksheets/sheet7.xml" ContentType="application/vnd.openxmlformats-officedocument.spreadsheetml.worksheet+xml"/>
  <Override PartName="/xl/worksheets/sheet122.xml" ContentType="application/vnd.openxmlformats-officedocument.spreadsheetml.worksheet+xml"/>
  <Override PartName="/xl/worksheets/sheet93.xml" ContentType="application/vnd.openxmlformats-officedocument.spreadsheetml.worksheet+xml"/>
  <Override PartName="/xl/worksheets/sheet145.xml" ContentType="application/vnd.openxmlformats-officedocument.spreadsheetml.worksheet+xml"/>
  <Override PartName="/xl/worksheets/sheet62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24.xml" ContentType="application/vnd.openxmlformats-officedocument.spreadsheetml.worksheet+xml"/>
  <Override PartName="/xl/worksheets/sheet14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0.xml" ContentType="application/vnd.openxmlformats-officedocument.spreadsheetml.worksheet+xml"/>
  <Override PartName="/xl/worksheets/sheet79.xml" ContentType="application/vnd.openxmlformats-officedocument.spreadsheetml.worksheet+xml"/>
  <Override PartName="/xl/worksheets/sheet89.xml" ContentType="application/vnd.openxmlformats-officedocument.spreadsheetml.worksheet+xml"/>
  <Override PartName="/xl/worksheets/sheet113.xml" ContentType="application/vnd.openxmlformats-officedocument.spreadsheetml.worksheet+xml"/>
  <Override PartName="/xl/worksheets/sheet44.xml" ContentType="application/vnd.openxmlformats-officedocument.spreadsheetml.worksheet+xml"/>
  <Override PartName="/xl/worksheets/sheet14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00.xml" ContentType="application/vnd.openxmlformats-officedocument.spreadsheetml.worksheet+xml"/>
  <Override PartName="/xl/worksheets/sheet65.xml" ContentType="application/vnd.openxmlformats-officedocument.spreadsheetml.worksheet+xml"/>
  <Override PartName="/xl/worksheets/sheet75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23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06-03 à 16H" sheetId="1" state="visible" r:id="rId1"/>
    <sheet name="10-03 à 16H" sheetId="2" state="visible" r:id="rId2"/>
    <sheet name="14-03 à 16H" sheetId="3" state="visible" r:id="rId3"/>
    <sheet name="15-03 à 16H" sheetId="4" state="visible" r:id="rId4"/>
    <sheet name="16-03 à 16H" sheetId="5" state="visible" r:id="rId5"/>
    <sheet name="17-03 à 16H" sheetId="6" state="visible" r:id="rId6"/>
    <sheet name="22-03 à 16H " sheetId="7" state="visible" r:id="rId7"/>
    <sheet name="23-03 à 16H  " sheetId="8" state="visible" r:id="rId8"/>
    <sheet name="24-03 à 16H   " sheetId="9" state="visible" r:id="rId9"/>
    <sheet name="27-03 à 16H" sheetId="10" state="visible" r:id="rId10"/>
    <sheet name="28-03 à 16H" sheetId="11" state="visible" r:id="rId11"/>
    <sheet name="29-03  à  16H" sheetId="12" state="visible" r:id="rId12"/>
    <sheet name="30-03  à  16H" sheetId="13" state="visible" r:id="rId13"/>
    <sheet name="31-03  à  16H " sheetId="14" state="visible" r:id="rId14"/>
    <sheet name="07-04  à  16H  " sheetId="15" state="visible" r:id="rId15"/>
    <sheet name="12-04  à  16H" sheetId="16" state="visible" r:id="rId16"/>
    <sheet name="13-04  à  16H" sheetId="17" state="visible" r:id="rId17"/>
    <sheet name="14-04  à  16H" sheetId="18" state="visible" r:id="rId18"/>
    <sheet name="17-04  à  16H" sheetId="19" state="visible" r:id="rId19"/>
    <sheet name="18-04  à  16H" sheetId="20" state="visible" r:id="rId20"/>
    <sheet name="19-04  à  16H" sheetId="21" state="visible" r:id="rId21"/>
    <sheet name="20-04  à  16H" sheetId="22" state="visible" r:id="rId22"/>
    <sheet name="21-04  à  16H" sheetId="23" state="visible" r:id="rId23"/>
    <sheet name="24 - 04  à  16H" sheetId="24" state="visible" r:id="rId24"/>
    <sheet name="25 - 04  à  16H" sheetId="25" state="visible" r:id="rId25"/>
    <sheet name="26 - 04  à  16H" sheetId="26" state="visible" r:id="rId26"/>
    <sheet name="27 - 04  à  16H" sheetId="27" state="visible" r:id="rId27"/>
    <sheet name="28 - 04  à  16H" sheetId="28" state="visible" r:id="rId28"/>
    <sheet name="08- 05  à  16H" sheetId="29" state="visible" r:id="rId29"/>
    <sheet name="12- 05  à  16H" sheetId="30" state="visible" r:id="rId30"/>
    <sheet name="15- 05  à  16H" sheetId="31" state="visible" r:id="rId31"/>
    <sheet name="16- 05  à  16H" sheetId="32" state="visible" r:id="rId32"/>
    <sheet name="17- 05  à  16H" sheetId="33" state="visible" r:id="rId33"/>
    <sheet name="18 - 05  à  16H" sheetId="34" state="visible" r:id="rId34"/>
    <sheet name="19 - 05  à  16H" sheetId="35" state="visible" r:id="rId35"/>
    <sheet name="22 - 05  à  16H             " sheetId="36" state="visible" r:id="rId36"/>
    <sheet name="23 - 05  à  16H            " sheetId="37" state="visible" r:id="rId37"/>
    <sheet name="24 - 05  à  16H            " sheetId="38" state="visible" r:id="rId38"/>
    <sheet name="25 - 05  à  16H             " sheetId="39" state="visible" r:id="rId39"/>
    <sheet name="26 - 05  à  16H             " sheetId="40" state="visible" r:id="rId40"/>
    <sheet name="29 - 05  à  16H             " sheetId="41" state="visible" r:id="rId41"/>
    <sheet name="30 - 05  à  16H            " sheetId="42" state="visible" r:id="rId42"/>
    <sheet name="31 - 05  à  16H             " sheetId="43" state="visible" r:id="rId43"/>
    <sheet name="05 - 06  à  16H              " sheetId="44" state="visible" r:id="rId44"/>
    <sheet name="07 - 06  à  16H             " sheetId="45" state="visible" r:id="rId45"/>
    <sheet name="09 - 06  à  16H             " sheetId="46" state="visible" r:id="rId46"/>
    <sheet name="12 - 06  à  16H             " sheetId="47" state="visible" r:id="rId47"/>
    <sheet name="13 - 06  à  16H             " sheetId="48" state="visible" r:id="rId48"/>
    <sheet name="14 - 06  à  16H             " sheetId="49" state="visible" r:id="rId49"/>
    <sheet name="15 - 06  à  16H             " sheetId="50" state="visible" r:id="rId50"/>
    <sheet name="16 - 06  à  16H             " sheetId="51" state="visible" r:id="rId51"/>
    <sheet name="19 - 06  à  16H             " sheetId="52" state="visible" r:id="rId52"/>
    <sheet name="21 - 06  à  16H             " sheetId="53" state="visible" r:id="rId53"/>
    <sheet name="22 - 06  à  16H             " sheetId="54" state="visible" r:id="rId54"/>
    <sheet name="23 - 06  à  16H             " sheetId="55" state="visible" r:id="rId55"/>
    <sheet name="26 - 06  à  16H             " sheetId="56" state="visible" r:id="rId56"/>
    <sheet name="27 - 06  à  16H          " sheetId="57" state="visible" r:id="rId57"/>
    <sheet name="28 - 06  à  16H    " sheetId="58" state="visible" r:id="rId58"/>
    <sheet name="29 - 06  à  16H     " sheetId="59" state="visible" r:id="rId59"/>
    <sheet name="03 - 07  à  16H      " sheetId="60" state="visible" r:id="rId60"/>
    <sheet name="04 - 07  à  16H        " sheetId="61" state="visible" r:id="rId61"/>
    <sheet name="13 - 07  à  16H         " sheetId="62" state="visible" r:id="rId62"/>
    <sheet name="14 - 07  à  16H          " sheetId="63" state="visible" r:id="rId63"/>
    <sheet name="17 - 07  à  16H           " sheetId="64" state="visible" r:id="rId64"/>
    <sheet name="18 - 07  à  16H            " sheetId="65" state="visible" r:id="rId65"/>
    <sheet name="19 - 07  à  16H             " sheetId="66" state="visible" r:id="rId66"/>
    <sheet name="20 - 07  à  16H             " sheetId="67" state="visible" r:id="rId67"/>
    <sheet name="21 - 07  à  16H             " sheetId="68" state="visible" r:id="rId68"/>
    <sheet name="25 - 07  à  16H            " sheetId="69" state="visible" r:id="rId69"/>
    <sheet name="26 - 07  à  16H            " sheetId="70" state="visible" r:id="rId70"/>
    <sheet name="27 - 07  à  16H             " sheetId="71" state="visible" r:id="rId71"/>
    <sheet name="28 - 07  à  16H             " sheetId="72" state="visible" r:id="rId72"/>
    <sheet name="31 - 07   à   16H            " sheetId="73" state="visible" r:id="rId73"/>
    <sheet name="02- 08   à   16H          " sheetId="74" state="visible" r:id="rId74"/>
    <sheet name="03- 08   à   16H           " sheetId="75" state="visible" r:id="rId75"/>
    <sheet name="04- 08   à   16H            " sheetId="76" state="visible" r:id="rId76"/>
    <sheet name="09- 08   à   16H            " sheetId="77" state="visible" r:id="rId77"/>
    <sheet name="10- 08   à   16H            " sheetId="78" state="visible" r:id="rId78"/>
    <sheet name="11- 08   à   16H            " sheetId="79" state="visible" r:id="rId79"/>
    <sheet name="14- 08   à   16H            " sheetId="80" state="visible" r:id="rId80"/>
    <sheet name="16- 08   à   16H            " sheetId="81" state="visible" r:id="rId81"/>
    <sheet name="17- 08   à   16H           " sheetId="82" state="visible" r:id="rId82"/>
    <sheet name="18- 08   à   16H           " sheetId="83" state="visible" r:id="rId83"/>
    <sheet name="21- 08   à   16H            " sheetId="84" state="visible" r:id="rId84"/>
    <sheet name="25 - 08 - à 16H" sheetId="85" state="visible" r:id="rId85"/>
    <sheet name="29 - 08 - à 16H " sheetId="86" state="visible" r:id="rId86"/>
    <sheet name="31 - 08 - à 16H  " sheetId="87" state="visible" r:id="rId87"/>
    <sheet name="04 - 09 - à 16H   " sheetId="88" state="visible" r:id="rId88"/>
    <sheet name="05 - 09 - à 16H    " sheetId="89" state="visible" r:id="rId89"/>
    <sheet name="06 - 09 - à 16H      " sheetId="90" state="visible" r:id="rId90"/>
    <sheet name="07 - 09 - à 16H       " sheetId="91" state="visible" r:id="rId91"/>
    <sheet name="08 - 09 - à 16H        " sheetId="92" state="visible" r:id="rId92"/>
    <sheet name="11 - 09 - à 16H         " sheetId="93" state="visible" r:id="rId93"/>
    <sheet name="12 - 09 - à 16H           " sheetId="94" state="visible" r:id="rId94"/>
    <sheet name="13 - 09 - à 16H              " sheetId="95" state="visible" r:id="rId95"/>
    <sheet name="14 - 09 - à 16H             " sheetId="96" state="visible" r:id="rId96"/>
    <sheet name="15 - 09 - à 16H              " sheetId="97" state="visible" r:id="rId97"/>
    <sheet name="19 - 09 - à 16H             " sheetId="98" state="visible" r:id="rId98"/>
    <sheet name="21 - 09 - à 16H             " sheetId="99" state="visible" r:id="rId99"/>
    <sheet name="25 - 09 - à 16H             " sheetId="100" state="visible" r:id="rId100"/>
    <sheet name="26 - 09 - à 16H              " sheetId="101" state="visible" r:id="rId101"/>
    <sheet name="28 - 09 - à 16H             " sheetId="102" state="visible" r:id="rId102"/>
    <sheet name="29 - 09 - à 16H              " sheetId="103" state="visible" r:id="rId103"/>
    <sheet name="04 - 10 - à 16H              " sheetId="104" state="visible" r:id="rId104"/>
    <sheet name="05 - 10 - à 16H              " sheetId="105" state="visible" r:id="rId105"/>
    <sheet name="06 - 10 - à 16H              " sheetId="106" state="visible" r:id="rId106"/>
    <sheet name="09 - 10 - à 16H              " sheetId="107" state="visible" r:id="rId107"/>
    <sheet name="13 - 10 - à 16H             " sheetId="108" state="visible" r:id="rId108"/>
    <sheet name="16 - 10 - à 16H              " sheetId="109" state="visible" r:id="rId109"/>
    <sheet name="17 - 10 - à 16H              " sheetId="110" state="visible" r:id="rId110"/>
    <sheet name="18 - 10 - à 16H             " sheetId="111" state="visible" r:id="rId111"/>
    <sheet name="20 - 10 - à 16H              " sheetId="112" state="visible" r:id="rId112"/>
    <sheet name="23 - 10 - à 16H              " sheetId="113" state="visible" r:id="rId113"/>
    <sheet name="24 - 10 - à 16H             " sheetId="114" state="visible" r:id="rId114"/>
    <sheet name="25 - 10 - à 16H            " sheetId="115" state="visible" r:id="rId115"/>
    <sheet name="26 - 10 - à 16H            " sheetId="116" state="visible" r:id="rId116"/>
    <sheet name="29 - 10 - à 16H              " sheetId="117" state="visible" r:id="rId117"/>
    <sheet name="30 - 10 - à 16H               " sheetId="118" state="visible" r:id="rId118"/>
    <sheet name="03 - 11- à 16H              " sheetId="119" state="visible" r:id="rId119"/>
    <sheet name="06 - 11- à 16H               " sheetId="120" state="visible" r:id="rId120"/>
    <sheet name="07 - 11- à 16H               " sheetId="121" state="visible" r:id="rId121"/>
    <sheet name="08 - 11- à 16H               " sheetId="122" state="visible" r:id="rId122"/>
    <sheet name="09 - 11- à 16H              " sheetId="123" state="visible" r:id="rId123"/>
    <sheet name="10 - 11- à 16H              " sheetId="124" state="visible" r:id="rId124"/>
    <sheet name="13 - 11- à 16H              " sheetId="125" state="visible" r:id="rId125"/>
    <sheet name="14 - 11- à 16H              " sheetId="126" state="visible" r:id="rId126"/>
    <sheet name="15 - 11- à 16H               " sheetId="127" state="visible" r:id="rId127"/>
    <sheet name="16  - 11- à 16H               " sheetId="128" state="visible" r:id="rId128"/>
    <sheet name="20 - 11- à 16H               " sheetId="129" state="visible" r:id="rId129"/>
    <sheet name="22 - 11- à 16H               " sheetId="130" state="visible" r:id="rId130"/>
    <sheet name="24 - 11- à 16H               " sheetId="131" state="visible" r:id="rId131"/>
    <sheet name="27 - 11- à 16H               " sheetId="132" state="visible" r:id="rId132"/>
    <sheet name="28 - 11- à 16H              " sheetId="133" state="visible" r:id="rId133"/>
    <sheet name="29 - 11- à 16H              " sheetId="134" state="visible" r:id="rId134"/>
    <sheet name="30 - 11- à 16H               " sheetId="135" state="visible" r:id="rId135"/>
    <sheet name="04 - 12- à 16H     " sheetId="136" state="visible" r:id="rId136"/>
    <sheet name="05 - 12- à 16H       " sheetId="137" state="visible" r:id="rId137"/>
    <sheet name="06 - 12- à 16H         " sheetId="138" state="visible" r:id="rId138"/>
    <sheet name="11 - 12- à 16H           " sheetId="139" state="visible" r:id="rId139"/>
    <sheet name="12 - 12- à 16H             " sheetId="140" state="visible" r:id="rId140"/>
    <sheet name="13 - 12- à 16H                " sheetId="141" state="visible" r:id="rId141"/>
    <sheet name="14 - 12-  à 16H             " sheetId="142" state="visible" r:id="rId142"/>
    <sheet name="15 - 12-  à 16H             " sheetId="143" state="visible" r:id="rId143"/>
    <sheet name="20 - 12-  à 16H             " sheetId="144" state="visible" r:id="rId144"/>
    <sheet name="21- 12-  à 16H              " sheetId="145" state="visible" r:id="rId145"/>
    <sheet name="FEUILLE" sheetId="146" state="visible" r:id="rId146"/>
  </sheets>
  <definedNames>
    <definedName name="_xlnm._FilterDatabase" localSheetId="0" hidden="1">'06-03 à 16H'!$A$2:$S$18</definedName>
    <definedName name="_xlnm._FilterDatabase" localSheetId="1" hidden="1">'10-03 à 16H'!$A$2:$O$18</definedName>
    <definedName name="_xlnm._FilterDatabase" localSheetId="2" hidden="1">'14-03 à 16H'!$A$2:$O$18</definedName>
    <definedName name="_xlnm._FilterDatabase" localSheetId="3" hidden="1">'15-03 à 16H'!$B$2:$W$2</definedName>
    <definedName name="_xlnm._FilterDatabase" localSheetId="4" hidden="1">'16-03 à 16H'!$B$2:$W$18</definedName>
    <definedName name="_xlnm._FilterDatabase" localSheetId="5" hidden="1">'17-03 à 16H'!$B$2:$U$18</definedName>
    <definedName name="_xlnm._FilterDatabase" localSheetId="6" hidden="1">'22-03 à 16H '!$B$2:$U$18</definedName>
    <definedName name="_xlnm._FilterDatabase" localSheetId="7" hidden="1">'23-03 à 16H  '!$B$2:$U$18</definedName>
    <definedName name="_xlnm._FilterDatabase" localSheetId="8" hidden="1">'24-03 à 16H   '!$B$2:$U$18</definedName>
    <definedName name="_xlnm._FilterDatabase" localSheetId="9" hidden="1">'27-03 à 16H'!$B$2:$U$18</definedName>
    <definedName name="_xlnm._FilterDatabase" localSheetId="10" hidden="1">'28-03 à 16H'!$B$2:$U$18</definedName>
    <definedName name="_xlnm._FilterDatabase" localSheetId="11" hidden="1">'29-03  à  16H'!$B$2:$U$18</definedName>
    <definedName name="_xlnm._FilterDatabase" localSheetId="12" hidden="1">'30-03  à  16H'!$B$2:$U$18</definedName>
    <definedName name="_xlnm._FilterDatabase" localSheetId="13" hidden="1">'31-03  à  16H '!$B$2:$U$18</definedName>
    <definedName name="_xlnm._FilterDatabase" localSheetId="14" hidden="1">'07-04  à  16H  '!$B$2:$U$18</definedName>
    <definedName name="_xlnm._FilterDatabase" localSheetId="15" hidden="1">'12-04  à  16H'!$B$2:$U$18</definedName>
    <definedName name="_xlnm._FilterDatabase" localSheetId="16" hidden="1">'13-04  à  16H'!$B$2:$U$18</definedName>
    <definedName name="_xlnm._FilterDatabase" localSheetId="17" hidden="1">'14-04  à  16H'!$B$2:$U$18</definedName>
    <definedName name="_xlnm._FilterDatabase" localSheetId="18" hidden="1">'17-04  à  16H'!$B$2:$U$18</definedName>
    <definedName name="_xlnm._FilterDatabase" localSheetId="19" hidden="1">'18-04  à  16H'!$B$2:$U$18</definedName>
    <definedName name="_xlnm._FilterDatabase" localSheetId="20" hidden="1">'19-04  à  16H'!$B$2:$U$18</definedName>
    <definedName name="_xlnm._FilterDatabase" localSheetId="21" hidden="1">'20-04  à  16H'!$B$2:$U$18</definedName>
    <definedName name="_xlnm._FilterDatabase" localSheetId="22" hidden="1">'21-04  à  16H'!$B$2:$U$18</definedName>
    <definedName name="_xlnm._FilterDatabase" localSheetId="23" hidden="1">'24 - 04  à  16H'!$B$2:$U$18</definedName>
    <definedName name="_xlnm._FilterDatabase" localSheetId="24" hidden="1">'25 - 04  à  16H'!$B$2:$U$18</definedName>
    <definedName name="_xlnm._FilterDatabase" localSheetId="25" hidden="1">'26 - 04  à  16H'!$B$2:$U$18</definedName>
    <definedName name="_xlnm._FilterDatabase" localSheetId="26" hidden="1">'27 - 04  à  16H'!$B$2:$U$18</definedName>
    <definedName name="_xlnm._FilterDatabase" localSheetId="27" hidden="1">'28 - 04  à  16H'!$B$2:$U$18</definedName>
    <definedName name="_xlnm._FilterDatabase" localSheetId="28" hidden="1">'08- 05  à  16H'!$B$2:$U$18</definedName>
    <definedName name="_xlnm._FilterDatabase" localSheetId="29" hidden="1">'12- 05  à  16H'!$B$2:$U$18</definedName>
    <definedName name="_xlnm._FilterDatabase" localSheetId="30" hidden="1">'15- 05  à  16H'!$B$2:$U$18</definedName>
    <definedName name="_xlnm._FilterDatabase" localSheetId="31" hidden="1">'16- 05  à  16H'!$B$2:$U$18</definedName>
    <definedName name="_xlnm._FilterDatabase" localSheetId="32" hidden="1">'17- 05  à  16H'!$B$2:$U$18</definedName>
    <definedName name="_xlnm._FilterDatabase" localSheetId="33" hidden="1">'18 - 05  à  16H'!$B$2:$U$18</definedName>
    <definedName name="_xlnm._FilterDatabase" localSheetId="34" hidden="1">'19 - 05  à  16H'!$B$2:$U$18</definedName>
    <definedName name="_xlnm._FilterDatabase" localSheetId="35" hidden="1">'22 - 05  à  16H             '!$B$2:$U$18</definedName>
    <definedName name="_xlnm._FilterDatabase" localSheetId="36" hidden="1">'23 - 05  à  16H            '!$B$2:$U$18</definedName>
    <definedName name="_xlnm._FilterDatabase" localSheetId="37" hidden="1">'24 - 05  à  16H            '!$B$2:$U$18</definedName>
    <definedName name="_xlnm._FilterDatabase" localSheetId="38" hidden="1">'25 - 05  à  16H             '!$B$2:$U$18</definedName>
    <definedName name="_xlnm._FilterDatabase" localSheetId="39" hidden="1">'26 - 05  à  16H             '!$B$2:$U$18</definedName>
    <definedName name="_xlnm._FilterDatabase" localSheetId="40" hidden="1">'29 - 05  à  16H             '!$B$2:$U$18</definedName>
    <definedName name="_xlnm._FilterDatabase" localSheetId="41" hidden="1">'30 - 05  à  16H            '!$B$2:$U$18</definedName>
    <definedName name="_xlnm._FilterDatabase" localSheetId="42" hidden="1">'31 - 05  à  16H             '!$B$2:$U$18</definedName>
    <definedName name="_xlnm._FilterDatabase" localSheetId="43" hidden="1">'05 - 06  à  16H              '!$B$2:$U$18</definedName>
    <definedName name="_xlnm._FilterDatabase" localSheetId="44" hidden="1">'07 - 06  à  16H             '!$B$2:$U$18</definedName>
    <definedName name="_xlnm._FilterDatabase" localSheetId="45" hidden="1">'09 - 06  à  16H             '!$B$2:$U$19</definedName>
    <definedName name="_xlnm._FilterDatabase" localSheetId="46" hidden="1">'12 - 06  à  16H             '!$B$2:$U$19</definedName>
    <definedName name="_xlnm._FilterDatabase" localSheetId="47" hidden="1">'13 - 06  à  16H             '!$B$2:$U$19</definedName>
    <definedName name="_xlnm._FilterDatabase" localSheetId="48" hidden="1">'14 - 06  à  16H             '!$B$2:$U$19</definedName>
    <definedName name="_xlnm._FilterDatabase" localSheetId="49" hidden="1">'15 - 06  à  16H             '!$B$2:$U$19</definedName>
    <definedName name="_xlnm._FilterDatabase" localSheetId="50" hidden="1">'16 - 06  à  16H             '!$B$2:$U$19</definedName>
    <definedName name="_xlnm._FilterDatabase" localSheetId="51" hidden="1">'19 - 06  à  16H             '!$B$2:$U$19</definedName>
    <definedName name="_xlnm._FilterDatabase" localSheetId="52" hidden="1">'21 - 06  à  16H             '!$B$2:$U$19</definedName>
    <definedName name="_xlnm._FilterDatabase" localSheetId="53" hidden="1">'22 - 06  à  16H             '!$B$2:$U$19</definedName>
    <definedName name="_xlnm._FilterDatabase" localSheetId="54" hidden="1">'23 - 06  à  16H             '!$B$2:$U$19</definedName>
    <definedName name="_xlnm._FilterDatabase" localSheetId="55" hidden="1">'26 - 06  à  16H             '!$B$2:$U$19</definedName>
    <definedName name="_xlnm._FilterDatabase" localSheetId="56" hidden="1">'27 - 06  à  16H          '!$B$2:$U$19</definedName>
    <definedName name="_xlnm._FilterDatabase" localSheetId="57" hidden="1">'28 - 06  à  16H    '!$B$2:$U$19</definedName>
    <definedName name="_xlnm._FilterDatabase" localSheetId="58" hidden="1">'29 - 06  à  16H     '!$B$2:$U$19</definedName>
    <definedName name="_xlnm._FilterDatabase" localSheetId="59" hidden="1">'03 - 07  à  16H      '!$B$2:$U$19</definedName>
    <definedName name="_xlnm._FilterDatabase" localSheetId="60" hidden="1">'04 - 07  à  16H        '!$B$2:$U$19</definedName>
    <definedName name="_xlnm._FilterDatabase" localSheetId="61" hidden="1">'13 - 07  à  16H         '!$B$2:$U$19</definedName>
    <definedName name="_xlnm._FilterDatabase" localSheetId="62" hidden="1">'14 - 07  à  16H          '!$B$2:$U$19</definedName>
    <definedName name="_xlnm._FilterDatabase" localSheetId="63" hidden="1">'17 - 07  à  16H           '!$B$2:$U$19</definedName>
    <definedName name="_xlnm._FilterDatabase" localSheetId="64" hidden="1">'18 - 07  à  16H            '!$B$2:$U$19</definedName>
    <definedName name="_xlnm._FilterDatabase" localSheetId="65" hidden="1">'19 - 07  à  16H             '!$B$2:$U$19</definedName>
    <definedName name="_xlnm._FilterDatabase" localSheetId="66" hidden="1">'20 - 07  à  16H             '!$B$2:$U$19</definedName>
    <definedName name="_xlnm._FilterDatabase" localSheetId="67" hidden="1">'21 - 07  à  16H             '!$B$2:$U$19</definedName>
    <definedName name="_xlnm._FilterDatabase" localSheetId="68" hidden="1">'25 - 07  à  16H            '!$B$2:$U$19</definedName>
    <definedName name="_xlnm._FilterDatabase" localSheetId="69" hidden="1">'26 - 07  à  16H            '!$B$2:$U$19</definedName>
    <definedName name="_xlnm._FilterDatabase" localSheetId="70" hidden="1">'27 - 07  à  16H             '!$B$2:$U$19</definedName>
    <definedName name="_xlnm._FilterDatabase" localSheetId="71" hidden="1">'28 - 07  à  16H             '!$B$2:$U$19</definedName>
    <definedName name="_xlnm._FilterDatabase" localSheetId="72" hidden="1">'31 - 07   à   16H            '!$B$2:$U$21</definedName>
    <definedName name="_xlnm._FilterDatabase" localSheetId="73" hidden="1">'02- 08   à   16H          '!$B$2:$U$21</definedName>
    <definedName name="_xlnm._FilterDatabase" localSheetId="74" hidden="1">'03- 08   à   16H           '!$B$2:$U$21</definedName>
    <definedName name="_xlnm._FilterDatabase" localSheetId="75" hidden="1">'04- 08   à   16H            '!$B$2:$U$21</definedName>
    <definedName name="_xlnm._FilterDatabase" localSheetId="76" hidden="1">'09- 08   à   16H            '!$B$2:$U$21</definedName>
    <definedName name="_xlnm._FilterDatabase" localSheetId="77" hidden="1">'10- 08   à   16H            '!$B$2:$U$21</definedName>
    <definedName name="_xlnm._FilterDatabase" localSheetId="78" hidden="1">'11- 08   à   16H            '!$B$2:$U$21</definedName>
    <definedName name="_xlnm._FilterDatabase" localSheetId="79" hidden="1">'14- 08   à   16H            '!$B$2:$U$21</definedName>
    <definedName name="_xlnm._FilterDatabase" localSheetId="80" hidden="1">'16- 08   à   16H            '!$B$2:$U$21</definedName>
    <definedName name="_xlnm._FilterDatabase" localSheetId="81" hidden="1">'17- 08   à   16H           '!$B$2:$U$21</definedName>
    <definedName name="_xlnm._FilterDatabase" localSheetId="82" hidden="1">'18- 08   à   16H           '!$B$2:$U$21</definedName>
    <definedName name="_xlnm._FilterDatabase" localSheetId="83" hidden="1">'21- 08   à   16H            '!$B$2:$U$21</definedName>
    <definedName name="_xlnm._FilterDatabase" localSheetId="84" hidden="1">'25 - 08 - à 16H'!$B$2:$U$21</definedName>
    <definedName name="_xlnm._FilterDatabase" localSheetId="85" hidden="1">'29 - 08 - à 16H '!$B$2:$U$21</definedName>
    <definedName name="_xlnm._FilterDatabase" localSheetId="86" hidden="1">'31 - 08 - à 16H  '!$B$2:$U$21</definedName>
    <definedName name="_xlnm._FilterDatabase" localSheetId="87" hidden="1">'04 - 09 - à 16H   '!$B$2:$U$21</definedName>
    <definedName name="_xlnm._FilterDatabase" localSheetId="88" hidden="1">'05 - 09 - à 16H    '!$B$2:$U$21</definedName>
    <definedName name="_xlnm._FilterDatabase" localSheetId="89" hidden="1">'06 - 09 - à 16H      '!$B$2:$U$21</definedName>
    <definedName name="_xlnm._FilterDatabase" localSheetId="90" hidden="1">'07 - 09 - à 16H       '!$B$2:$U$21</definedName>
    <definedName name="_xlnm._FilterDatabase" localSheetId="91" hidden="1">'08 - 09 - à 16H        '!$B$2:$U$21</definedName>
    <definedName name="_xlnm._FilterDatabase" localSheetId="92" hidden="1">'11 - 09 - à 16H         '!$B$2:$U$21</definedName>
    <definedName name="_xlnm._FilterDatabase" localSheetId="93" hidden="1">'12 - 09 - à 16H           '!$B$2:$U$21</definedName>
    <definedName name="_xlnm._FilterDatabase" localSheetId="94" hidden="1">'13 - 09 - à 16H              '!$B$2:$U$21</definedName>
    <definedName name="_xlnm._FilterDatabase" localSheetId="95" hidden="1">'14 - 09 - à 16H             '!$B$2:$U$21</definedName>
    <definedName name="_xlnm._FilterDatabase" localSheetId="96" hidden="1">'15 - 09 - à 16H              '!$B$2:$U$21</definedName>
    <definedName name="_xlnm._FilterDatabase" localSheetId="97" hidden="1">'19 - 09 - à 16H             '!$B$2:$U$21</definedName>
    <definedName name="_xlnm._FilterDatabase" localSheetId="98" hidden="1">'21 - 09 - à 16H             '!$B$2:$U$21</definedName>
    <definedName name="_xlnm._FilterDatabase" localSheetId="99" hidden="1">'25 - 09 - à 16H             '!$B$2:$U$21</definedName>
    <definedName name="_xlnm._FilterDatabase" localSheetId="100" hidden="1">'26 - 09 - à 16H              '!$B$2:$U$21</definedName>
    <definedName name="_xlnm._FilterDatabase" localSheetId="101" hidden="1">'28 - 09 - à 16H             '!$B$2:$U$21</definedName>
    <definedName name="_xlnm._FilterDatabase" localSheetId="102" hidden="1">'29 - 09 - à 16H              '!$B$2:$U$21</definedName>
    <definedName name="_xlnm._FilterDatabase" localSheetId="103" hidden="1">'04 - 10 - à 16H              '!$B$2:$U$21</definedName>
    <definedName name="_xlnm._FilterDatabase" localSheetId="104" hidden="1">'05 - 10 - à 16H              '!$B$2:$U$21</definedName>
    <definedName name="_xlnm._FilterDatabase" localSheetId="105" hidden="1">'06 - 10 - à 16H              '!$B$2:$U$21</definedName>
    <definedName name="_xlnm._FilterDatabase" localSheetId="106" hidden="1">'09 - 10 - à 16H              '!$B$2:$U$21</definedName>
    <definedName name="_xlnm._FilterDatabase" localSheetId="107" hidden="1">'13 - 10 - à 16H             '!$B$2:$U$21</definedName>
    <definedName name="_xlnm._FilterDatabase" localSheetId="108" hidden="1">'16 - 10 - à 16H              '!$B$2:$U$21</definedName>
    <definedName name="_xlnm._FilterDatabase" localSheetId="109" hidden="1">'17 - 10 - à 16H              '!$B$2:$U$21</definedName>
    <definedName name="_xlnm._FilterDatabase" localSheetId="110" hidden="1">'18 - 10 - à 16H             '!$B$2:$U$21</definedName>
    <definedName name="_xlnm._FilterDatabase" localSheetId="111" hidden="1">'20 - 10 - à 16H              '!$B$2:$U$21</definedName>
    <definedName name="_xlnm._FilterDatabase" localSheetId="112" hidden="1">'23 - 10 - à 16H              '!$B$2:$U$21</definedName>
    <definedName name="_xlnm._FilterDatabase" localSheetId="113" hidden="1">'24 - 10 - à 16H             '!$B$2:$U$21</definedName>
    <definedName name="_xlnm._FilterDatabase" localSheetId="114" hidden="1">'25 - 10 - à 16H            '!$B$2:$U$21</definedName>
    <definedName name="_xlnm._FilterDatabase" localSheetId="115" hidden="1">'26 - 10 - à 16H            '!$B$2:$U$21</definedName>
    <definedName name="_xlnm._FilterDatabase" localSheetId="116" hidden="1">'29 - 10 - à 16H              '!$B$2:$U$36</definedName>
    <definedName name="_xlnm._FilterDatabase" localSheetId="117" hidden="1">'30 - 10 - à 16H               '!$B$2:$U$36</definedName>
    <definedName name="_xlnm._FilterDatabase" localSheetId="118" hidden="1">'03 - 11- à 16H              '!$B$2:$U$35</definedName>
    <definedName name="_xlnm._FilterDatabase" localSheetId="119" hidden="1">'06 - 11- à 16H               '!$B$2:$U$35</definedName>
    <definedName name="_xlnm._FilterDatabase" localSheetId="120" hidden="1">'07 - 11- à 16H               '!$B$2:$U$35</definedName>
    <definedName name="_xlnm._FilterDatabase" localSheetId="121" hidden="1">'08 - 11- à 16H               '!$B$2:$U$35</definedName>
    <definedName name="_xlnm._FilterDatabase" localSheetId="122" hidden="1">'09 - 11- à 16H              '!$B$2:$U$35</definedName>
    <definedName name="_xlnm._FilterDatabase" localSheetId="123" hidden="1">'10 - 11- à 16H              '!$B$2:$U$35</definedName>
    <definedName name="_xlnm._FilterDatabase" localSheetId="124" hidden="1">'13 - 11- à 16H              '!$B$2:$U$35</definedName>
    <definedName name="_xlnm._FilterDatabase" localSheetId="125" hidden="1">'14 - 11- à 16H              '!$B$2:$U$35</definedName>
    <definedName name="_xlnm._FilterDatabase" localSheetId="126" hidden="1">'15 - 11- à 16H               '!$B$2:$U$29</definedName>
    <definedName name="_xlnm._FilterDatabase" localSheetId="127" hidden="1">'16  - 11- à 16H               '!$B$2:$U$29</definedName>
    <definedName name="_xlnm._FilterDatabase" localSheetId="128" hidden="1">'20 - 11- à 16H               '!$B$2:$U$29</definedName>
    <definedName name="_xlnm._FilterDatabase" localSheetId="129" hidden="1">'22 - 11- à 16H               '!$B$2:$U$29</definedName>
    <definedName name="_xlnm._FilterDatabase" localSheetId="130" hidden="1">'24 - 11- à 16H               '!$B$2:$U$29</definedName>
    <definedName name="_xlnm._FilterDatabase" localSheetId="131" hidden="1">'27 - 11- à 16H               '!$B$2:$U$29</definedName>
    <definedName name="_xlnm._FilterDatabase" localSheetId="132" hidden="1">'28 - 11- à 16H              '!$B$2:$U$29</definedName>
    <definedName name="_xlnm._FilterDatabase" localSheetId="133" hidden="1">'29 - 11- à 16H              '!$B$2:$U$29</definedName>
    <definedName name="_xlnm._FilterDatabase" localSheetId="134" hidden="1">'30 - 11- à 16H               '!$B$2:$U$29</definedName>
    <definedName name="_xlnm._FilterDatabase" localSheetId="135" hidden="1">'04 - 12- à 16H     '!$B$2:$U$29</definedName>
    <definedName name="_xlnm._FilterDatabase" localSheetId="136" hidden="1">'05 - 12- à 16H       '!$B$2:$U$29</definedName>
    <definedName name="_xlnm._FilterDatabase" localSheetId="137" hidden="1">'06 - 12- à 16H         '!$B$2:$U$29</definedName>
    <definedName name="_xlnm._FilterDatabase" localSheetId="138" hidden="1">'11 - 12- à 16H           '!$B$2:$U$29</definedName>
    <definedName name="_xlnm._FilterDatabase" localSheetId="139" hidden="1">'12 - 12- à 16H             '!$B$2:$U$29</definedName>
    <definedName name="_xlnm._FilterDatabase" localSheetId="140" hidden="1">'13 - 12- à 16H                '!$B$2:$U$29</definedName>
    <definedName name="_xlnm._FilterDatabase" localSheetId="141" hidden="1">'14 - 12-  à 16H             '!$B$2:$U$29</definedName>
    <definedName name="_xlnm._FilterDatabase" localSheetId="142" hidden="1">'15 - 12-  à 16H             '!$B$2:$U$29</definedName>
    <definedName name="_xlnm._FilterDatabase" localSheetId="143" hidden="1">'20 - 12-  à 16H             '!$B$2:$U$29</definedName>
    <definedName name="_xlnm._FilterDatabase" localSheetId="144" hidden="1">'21- 12-  à 16H              '!$B$2:$U$21</definedName>
    <definedName name="_xlnm._FilterDatabase" localSheetId="0" hidden="1">'06-03 à 16H'!$A$2:$S$18</definedName>
    <definedName name="_xlnm._FilterDatabase" localSheetId="1" hidden="1">'10-03 à 16H'!$A$2:$O$18</definedName>
    <definedName name="_xlnm._FilterDatabase" localSheetId="2" hidden="1">'14-03 à 16H'!$A$2:$O$18</definedName>
    <definedName name="_xlnm._FilterDatabase" localSheetId="3" hidden="1">'15-03 à 16H'!$B$2:$W$2</definedName>
    <definedName name="_xlnm._FilterDatabase" localSheetId="4" hidden="1">'16-03 à 16H'!$B$2:$W$18</definedName>
    <definedName name="_xlnm._FilterDatabase" localSheetId="5" hidden="1">'17-03 à 16H'!$B$2:$U$18</definedName>
    <definedName name="_xlnm._FilterDatabase" localSheetId="6" hidden="1">'22-03 à 16H '!$B$2:$U$18</definedName>
    <definedName name="_xlnm._FilterDatabase" localSheetId="7" hidden="1">'23-03 à 16H  '!$B$2:$U$18</definedName>
    <definedName name="_xlnm._FilterDatabase" localSheetId="8" hidden="1">'24-03 à 16H   '!$B$2:$U$18</definedName>
    <definedName name="_xlnm._FilterDatabase" localSheetId="9" hidden="1">'27-03 à 16H'!$B$2:$U$18</definedName>
    <definedName name="_xlnm._FilterDatabase" localSheetId="10" hidden="1">'28-03 à 16H'!$B$2:$U$18</definedName>
    <definedName name="_xlnm._FilterDatabase" localSheetId="11" hidden="1">'29-03  à  16H'!$B$2:$U$18</definedName>
    <definedName name="_xlnm._FilterDatabase" localSheetId="12" hidden="1">'30-03  à  16H'!$B$2:$U$18</definedName>
    <definedName name="_xlnm._FilterDatabase" localSheetId="13" hidden="1">'31-03  à  16H '!$B$2:$U$18</definedName>
    <definedName name="_xlnm._FilterDatabase" localSheetId="14" hidden="1">'07-04  à  16H  '!$B$2:$U$18</definedName>
    <definedName name="_xlnm._FilterDatabase" localSheetId="15" hidden="1">'12-04  à  16H'!$B$2:$U$18</definedName>
    <definedName name="_xlnm._FilterDatabase" localSheetId="16" hidden="1">'13-04  à  16H'!$B$2:$U$18</definedName>
    <definedName name="_xlnm._FilterDatabase" localSheetId="17" hidden="1">'14-04  à  16H'!$B$2:$U$18</definedName>
    <definedName name="_xlnm._FilterDatabase" localSheetId="18" hidden="1">'17-04  à  16H'!$B$2:$U$18</definedName>
    <definedName name="_xlnm._FilterDatabase" localSheetId="19" hidden="1">'18-04  à  16H'!$B$2:$U$18</definedName>
    <definedName name="_xlnm._FilterDatabase" localSheetId="20" hidden="1">'19-04  à  16H'!$B$2:$U$18</definedName>
    <definedName name="_xlnm._FilterDatabase" localSheetId="21" hidden="1">'20-04  à  16H'!$B$2:$U$18</definedName>
    <definedName name="_xlnm._FilterDatabase" localSheetId="22" hidden="1">'21-04  à  16H'!$B$2:$U$18</definedName>
    <definedName name="_xlnm._FilterDatabase" localSheetId="23" hidden="1">'24 - 04  à  16H'!$B$2:$U$18</definedName>
    <definedName name="_xlnm._FilterDatabase" localSheetId="24" hidden="1">'25 - 04  à  16H'!$B$2:$U$18</definedName>
    <definedName name="_xlnm._FilterDatabase" localSheetId="25" hidden="1">'26 - 04  à  16H'!$B$2:$U$18</definedName>
    <definedName name="_xlnm._FilterDatabase" localSheetId="26" hidden="1">'27 - 04  à  16H'!$B$2:$U$18</definedName>
    <definedName name="_xlnm._FilterDatabase" localSheetId="27" hidden="1">'28 - 04  à  16H'!$B$2:$U$18</definedName>
    <definedName name="_xlnm._FilterDatabase" localSheetId="28" hidden="1">'08- 05  à  16H'!$B$2:$U$18</definedName>
    <definedName name="_xlnm._FilterDatabase" localSheetId="29" hidden="1">'12- 05  à  16H'!$B$2:$U$18</definedName>
    <definedName name="_xlnm._FilterDatabase" localSheetId="30" hidden="1">'15- 05  à  16H'!$B$2:$U$18</definedName>
    <definedName name="_xlnm._FilterDatabase" localSheetId="31" hidden="1">'16- 05  à  16H'!$B$2:$U$18</definedName>
    <definedName name="_xlnm._FilterDatabase" localSheetId="32" hidden="1">'17- 05  à  16H'!$B$2:$U$18</definedName>
    <definedName name="_xlnm._FilterDatabase" localSheetId="33" hidden="1">'18 - 05  à  16H'!$B$2:$U$18</definedName>
    <definedName name="_xlnm._FilterDatabase" localSheetId="34" hidden="1">'19 - 05  à  16H'!$B$2:$U$18</definedName>
    <definedName name="_xlnm._FilterDatabase" localSheetId="35" hidden="1">'22 - 05  à  16H             '!$B$2:$U$18</definedName>
    <definedName name="_xlnm._FilterDatabase" localSheetId="36" hidden="1">'23 - 05  à  16H            '!$B$2:$U$18</definedName>
    <definedName name="_xlnm._FilterDatabase" localSheetId="37" hidden="1">'24 - 05  à  16H            '!$B$2:$U$18</definedName>
    <definedName name="_xlnm._FilterDatabase" localSheetId="38" hidden="1">'25 - 05  à  16H             '!$B$2:$U$18</definedName>
    <definedName name="_xlnm._FilterDatabase" localSheetId="39" hidden="1">'26 - 05  à  16H             '!$B$2:$U$18</definedName>
    <definedName name="_xlnm._FilterDatabase" localSheetId="40" hidden="1">'29 - 05  à  16H             '!$B$2:$U$18</definedName>
    <definedName name="_xlnm._FilterDatabase" localSheetId="41" hidden="1">'30 - 05  à  16H            '!$B$2:$U$18</definedName>
    <definedName name="_xlnm._FilterDatabase" localSheetId="42" hidden="1">'31 - 05  à  16H             '!$B$2:$U$18</definedName>
    <definedName name="_xlnm._FilterDatabase" localSheetId="43" hidden="1">'05 - 06  à  16H              '!$B$2:$U$18</definedName>
    <definedName name="_xlnm._FilterDatabase" localSheetId="44" hidden="1">'07 - 06  à  16H             '!$B$2:$U$18</definedName>
    <definedName name="_xlnm._FilterDatabase" localSheetId="45" hidden="1">'09 - 06  à  16H             '!$B$2:$U$19</definedName>
    <definedName name="_xlnm._FilterDatabase" localSheetId="46" hidden="1">'12 - 06  à  16H             '!$B$2:$U$19</definedName>
    <definedName name="_xlnm._FilterDatabase" localSheetId="47" hidden="1">'13 - 06  à  16H             '!$B$2:$U$19</definedName>
    <definedName name="_xlnm._FilterDatabase" localSheetId="48" hidden="1">'14 - 06  à  16H             '!$B$2:$U$19</definedName>
    <definedName name="_xlnm._FilterDatabase" localSheetId="49" hidden="1">'15 - 06  à  16H             '!$B$2:$U$19</definedName>
    <definedName name="_xlnm._FilterDatabase" localSheetId="50" hidden="1">'16 - 06  à  16H             '!$B$2:$U$19</definedName>
    <definedName name="_xlnm._FilterDatabase" localSheetId="51" hidden="1">'19 - 06  à  16H             '!$B$2:$U$19</definedName>
    <definedName name="_xlnm._FilterDatabase" localSheetId="52" hidden="1">'21 - 06  à  16H             '!$B$2:$U$19</definedName>
    <definedName name="_xlnm._FilterDatabase" localSheetId="53" hidden="1">'22 - 06  à  16H             '!$B$2:$U$19</definedName>
    <definedName name="_xlnm._FilterDatabase" localSheetId="54" hidden="1">'23 - 06  à  16H             '!$B$2:$U$19</definedName>
    <definedName name="_xlnm._FilterDatabase" localSheetId="55" hidden="1">'26 - 06  à  16H             '!$B$2:$U$19</definedName>
    <definedName name="_xlnm._FilterDatabase" localSheetId="56" hidden="1">'27 - 06  à  16H          '!$B$2:$U$19</definedName>
    <definedName name="_xlnm._FilterDatabase" localSheetId="57" hidden="1">'28 - 06  à  16H    '!$B$2:$U$19</definedName>
    <definedName name="_xlnm._FilterDatabase" localSheetId="58" hidden="1">'29 - 06  à  16H     '!$B$2:$U$19</definedName>
    <definedName name="_xlnm._FilterDatabase" localSheetId="59" hidden="1">'03 - 07  à  16H      '!$B$2:$U$19</definedName>
    <definedName name="_xlnm._FilterDatabase" localSheetId="60" hidden="1">'04 - 07  à  16H        '!$B$2:$U$19</definedName>
    <definedName name="_xlnm._FilterDatabase" localSheetId="61" hidden="1">'13 - 07  à  16H         '!$B$2:$U$19</definedName>
    <definedName name="_xlnm._FilterDatabase" localSheetId="62" hidden="1">'14 - 07  à  16H          '!$B$2:$U$19</definedName>
    <definedName name="_xlnm._FilterDatabase" localSheetId="63" hidden="1">'17 - 07  à  16H           '!$B$2:$U$19</definedName>
    <definedName name="_xlnm._FilterDatabase" localSheetId="64" hidden="1">'18 - 07  à  16H            '!$B$2:$U$19</definedName>
    <definedName name="_xlnm._FilterDatabase" localSheetId="65" hidden="1">'19 - 07  à  16H             '!$B$2:$U$19</definedName>
    <definedName name="_xlnm._FilterDatabase" localSheetId="66" hidden="1">'20 - 07  à  16H             '!$B$2:$U$19</definedName>
    <definedName name="_xlnm._FilterDatabase" localSheetId="67" hidden="1">'21 - 07  à  16H             '!$B$2:$U$19</definedName>
    <definedName name="_xlnm._FilterDatabase" localSheetId="68" hidden="1">'25 - 07  à  16H            '!$B$2:$U$19</definedName>
    <definedName name="_xlnm._FilterDatabase" localSheetId="69" hidden="1">'26 - 07  à  16H            '!$B$2:$U$19</definedName>
    <definedName name="_xlnm._FilterDatabase" localSheetId="70" hidden="1">'27 - 07  à  16H             '!$B$2:$U$19</definedName>
    <definedName name="_xlnm._FilterDatabase" localSheetId="71" hidden="1">'28 - 07  à  16H             '!$B$2:$U$19</definedName>
    <definedName name="_xlnm._FilterDatabase" localSheetId="72" hidden="1">'31 - 07   à   16H            '!$B$2:$U$21</definedName>
    <definedName name="_xlnm._FilterDatabase" localSheetId="73" hidden="1">'02- 08   à   16H          '!$B$2:$U$21</definedName>
    <definedName name="_xlnm._FilterDatabase" localSheetId="74" hidden="1">'03- 08   à   16H           '!$B$2:$U$21</definedName>
    <definedName name="_xlnm._FilterDatabase" localSheetId="75" hidden="1">'04- 08   à   16H            '!$B$2:$U$21</definedName>
    <definedName name="_xlnm._FilterDatabase" localSheetId="76" hidden="1">'09- 08   à   16H            '!$B$2:$U$21</definedName>
    <definedName name="_xlnm._FilterDatabase" localSheetId="77" hidden="1">'10- 08   à   16H            '!$B$2:$U$21</definedName>
    <definedName name="_xlnm._FilterDatabase" localSheetId="78" hidden="1">'11- 08   à   16H            '!$B$2:$U$21</definedName>
    <definedName name="_xlnm._FilterDatabase" localSheetId="79" hidden="1">'14- 08   à   16H            '!$B$2:$U$21</definedName>
    <definedName name="_xlnm._FilterDatabase" localSheetId="80" hidden="1">'16- 08   à   16H            '!$B$2:$U$21</definedName>
    <definedName name="_xlnm._FilterDatabase" localSheetId="81" hidden="1">'17- 08   à   16H           '!$B$2:$U$21</definedName>
    <definedName name="_xlnm._FilterDatabase" localSheetId="82" hidden="1">'18- 08   à   16H           '!$B$2:$U$21</definedName>
    <definedName name="_xlnm._FilterDatabase" localSheetId="83" hidden="1">'21- 08   à   16H            '!$B$2:$U$21</definedName>
    <definedName name="_xlnm._FilterDatabase" localSheetId="84" hidden="1">'25 - 08 - à 16H'!$B$2:$U$21</definedName>
    <definedName name="_xlnm._FilterDatabase" localSheetId="85" hidden="1">'29 - 08 - à 16H '!$B$2:$U$21</definedName>
    <definedName name="_xlnm._FilterDatabase" localSheetId="86" hidden="1">'31 - 08 - à 16H  '!$B$2:$U$21</definedName>
    <definedName name="_xlnm._FilterDatabase" localSheetId="87" hidden="1">'04 - 09 - à 16H   '!$B$2:$U$21</definedName>
    <definedName name="_xlnm._FilterDatabase" localSheetId="88" hidden="1">'05 - 09 - à 16H    '!$B$2:$U$21</definedName>
    <definedName name="_xlnm._FilterDatabase" localSheetId="89" hidden="1">'06 - 09 - à 16H      '!$B$2:$U$21</definedName>
    <definedName name="_xlnm._FilterDatabase" localSheetId="90" hidden="1">'07 - 09 - à 16H       '!$B$2:$U$21</definedName>
    <definedName name="_xlnm._FilterDatabase" localSheetId="91" hidden="1">'08 - 09 - à 16H        '!$B$2:$U$21</definedName>
    <definedName name="_xlnm._FilterDatabase" localSheetId="92" hidden="1">'11 - 09 - à 16H         '!$B$2:$U$21</definedName>
    <definedName name="_xlnm._FilterDatabase" localSheetId="93" hidden="1">'12 - 09 - à 16H           '!$B$2:$U$21</definedName>
    <definedName name="_xlnm._FilterDatabase" localSheetId="94" hidden="1">'13 - 09 - à 16H              '!$B$2:$U$21</definedName>
    <definedName name="_xlnm._FilterDatabase" localSheetId="95" hidden="1">'14 - 09 - à 16H             '!$B$2:$U$21</definedName>
    <definedName name="_xlnm._FilterDatabase" localSheetId="96" hidden="1">'15 - 09 - à 16H              '!$B$2:$U$21</definedName>
    <definedName name="_xlnm._FilterDatabase" localSheetId="97" hidden="1">'19 - 09 - à 16H             '!$B$2:$U$21</definedName>
    <definedName name="_xlnm._FilterDatabase" localSheetId="98" hidden="1">'21 - 09 - à 16H             '!$B$2:$U$21</definedName>
    <definedName name="_xlnm._FilterDatabase" localSheetId="99" hidden="1">'25 - 09 - à 16H             '!$B$2:$U$21</definedName>
    <definedName name="_xlnm._FilterDatabase" localSheetId="100" hidden="1">'26 - 09 - à 16H              '!$B$2:$U$21</definedName>
    <definedName name="_xlnm._FilterDatabase" localSheetId="101" hidden="1">'28 - 09 - à 16H             '!$B$2:$U$21</definedName>
    <definedName name="_xlnm._FilterDatabase" localSheetId="102" hidden="1">'29 - 09 - à 16H              '!$B$2:$U$21</definedName>
    <definedName name="_xlnm._FilterDatabase" localSheetId="103" hidden="1">'04 - 10 - à 16H              '!$B$2:$U$21</definedName>
    <definedName name="_xlnm._FilterDatabase" localSheetId="104" hidden="1">'05 - 10 - à 16H              '!$B$2:$U$21</definedName>
    <definedName name="_xlnm._FilterDatabase" localSheetId="105" hidden="1">'06 - 10 - à 16H              '!$B$2:$U$21</definedName>
    <definedName name="_xlnm._FilterDatabase" localSheetId="106" hidden="1">'09 - 10 - à 16H              '!$B$2:$U$21</definedName>
    <definedName name="_xlnm._FilterDatabase" localSheetId="107" hidden="1">'13 - 10 - à 16H             '!$B$2:$U$21</definedName>
    <definedName name="_xlnm._FilterDatabase" localSheetId="108" hidden="1">'16 - 10 - à 16H              '!$B$2:$U$21</definedName>
    <definedName name="_xlnm._FilterDatabase" localSheetId="109" hidden="1">'17 - 10 - à 16H              '!$B$2:$U$21</definedName>
    <definedName name="_xlnm._FilterDatabase" localSheetId="110" hidden="1">'18 - 10 - à 16H             '!$B$2:$U$21</definedName>
    <definedName name="_xlnm._FilterDatabase" localSheetId="111" hidden="1">'20 - 10 - à 16H              '!$B$2:$U$21</definedName>
    <definedName name="_xlnm._FilterDatabase" localSheetId="112" hidden="1">'23 - 10 - à 16H              '!$B$2:$U$21</definedName>
    <definedName name="_xlnm._FilterDatabase" localSheetId="113" hidden="1">'24 - 10 - à 16H             '!$B$2:$U$21</definedName>
    <definedName name="_xlnm._FilterDatabase" localSheetId="114" hidden="1">'25 - 10 - à 16H            '!$B$2:$U$21</definedName>
    <definedName name="_xlnm._FilterDatabase" localSheetId="115" hidden="1">'26 - 10 - à 16H            '!$B$2:$U$21</definedName>
    <definedName name="_xlnm._FilterDatabase" localSheetId="116" hidden="1">'29 - 10 - à 16H              '!$B$2:$U$36</definedName>
    <definedName name="_xlnm._FilterDatabase" localSheetId="117" hidden="1">'30 - 10 - à 16H               '!$B$2:$U$36</definedName>
    <definedName name="_xlnm._FilterDatabase" localSheetId="118" hidden="1">'03 - 11- à 16H              '!$B$2:$U$35</definedName>
    <definedName name="_xlnm._FilterDatabase" localSheetId="119" hidden="1">'06 - 11- à 16H               '!$B$2:$U$35</definedName>
    <definedName name="_xlnm._FilterDatabase" localSheetId="120" hidden="1">'07 - 11- à 16H               '!$B$2:$U$35</definedName>
    <definedName name="_xlnm._FilterDatabase" localSheetId="121" hidden="1">'08 - 11- à 16H               '!$B$2:$U$35</definedName>
    <definedName name="_xlnm._FilterDatabase" localSheetId="122" hidden="1">'09 - 11- à 16H              '!$B$2:$U$35</definedName>
    <definedName name="_xlnm._FilterDatabase" localSheetId="123" hidden="1">'10 - 11- à 16H              '!$B$2:$U$35</definedName>
    <definedName name="_xlnm._FilterDatabase" localSheetId="124" hidden="1">'13 - 11- à 16H              '!$B$2:$U$35</definedName>
    <definedName name="_xlnm._FilterDatabase" localSheetId="125" hidden="1">'14 - 11- à 16H              '!$B$2:$U$35</definedName>
    <definedName name="_xlnm._FilterDatabase" localSheetId="126" hidden="1">'15 - 11- à 16H               '!$B$2:$U$29</definedName>
    <definedName name="_xlnm._FilterDatabase" localSheetId="127" hidden="1">'16  - 11- à 16H               '!$B$2:$U$29</definedName>
    <definedName name="_xlnm._FilterDatabase" localSheetId="128" hidden="1">'20 - 11- à 16H               '!$B$2:$U$29</definedName>
    <definedName name="_xlnm._FilterDatabase" localSheetId="129" hidden="1">'22 - 11- à 16H               '!$B$2:$U$29</definedName>
    <definedName name="_xlnm._FilterDatabase" localSheetId="130" hidden="1">'24 - 11- à 16H               '!$B$2:$U$29</definedName>
    <definedName name="_xlnm._FilterDatabase" localSheetId="131" hidden="1">'27 - 11- à 16H               '!$B$2:$U$29</definedName>
    <definedName name="_xlnm._FilterDatabase" localSheetId="132" hidden="1">'28 - 11- à 16H              '!$B$2:$U$29</definedName>
    <definedName name="_xlnm._FilterDatabase" localSheetId="133" hidden="1">'29 - 11- à 16H              '!$B$2:$U$29</definedName>
    <definedName name="_xlnm._FilterDatabase" localSheetId="134" hidden="1">'30 - 11- à 16H               '!$B$2:$U$29</definedName>
    <definedName name="_xlnm._FilterDatabase" localSheetId="135" hidden="1">'04 - 12- à 16H     '!$B$2:$U$29</definedName>
    <definedName name="_xlnm._FilterDatabase" localSheetId="136" hidden="1">'05 - 12- à 16H       '!$B$2:$U$29</definedName>
    <definedName name="_xlnm._FilterDatabase" localSheetId="137" hidden="1">'06 - 12- à 16H         '!$B$2:$U$29</definedName>
    <definedName name="_xlnm._FilterDatabase" localSheetId="138" hidden="1">'11 - 12- à 16H           '!$B$2:$U$29</definedName>
    <definedName name="_xlnm._FilterDatabase" localSheetId="139" hidden="1">'12 - 12- à 16H             '!$B$2:$U$29</definedName>
    <definedName name="_xlnm._FilterDatabase" localSheetId="140" hidden="1">'13 - 12- à 16H                '!$B$2:$U$29</definedName>
    <definedName name="_xlnm._FilterDatabase" localSheetId="141" hidden="1">'14 - 12-  à 16H             '!$B$2:$U$29</definedName>
    <definedName name="_xlnm._FilterDatabase" localSheetId="142" hidden="1">'15 - 12-  à 16H             '!$B$2:$U$29</definedName>
    <definedName name="_xlnm._FilterDatabase" localSheetId="143" hidden="1">'20 - 12-  à 16H             '!$B$2:$U$29</definedName>
    <definedName name="_xlnm._FilterDatabase" localSheetId="144" hidden="1">'21- 12-  à 16H              '!$B$2:$U$21</definedName>
  </definedNames>
  <calcPr/>
</workbook>
</file>

<file path=xl/sharedStrings.xml><?xml version="1.0" encoding="utf-8"?>
<sst xmlns="http://schemas.openxmlformats.org/spreadsheetml/2006/main" count="255" uniqueCount="255">
  <si>
    <t>W1</t>
  </si>
  <si>
    <t>W2</t>
  </si>
  <si>
    <t>W3</t>
  </si>
  <si>
    <t>W4</t>
  </si>
  <si>
    <t>Code</t>
  </si>
  <si>
    <t>DESIGNATION</t>
  </si>
  <si>
    <t xml:space="preserve">RFC Mars 2022</t>
  </si>
  <si>
    <t xml:space="preserve">NSP Q1 2022</t>
  </si>
  <si>
    <t xml:space="preserve">RFC (GBP)</t>
  </si>
  <si>
    <t xml:space="preserve">Commande </t>
  </si>
  <si>
    <t>Livrée</t>
  </si>
  <si>
    <t>Réservé(Planifié)</t>
  </si>
  <si>
    <t xml:space="preserve">Reste à livrée</t>
  </si>
  <si>
    <t>a1/19/2022</t>
  </si>
  <si>
    <t xml:space="preserve">TOTAL DISPO AU 03-03-22</t>
  </si>
  <si>
    <t xml:space="preserve">TOTAL PROJECTION  VENTES</t>
  </si>
  <si>
    <t xml:space="preserve">GAP vs COMMANDE ATP</t>
  </si>
  <si>
    <t xml:space="preserve">Remain to achieve Month (Units)</t>
  </si>
  <si>
    <t xml:space="preserve">MTD Sales (GBP)</t>
  </si>
  <si>
    <t>Achievement</t>
  </si>
  <si>
    <t>60000000041337</t>
  </si>
  <si>
    <t xml:space="preserve">AUGMENTIN sach 1g/125mg B/12</t>
  </si>
  <si>
    <t>AX6276</t>
  </si>
  <si>
    <t xml:space="preserve">VENTOLINE 100aeg134.Aeros.F/20</t>
  </si>
  <si>
    <t>10000000096737</t>
  </si>
  <si>
    <t xml:space="preserve">FLIXOTIDE 50aeg.Spray Nas.</t>
  </si>
  <si>
    <t>1031000007</t>
  </si>
  <si>
    <t xml:space="preserve">CLAMOXYL 1G. CP. Dispers. B/14</t>
  </si>
  <si>
    <t>1034000001</t>
  </si>
  <si>
    <t xml:space="preserve">CLAMOXYL 250mg/5ml .Fl/60ml.</t>
  </si>
  <si>
    <t>1034000002</t>
  </si>
  <si>
    <t xml:space="preserve">CLAMOXYL.500mg/5ml. Fl/60ml</t>
  </si>
  <si>
    <t>1034000004</t>
  </si>
  <si>
    <t xml:space="preserve">AUGMENTIN 100/12.5mg.NR.F/30ml</t>
  </si>
  <si>
    <t>1034000005</t>
  </si>
  <si>
    <t xml:space="preserve">AUGMENTIN 100/12,5mg. FL/60ml.</t>
  </si>
  <si>
    <t>110009B</t>
  </si>
  <si>
    <t xml:space="preserve">AUGMENTIN Sach 500/62.5MG*12</t>
  </si>
  <si>
    <t>60000000041338</t>
  </si>
  <si>
    <t xml:space="preserve">DEROXAT 20mg. CP.B/14.</t>
  </si>
  <si>
    <t>60000000100079</t>
  </si>
  <si>
    <t xml:space="preserve">AVAMYS NASAL SPRAR 0.5% 1X120</t>
  </si>
  <si>
    <t>60000000100513</t>
  </si>
  <si>
    <t xml:space="preserve">FLIXOTIDE EVOHALER 250MCG 1X60</t>
  </si>
  <si>
    <t>AX7331</t>
  </si>
  <si>
    <t xml:space="preserve">SERETIDE 50/500MCG-DISKUS 1x60D DZ/T</t>
  </si>
  <si>
    <t>1031000001</t>
  </si>
  <si>
    <t xml:space="preserve">CLAMOXYL 1g.Cp.dispers.B/6</t>
  </si>
  <si>
    <t>10000000040501</t>
  </si>
  <si>
    <t xml:space="preserve">ZINNAT 125mg.Susp.buv. 70ml.</t>
  </si>
  <si>
    <t>Total</t>
  </si>
  <si>
    <t>W5</t>
  </si>
  <si>
    <t xml:space="preserve">TOTAL DISPO AU 14-03-22</t>
  </si>
  <si>
    <t>a</t>
  </si>
  <si>
    <t>b</t>
  </si>
  <si>
    <t>c</t>
  </si>
  <si>
    <t xml:space="preserve">TOTAL DISPO AU 16-03-22</t>
  </si>
  <si>
    <t>%</t>
  </si>
  <si>
    <t>Stock</t>
  </si>
  <si>
    <t xml:space="preserve">TOTAL DISPO AU 17-03-22</t>
  </si>
  <si>
    <t xml:space="preserve">Total Planifié</t>
  </si>
  <si>
    <t xml:space="preserve">MONTHLY STOCK</t>
  </si>
  <si>
    <t xml:space="preserve">Monthly Stock VS RFC</t>
  </si>
  <si>
    <t xml:space="preserve">TOTAL DISPO AU 22-03-22</t>
  </si>
  <si>
    <t xml:space="preserve"> </t>
  </si>
  <si>
    <t xml:space="preserve">TOTAL DISPO AU 24-03-22</t>
  </si>
  <si>
    <t xml:space="preserve">TOTAL DISPO AU 27-03-22</t>
  </si>
  <si>
    <t xml:space="preserve">TOTAL DISPO AU 28-03-22</t>
  </si>
  <si>
    <t xml:space="preserve">TOTAL DISPO AU 29-03-22</t>
  </si>
  <si>
    <t xml:space="preserve">TOTAL DISPO AU 30-03-22</t>
  </si>
  <si>
    <t xml:space="preserve">TOTAL DISPO AU 31-03-22</t>
  </si>
  <si>
    <t xml:space="preserve">RFC Avril 2022</t>
  </si>
  <si>
    <t xml:space="preserve">TOTAL DISPO AU 07-04-22</t>
  </si>
  <si>
    <t xml:space="preserve">TOTAL DISPO AU 12-04-22</t>
  </si>
  <si>
    <t xml:space="preserve">TOTAL DISPO AU 14-04-22</t>
  </si>
  <si>
    <t xml:space="preserve">TOTAL DISPO AU 17-04-22</t>
  </si>
  <si>
    <t xml:space="preserve">TOTAL DISPO AU 18-04-22</t>
  </si>
  <si>
    <t xml:space="preserve">TOTAL DISPO AU 19-04-22</t>
  </si>
  <si>
    <t xml:space="preserve">TOTAL DISPO AU 20-04-22</t>
  </si>
  <si>
    <t xml:space="preserve">TOTAL DISPO AU 21-04-22</t>
  </si>
  <si>
    <t xml:space="preserve">TOTAL DISPO AU 24-04-22</t>
  </si>
  <si>
    <t xml:space="preserve">TOTAL DISPO AU 25-04-22</t>
  </si>
  <si>
    <t xml:space="preserve">TOTAL DISPO AU 27-04-22</t>
  </si>
  <si>
    <t xml:space="preserve">TOTAL DISPO AU 28-04-22</t>
  </si>
  <si>
    <t xml:space="preserve">W1                  01 au 05/05</t>
  </si>
  <si>
    <t xml:space="preserve">W2                08 au 12/05</t>
  </si>
  <si>
    <t xml:space="preserve">W3            15au 19/05</t>
  </si>
  <si>
    <t xml:space="preserve">W4                              22au 26/05</t>
  </si>
  <si>
    <t xml:space="preserve">W5                       29 au 31/05</t>
  </si>
  <si>
    <t xml:space="preserve">RFC Mai 2022</t>
  </si>
  <si>
    <t xml:space="preserve">TOTAL DISPO AU 08-05-22</t>
  </si>
  <si>
    <t xml:space="preserve">                               -   </t>
  </si>
  <si>
    <t xml:space="preserve">TOTAL DISPO AU 12-05-22</t>
  </si>
  <si>
    <t xml:space="preserve">TOTAL DISPO AU 15-05-22</t>
  </si>
  <si>
    <t xml:space="preserve">TOTAL DISPO AU 16-05-22</t>
  </si>
  <si>
    <t xml:space="preserve">TOTAL DISPO AU 17-05-22</t>
  </si>
  <si>
    <t xml:space="preserve">TOTAL DISPO AU 18-05-22</t>
  </si>
  <si>
    <t xml:space="preserve">TOTAL DISPO AU 22-05-22</t>
  </si>
  <si>
    <t xml:space="preserve">TOTAL DISPO AU 24-05-22</t>
  </si>
  <si>
    <t xml:space="preserve">TOTAL DISPO AU 25-05-22</t>
  </si>
  <si>
    <t xml:space="preserve">TOTAL DISPO AU 26-05-22</t>
  </si>
  <si>
    <t xml:space="preserve">TOTAL DISPO AU 29-05-22</t>
  </si>
  <si>
    <t xml:space="preserve">TOTAL DISPO AU 30-05-22</t>
  </si>
  <si>
    <t xml:space="preserve">TOTAL DISPO AU 31-05-22</t>
  </si>
  <si>
    <t xml:space="preserve">TOTAL DISPO AU 05-06-22</t>
  </si>
  <si>
    <t xml:space="preserve">W1                  05 au 09/June</t>
  </si>
  <si>
    <t xml:space="preserve">W2                12 au 16/June</t>
  </si>
  <si>
    <t xml:space="preserve">W3                  19 au 23/June</t>
  </si>
  <si>
    <t xml:space="preserve">W4                              26 au 30/June</t>
  </si>
  <si>
    <t xml:space="preserve">W5                        </t>
  </si>
  <si>
    <t xml:space="preserve">TOTAL DISPO AU 07-06-22</t>
  </si>
  <si>
    <t xml:space="preserve">RFC Juin 2022</t>
  </si>
  <si>
    <t xml:space="preserve">TOTAL DISPO AU 09-06-22</t>
  </si>
  <si>
    <t xml:space="preserve">FLIXOTIDE EVOHALER 125MCG 1X60</t>
  </si>
  <si>
    <t xml:space="preserve">TOTAL DISPO AU 12-06-22</t>
  </si>
  <si>
    <t xml:space="preserve">TOTAL DISPO AU 13-06-22</t>
  </si>
  <si>
    <t xml:space="preserve">TOTAL DISPO AU 14-06-22</t>
  </si>
  <si>
    <t xml:space="preserve">TOTAL DISPO AU 15-06-22</t>
  </si>
  <si>
    <t xml:space="preserve">TOTAL DISPO AU 16-06-22</t>
  </si>
  <si>
    <t xml:space="preserve">TOTAL DISPO AU 19-06-22</t>
  </si>
  <si>
    <t xml:space="preserve">TOTAL DISPO AU 21-06-22</t>
  </si>
  <si>
    <t xml:space="preserve">TOTAL DISPO AU 22-06-22</t>
  </si>
  <si>
    <t xml:space="preserve">TOTAL DISPO AU 23-06-22</t>
  </si>
  <si>
    <t xml:space="preserve">TOTAL DISPO AU 26-06-22</t>
  </si>
  <si>
    <t xml:space="preserve">TOTAL DISPO AU 27-06-22</t>
  </si>
  <si>
    <t xml:space="preserve">TOTAL DISPO AU 28-06-22</t>
  </si>
  <si>
    <t xml:space="preserve">TOTAL DISPO AU 29-06-22</t>
  </si>
  <si>
    <t xml:space="preserve">RFC Juillet 2022        ( à confirmer )</t>
  </si>
  <si>
    <t xml:space="preserve">W1                  03 au 07/Juillet</t>
  </si>
  <si>
    <t xml:space="preserve">W2                10 au 14/Juillet</t>
  </si>
  <si>
    <t xml:space="preserve">W3                  17 au 21/Juillet</t>
  </si>
  <si>
    <t xml:space="preserve">W4                              24 au 26/Juillet</t>
  </si>
  <si>
    <t xml:space="preserve">TOTAL DISPO AU 04-07-22</t>
  </si>
  <si>
    <t xml:space="preserve">RFC Juillet 2022       </t>
  </si>
  <si>
    <t xml:space="preserve">TOTAL DISPO AU 13-07-22</t>
  </si>
  <si>
    <t xml:space="preserve">TOTAL DISPO AU 14-07-22</t>
  </si>
  <si>
    <t xml:space="preserve">TOTAL DISPO AU 17-07-22</t>
  </si>
  <si>
    <t xml:space="preserve">TOTAL DISPO AU 18-07-22</t>
  </si>
  <si>
    <t xml:space="preserve">TOTAL DISPO AU 19-07-22</t>
  </si>
  <si>
    <t xml:space="preserve">TOTAL DISPO AU 20-07-22</t>
  </si>
  <si>
    <t xml:space="preserve">TOTAL DISPO AU 21-07-22</t>
  </si>
  <si>
    <t xml:space="preserve">TOTAL DISPO AU 25-07-22</t>
  </si>
  <si>
    <t xml:space="preserve">TOTAL DISPO AU 26-07-22</t>
  </si>
  <si>
    <t xml:space="preserve">TOTAL DISPO AU 27-07-22</t>
  </si>
  <si>
    <t xml:space="preserve">TOTAL DISPO AU 28-07-22</t>
  </si>
  <si>
    <t xml:space="preserve">TOTAL DISPO AU 31-07-22</t>
  </si>
  <si>
    <t xml:space="preserve">W1             </t>
  </si>
  <si>
    <t xml:space="preserve">W2                </t>
  </si>
  <si>
    <t xml:space="preserve">W3                  </t>
  </si>
  <si>
    <t xml:space="preserve">W4                              </t>
  </si>
  <si>
    <t>AX7329</t>
  </si>
  <si>
    <t xml:space="preserve">SERETIDE 100/50æG.DISKUS.60DZ</t>
  </si>
  <si>
    <t>AX7330</t>
  </si>
  <si>
    <t xml:space="preserve">SERETIDE 250/50æG.DISKUS.60DZ</t>
  </si>
  <si>
    <t xml:space="preserve">TOTAL DISPO AU 02-08-22</t>
  </si>
  <si>
    <t xml:space="preserve">TOTAL DISPO AU 03-08-22</t>
  </si>
  <si>
    <t xml:space="preserve">TOTAL DISPO AU 04-08-22</t>
  </si>
  <si>
    <t xml:space="preserve">RFC Aout 2022       </t>
  </si>
  <si>
    <t xml:space="preserve">TOTAL DISPO AU 09-08-22</t>
  </si>
  <si>
    <t xml:space="preserve">TOTAL DISPO AU 10-08-22</t>
  </si>
  <si>
    <t xml:space="preserve">TOTAL DISPO AU 11-08-22</t>
  </si>
  <si>
    <t xml:space="preserve">TOTAL DISPO AU 14-08-22</t>
  </si>
  <si>
    <t xml:space="preserve">TOTAL DISPO AU 16-08-22</t>
  </si>
  <si>
    <t xml:space="preserve">TOTAL DISPO AU 17-08-22</t>
  </si>
  <si>
    <t xml:space="preserve">TOTAL DISPO AU 18-08-22</t>
  </si>
  <si>
    <t xml:space="preserve">TOTAL DISPO AU 21-08-22</t>
  </si>
  <si>
    <t xml:space="preserve">TOTAL DISPO AU 25-08-22</t>
  </si>
  <si>
    <t xml:space="preserve">TOTAL DISPO AU 29-08-22</t>
  </si>
  <si>
    <t xml:space="preserve">TOTAL DISPO AU 31-08-22</t>
  </si>
  <si>
    <t xml:space="preserve">W2               04 au 08               </t>
  </si>
  <si>
    <t xml:space="preserve">W3 11 au  15                   </t>
  </si>
  <si>
    <t xml:space="preserve">W4   18   22                            </t>
  </si>
  <si>
    <t xml:space="preserve">W5 25  29                        </t>
  </si>
  <si>
    <t xml:space="preserve">RFC Septembre 2022       </t>
  </si>
  <si>
    <t xml:space="preserve">TOTAL DISPO AU 04-09-22</t>
  </si>
  <si>
    <t xml:space="preserve">W1               01           </t>
  </si>
  <si>
    <t xml:space="preserve">          W2         04 au 08               </t>
  </si>
  <si>
    <t xml:space="preserve">       W3               11 au  15                   </t>
  </si>
  <si>
    <t xml:space="preserve">       W4                 18  au 22                            </t>
  </si>
  <si>
    <t xml:space="preserve">          W5               25 au 29                        </t>
  </si>
  <si>
    <t xml:space="preserve">TOTAL DISPO AU 05-09-22</t>
  </si>
  <si>
    <t xml:space="preserve">TOTAL DISPO AU 06- 09-22</t>
  </si>
  <si>
    <t xml:space="preserve">TOTAL DISPO AU 07- 09-22</t>
  </si>
  <si>
    <t xml:space="preserve">TOTAL DISPO AU 08- 09-22</t>
  </si>
  <si>
    <t xml:space="preserve">TOTAL DISPO AU 11- 09-22</t>
  </si>
  <si>
    <t xml:space="preserve">TOTAL DISPO AU 12- 09-22</t>
  </si>
  <si>
    <t xml:space="preserve">TOTAL DISPO AU 13- 09-22</t>
  </si>
  <si>
    <t xml:space="preserve">TOTAL DISPO AU 14- 09-22</t>
  </si>
  <si>
    <t xml:space="preserve">TOTAL DISPO AU 15- 09-22</t>
  </si>
  <si>
    <t xml:space="preserve">TOTAL DISPO AU 19- 09-22</t>
  </si>
  <si>
    <t xml:space="preserve">TOTAL DISPO AU 21- 09-22</t>
  </si>
  <si>
    <t xml:space="preserve">TOTAL DISPO AU 25- 09-22</t>
  </si>
  <si>
    <t xml:space="preserve">TOTAL DISPO AU 26- 09-22</t>
  </si>
  <si>
    <t xml:space="preserve">TOTAL DISPO AU 28- 09-22</t>
  </si>
  <si>
    <t xml:space="preserve">TOTAL DISPO AU 29- 09-22</t>
  </si>
  <si>
    <t xml:space="preserve">W1               02  06           </t>
  </si>
  <si>
    <t xml:space="preserve">      W2              09 au 13             </t>
  </si>
  <si>
    <t xml:space="preserve">       W3               16 au 20                   </t>
  </si>
  <si>
    <t xml:space="preserve">       W4                 23  au 27                           </t>
  </si>
  <si>
    <t xml:space="preserve">W5               30  31</t>
  </si>
  <si>
    <t xml:space="preserve">RFC Octobre 2022       </t>
  </si>
  <si>
    <t xml:space="preserve">TOTAL DISPO AU 04- 10-22</t>
  </si>
  <si>
    <t xml:space="preserve">TOTAL DISPONIBLE  AU 05- 10-22</t>
  </si>
  <si>
    <t xml:space="preserve">TOTAL DISPONIBLE  AU 06- 10-22</t>
  </si>
  <si>
    <t xml:space="preserve">TOTAL DISPONIBLE  AU 09- 10-22</t>
  </si>
  <si>
    <t xml:space="preserve">TOTAL DISPONIBLE  AU 13- 10-22</t>
  </si>
  <si>
    <t xml:space="preserve">TOTAL DISPONIBLE  AU 16- 10-22</t>
  </si>
  <si>
    <t xml:space="preserve">TOTAL DISPONIBLE  AU 17- 10-22</t>
  </si>
  <si>
    <t xml:space="preserve">TOTAL DISPONIBLE  AU 18- 10-22</t>
  </si>
  <si>
    <t xml:space="preserve">TOTAL DISPONIBLE  AU 20- 10-22</t>
  </si>
  <si>
    <t xml:space="preserve">TOTAL DISPONIBLE  AU 23- 10-22</t>
  </si>
  <si>
    <t xml:space="preserve">TOTAL DISPONIBLE  AU 24- 10-22</t>
  </si>
  <si>
    <t xml:space="preserve">TOTAL DISPONIBLE  AU 25- 10-22</t>
  </si>
  <si>
    <t xml:space="preserve">TOTAL DISPONIBLE  AU 26- 10-22</t>
  </si>
  <si>
    <t xml:space="preserve">TOTAL DISPONIBLE  AU 29- 10-22</t>
  </si>
  <si>
    <t xml:space="preserve">SERETIDE 500/50MCG-DISKUS 1x60D DZ/T</t>
  </si>
  <si>
    <t xml:space="preserve">TOTAL DISPONIBLE  AU 30- 10-22</t>
  </si>
  <si>
    <t xml:space="preserve">     W5              </t>
  </si>
  <si>
    <t xml:space="preserve">TOTAL DISPONIBLE  AU 03- 11-22</t>
  </si>
  <si>
    <t xml:space="preserve">   06  au  10         </t>
  </si>
  <si>
    <t xml:space="preserve">    13 au 17             </t>
  </si>
  <si>
    <t xml:space="preserve">    20 au 24                   </t>
  </si>
  <si>
    <t xml:space="preserve">   27  au 30                           </t>
  </si>
  <si>
    <t xml:space="preserve">RFC Novembre 2022       </t>
  </si>
  <si>
    <t xml:space="preserve">TOTAL DISPONIBLE  AU 06- 11-22</t>
  </si>
  <si>
    <t xml:space="preserve">TOTAL DISPONIBLE  AU 07- 11-22</t>
  </si>
  <si>
    <t xml:space="preserve">TOTAL DISPONIBLE  AU 08- 11-22</t>
  </si>
  <si>
    <t xml:space="preserve">TOTAL DISPONIBLE  AU 09- 11-22</t>
  </si>
  <si>
    <t xml:space="preserve">TOTAL DISPONIBLE  AU 10- 11-22</t>
  </si>
  <si>
    <t xml:space="preserve">TOTAL DISPONIBLE  AU 13- 11-22</t>
  </si>
  <si>
    <t xml:space="preserve">TOTAL DISPONIBLE  AU 14- 11-22</t>
  </si>
  <si>
    <t xml:space="preserve">TOTAL DISPONIBLE  AU 15- 11-22</t>
  </si>
  <si>
    <t xml:space="preserve">TOTAL DISPONIBLE  AU 16- 11-22</t>
  </si>
  <si>
    <t xml:space="preserve">TOTAL DISPONIBLE  AU 20- 11-22</t>
  </si>
  <si>
    <t xml:space="preserve">TOTAL DISPONIBLE  AU 22- 11-22</t>
  </si>
  <si>
    <t xml:space="preserve">TOTAL DISPONIBLE  AU 24- 11-22</t>
  </si>
  <si>
    <t xml:space="preserve">TOTAL DISPONIBLE  AU 27- 11-22</t>
  </si>
  <si>
    <t xml:space="preserve">TOTAL DISPONIBLE  AU 28- 11-22</t>
  </si>
  <si>
    <t xml:space="preserve">TOTAL DISPONIBLE  AU 29- 11-22</t>
  </si>
  <si>
    <t xml:space="preserve">TOTAL DISPONIBLE  AU 30- 11-22</t>
  </si>
  <si>
    <t xml:space="preserve">   04  au  08         </t>
  </si>
  <si>
    <t xml:space="preserve">    11 au 15            </t>
  </si>
  <si>
    <t xml:space="preserve">    18 au 22                   </t>
  </si>
  <si>
    <t xml:space="preserve">   25  au 29                          </t>
  </si>
  <si>
    <t xml:space="preserve">TOTAL DISPONIBLE  AU 04- 12-22</t>
  </si>
  <si>
    <t xml:space="preserve">TOTAL DISPONIBLE  AU 05- 12-22</t>
  </si>
  <si>
    <t xml:space="preserve">RFC Décembre 2022       </t>
  </si>
  <si>
    <t xml:space="preserve">TOTAL DISPONIBLE  AU 06- 12-22</t>
  </si>
  <si>
    <t xml:space="preserve">TOTAL DISPONIBLE  AU 11- 12-22</t>
  </si>
  <si>
    <t xml:space="preserve">TOTAL DISPONIBLE  AU 12- 12-22</t>
  </si>
  <si>
    <t xml:space="preserve">TOTAL DISPONIBLE  AU 13- 12-22</t>
  </si>
  <si>
    <t xml:space="preserve">TOTAL DISPONIBLE  AU 14- 12-22</t>
  </si>
  <si>
    <t xml:space="preserve">TOTAL DISPONIBLE  AU 15- 12-22</t>
  </si>
  <si>
    <t xml:space="preserve">TOTAL DISPONIBLE  AU 20- 12-22</t>
  </si>
  <si>
    <t xml:space="preserve">TOTAL DISPONIBLE  AU 21- 12-22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</si>
</sst>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.00_-;\-* #,##0.00_-;_-* &quot;-&quot;??_-;_-@_-"/>
    <numFmt numFmtId="161" formatCode="_-* #,##0_-;\-* #,##0_-;_-* &quot;-&quot;??_-;_-@_-"/>
    <numFmt numFmtId="162" formatCode="#,##0.00_ ;\-#,##0.00\ "/>
    <numFmt numFmtId="163" formatCode="#,##0_ ;\-#,##0\ "/>
    <numFmt numFmtId="164" formatCode="_-* #,##0.00\ _€_-;\-* #,##0.00\ _€_-;_-* &quot;-&quot;??\ _€_-;_-@_-"/>
  </numFmts>
  <fonts count="11">
    <font>
      <sz val="11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2.000000"/>
      <color theme="0"/>
      <name val="Calibri"/>
      <scheme val="minor"/>
    </font>
    <font>
      <b/>
      <sz val="11.000000"/>
      <color theme="0"/>
      <name val="Arial"/>
    </font>
    <font>
      <sz val="11.000000"/>
      <name val="Calibri"/>
      <scheme val="minor"/>
    </font>
    <font>
      <sz val="10.000000"/>
      <name val="Arial"/>
    </font>
    <font>
      <b/>
      <sz val="11.000000"/>
      <color theme="1"/>
      <name val="Calibri"/>
      <scheme val="minor"/>
    </font>
    <font>
      <b/>
      <sz val="10.000000"/>
      <name val="Arial"/>
    </font>
    <font>
      <sz val="12.000000"/>
      <color theme="1"/>
      <name val="Calibri"/>
    </font>
    <font>
      <sz val="12.000000"/>
      <name val="Calibri"/>
    </font>
    <font>
      <sz val="11.000000"/>
      <color theme="1" tint="0.1499984740745262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1" tint="0.049989318521683403"/>
        <bgColor theme="1" tint="0.049989318521683403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fontId="0" fillId="0" borderId="0" numFmtId="0" applyNumberFormat="1" applyFont="1" applyFill="1" applyBorder="1"/>
    <xf fontId="0" fillId="0" borderId="0" numFmtId="160" applyNumberFormat="1" applyFont="0" applyFill="0" applyBorder="0" applyProtection="0"/>
    <xf fontId="0" fillId="0" borderId="0" numFmtId="9" applyNumberFormat="1" applyFont="0" applyFill="0" applyBorder="0" applyProtection="0"/>
  </cellStyleXfs>
  <cellXfs count="76">
    <xf fontId="0" fillId="0" borderId="0" numFmtId="0" xfId="0"/>
    <xf fontId="1" fillId="0" borderId="1" numFmtId="0" xfId="0" applyFont="1" applyBorder="1" applyAlignment="1">
      <alignment horizontal="center" vertical="center"/>
    </xf>
    <xf fontId="1" fillId="2" borderId="1" numFmtId="0" xfId="0" applyFont="1" applyFill="1" applyBorder="1" applyAlignment="1">
      <alignment horizontal="center" vertical="center" wrapText="1"/>
    </xf>
    <xf fontId="1" fillId="0" borderId="1" numFmtId="14" xfId="0" applyNumberFormat="1" applyFont="1" applyBorder="1" applyAlignment="1">
      <alignment horizontal="center" vertical="center" wrapText="1"/>
    </xf>
    <xf fontId="1" fillId="0" borderId="1" numFmtId="14" xfId="0" applyNumberFormat="1" applyFont="1" applyBorder="1" applyAlignment="1">
      <alignment horizontal="center" vertical="center" wrapText="1"/>
    </xf>
    <xf fontId="2" fillId="3" borderId="1" numFmtId="14" xfId="0" applyNumberFormat="1" applyFont="1" applyFill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4" fillId="0" borderId="1" numFmtId="0" xfId="0" applyFont="1" applyBorder="1" applyAlignment="1">
      <alignment vertical="center"/>
    </xf>
    <xf fontId="4" fillId="0" borderId="1" numFmtId="0" xfId="0" applyFont="1" applyBorder="1" applyAlignment="1">
      <alignment horizontal="left" vertical="center"/>
    </xf>
    <xf fontId="0" fillId="5" borderId="1" numFmtId="161" xfId="1" applyNumberFormat="1" applyFill="1" applyBorder="1" applyAlignment="1">
      <alignment vertical="center"/>
    </xf>
    <xf fontId="0" fillId="6" borderId="1" numFmtId="162" xfId="1" applyNumberFormat="1" applyFill="1" applyBorder="1" applyAlignment="1">
      <alignment vertical="center"/>
    </xf>
    <xf fontId="0" fillId="7" borderId="1" numFmtId="161" xfId="1" applyNumberFormat="1" applyFill="1" applyBorder="1" applyAlignment="1">
      <alignment vertical="center"/>
    </xf>
    <xf fontId="0" fillId="0" borderId="1" numFmtId="3" xfId="0" applyNumberFormat="1" applyBorder="1" applyAlignment="1">
      <alignment vertical="center"/>
    </xf>
    <xf fontId="0" fillId="0" borderId="1" numFmtId="161" xfId="1" applyNumberFormat="1" applyBorder="1" applyAlignment="1">
      <alignment vertical="center"/>
    </xf>
    <xf fontId="0" fillId="8" borderId="1" numFmtId="161" xfId="1" applyNumberFormat="1" applyFill="1" applyBorder="1" applyAlignment="1">
      <alignment vertical="center"/>
    </xf>
    <xf fontId="0" fillId="9" borderId="1" numFmtId="161" xfId="1" applyNumberFormat="1" applyFill="1" applyBorder="1" applyAlignment="1">
      <alignment vertical="center"/>
    </xf>
    <xf fontId="0" fillId="10" borderId="1" numFmtId="161" xfId="1" applyNumberFormat="1" applyFill="1" applyBorder="1" applyAlignment="1">
      <alignment vertical="center"/>
    </xf>
    <xf fontId="0" fillId="11" borderId="1" numFmtId="161" xfId="1" applyNumberFormat="1" applyFill="1" applyBorder="1" applyAlignment="1">
      <alignment vertical="center"/>
    </xf>
    <xf fontId="5" fillId="0" borderId="1" numFmtId="9" xfId="2" applyNumberFormat="1" applyFont="1" applyBorder="1" applyAlignment="1">
      <alignment horizontal="center" vertical="center"/>
    </xf>
    <xf fontId="0" fillId="0" borderId="1" numFmtId="0" xfId="0" applyBorder="1" applyAlignment="1">
      <alignment vertical="center"/>
    </xf>
    <xf fontId="6" fillId="0" borderId="1" numFmtId="0" xfId="0" applyFont="1" applyBorder="1" applyAlignment="1">
      <alignment vertical="center"/>
    </xf>
    <xf fontId="1" fillId="2" borderId="1" numFmtId="160" xfId="1" applyNumberFormat="1" applyFont="1" applyFill="1" applyBorder="1" applyAlignment="1">
      <alignment horizontal="center" vertical="center" wrapText="1"/>
    </xf>
    <xf fontId="1" fillId="12" borderId="1" numFmtId="160" xfId="1" applyNumberFormat="1" applyFont="1" applyFill="1" applyBorder="1" applyAlignment="1">
      <alignment horizontal="center" vertical="center" wrapText="1"/>
    </xf>
    <xf fontId="6" fillId="0" borderId="1" numFmtId="3" xfId="0" applyNumberFormat="1" applyFont="1" applyBorder="1" applyAlignment="1">
      <alignment vertical="center"/>
    </xf>
    <xf fontId="6" fillId="9" borderId="1" numFmtId="161" xfId="1" applyNumberFormat="1" applyFont="1" applyFill="1" applyBorder="1" applyAlignment="1">
      <alignment vertical="center"/>
    </xf>
    <xf fontId="3" fillId="4" borderId="1" numFmtId="160" xfId="1" applyNumberFormat="1" applyFont="1" applyFill="1" applyBorder="1" applyAlignment="1">
      <alignment horizontal="center" vertical="center" wrapText="1"/>
    </xf>
    <xf fontId="7" fillId="0" borderId="1" numFmtId="9" xfId="2" applyNumberFormat="1" applyFont="1" applyBorder="1" applyAlignment="1">
      <alignment horizontal="center" vertical="center"/>
    </xf>
    <xf fontId="0" fillId="0" borderId="0" numFmtId="0" xfId="0"/>
    <xf fontId="1" fillId="0" borderId="0" numFmtId="0" xfId="0" applyFont="1" applyAlignment="1">
      <alignment horizontal="center" vertical="center" wrapText="1"/>
    </xf>
    <xf fontId="0" fillId="0" borderId="0" numFmtId="0" xfId="0" applyAlignment="1">
      <alignment wrapText="1"/>
    </xf>
    <xf fontId="0" fillId="13" borderId="1" numFmtId="0" xfId="0" applyFill="1" applyBorder="1" applyAlignment="1">
      <alignment horizontal="center" vertical="center"/>
    </xf>
    <xf fontId="0" fillId="0" borderId="1" numFmtId="0" xfId="0" applyBorder="1"/>
    <xf fontId="0" fillId="0" borderId="1" numFmtId="0" xfId="0" applyBorder="1"/>
    <xf fontId="0" fillId="0" borderId="1" numFmtId="3" xfId="0" applyNumberFormat="1" applyBorder="1"/>
    <xf fontId="0" fillId="0" borderId="1" numFmtId="161" xfId="0" applyNumberFormat="1" applyBorder="1"/>
    <xf fontId="1" fillId="2" borderId="1" numFmtId="163" xfId="1" applyNumberFormat="1" applyFont="1" applyFill="1" applyBorder="1" applyAlignment="1">
      <alignment horizontal="center" vertical="center" wrapText="1"/>
    </xf>
    <xf fontId="0" fillId="0" borderId="2" numFmtId="0" xfId="0" applyBorder="1"/>
    <xf fontId="0" fillId="0" borderId="2" numFmtId="0" xfId="0" applyBorder="1"/>
    <xf fontId="0" fillId="13" borderId="3" numFmtId="0" xfId="0" applyFill="1" applyBorder="1" applyAlignment="1">
      <alignment horizontal="center" vertical="center"/>
    </xf>
    <xf fontId="0" fillId="14" borderId="1" numFmtId="0" xfId="0" applyFill="1" applyBorder="1"/>
    <xf fontId="0" fillId="0" borderId="0" numFmtId="161" xfId="0" applyNumberFormat="1"/>
    <xf fontId="0" fillId="0" borderId="0" numFmtId="3" xfId="0" applyNumberFormat="1" applyAlignment="1">
      <alignment vertical="center"/>
    </xf>
    <xf fontId="0" fillId="0" borderId="1" numFmtId="0" xfId="0" applyBorder="1" applyAlignment="1">
      <alignment vertical="top"/>
    </xf>
    <xf fontId="0" fillId="0" borderId="1" numFmtId="3" xfId="0" applyNumberFormat="1" applyBorder="1" applyAlignment="1">
      <alignment vertical="top"/>
    </xf>
    <xf fontId="0" fillId="0" borderId="0" numFmtId="162" xfId="1" applyNumberFormat="1" applyAlignment="1">
      <alignment vertical="center"/>
    </xf>
    <xf fontId="0" fillId="0" borderId="0" numFmtId="3" xfId="0" applyNumberFormat="1" applyAlignment="1">
      <alignment vertical="top"/>
    </xf>
    <xf fontId="0" fillId="13" borderId="1" numFmtId="0" xfId="0" applyFill="1" applyBorder="1" applyAlignment="1">
      <alignment horizontal="center" vertical="center" wrapText="1"/>
    </xf>
    <xf fontId="8" fillId="0" borderId="0" numFmtId="0" xfId="0" applyFont="1" applyAlignment="1">
      <alignment vertical="center"/>
    </xf>
    <xf fontId="9" fillId="0" borderId="0" numFmtId="0" xfId="0" applyFont="1" applyAlignment="1">
      <alignment vertical="center"/>
    </xf>
    <xf fontId="0" fillId="0" borderId="1" numFmtId="162" xfId="1" applyNumberFormat="1" applyBorder="1" applyAlignment="1">
      <alignment vertical="center"/>
    </xf>
    <xf fontId="0" fillId="15" borderId="1" numFmtId="162" xfId="1" applyNumberFormat="1" applyFill="1" applyBorder="1" applyAlignment="1">
      <alignment vertical="center"/>
    </xf>
    <xf fontId="0" fillId="0" borderId="0" numFmtId="164" xfId="0" applyNumberFormat="1"/>
    <xf fontId="0" fillId="13" borderId="1" numFmtId="0" xfId="0" applyFill="1" applyBorder="1" applyAlignment="1">
      <alignment horizontal="center" vertical="top" wrapText="1"/>
    </xf>
    <xf fontId="0" fillId="0" borderId="1" numFmtId="1" xfId="0" applyNumberFormat="1" applyBorder="1" applyProtection="1">
      <protection locked="0"/>
    </xf>
    <xf fontId="0" fillId="8" borderId="1" numFmtId="3" xfId="0" applyNumberFormat="1" applyFill="1" applyBorder="1"/>
    <xf fontId="0" fillId="0" borderId="1" numFmtId="1" xfId="0" applyNumberFormat="1" applyBorder="1" applyAlignment="1" applyProtection="1">
      <alignment horizontal="left"/>
      <protection locked="0"/>
    </xf>
    <xf fontId="0" fillId="0" borderId="1" numFmtId="0" xfId="0" applyBorder="1" applyAlignment="1">
      <alignment horizontal="left" vertical="center"/>
    </xf>
    <xf fontId="4" fillId="0" borderId="1" numFmtId="3" xfId="0" applyNumberFormat="1" applyFont="1" applyBorder="1"/>
    <xf fontId="4" fillId="8" borderId="1" numFmtId="0" xfId="0" applyFont="1" applyFill="1" applyBorder="1" applyAlignment="1">
      <alignment horizontal="left" vertical="center"/>
    </xf>
    <xf fontId="0" fillId="8" borderId="1" numFmtId="3" xfId="0" applyNumberFormat="1" applyFill="1" applyBorder="1" applyAlignment="1">
      <alignment vertical="top"/>
    </xf>
    <xf fontId="0" fillId="8" borderId="1" numFmtId="3" xfId="0" applyNumberFormat="1" applyFill="1" applyBorder="1" applyAlignment="1">
      <alignment vertical="center"/>
    </xf>
    <xf fontId="10" fillId="0" borderId="1" numFmtId="49" xfId="0" applyNumberFormat="1" applyFont="1" applyBorder="1" applyAlignment="1">
      <alignment vertical="center"/>
    </xf>
    <xf fontId="10" fillId="0" borderId="1" numFmtId="0" xfId="0" applyFont="1" applyBorder="1" applyAlignment="1">
      <alignment vertical="center"/>
    </xf>
    <xf fontId="4" fillId="15" borderId="1" numFmtId="0" xfId="0" applyFont="1" applyFill="1" applyBorder="1" applyAlignment="1">
      <alignment horizontal="left" vertical="center"/>
    </xf>
    <xf fontId="0" fillId="13" borderId="1" numFmtId="0" xfId="0" applyFill="1" applyBorder="1" applyAlignment="1">
      <alignment vertical="top" wrapText="1"/>
    </xf>
    <xf fontId="0" fillId="15" borderId="1" numFmtId="3" xfId="0" applyNumberFormat="1" applyFill="1" applyBorder="1"/>
    <xf fontId="0" fillId="13" borderId="1" numFmtId="3" xfId="0" applyNumberFormat="1" applyFill="1" applyBorder="1"/>
    <xf fontId="0" fillId="16" borderId="1" numFmtId="3" xfId="0" applyNumberFormat="1" applyFill="1" applyBorder="1"/>
    <xf fontId="6" fillId="8" borderId="1" numFmtId="3" xfId="0" applyNumberFormat="1" applyFont="1" applyFill="1" applyBorder="1"/>
    <xf fontId="6" fillId="16" borderId="1" numFmtId="0" xfId="0" applyFont="1" applyFill="1" applyBorder="1" applyAlignment="1">
      <alignment horizontal="center"/>
    </xf>
    <xf fontId="6" fillId="16" borderId="1" numFmtId="0" xfId="0" applyFont="1" applyFill="1" applyBorder="1"/>
    <xf fontId="0" fillId="13" borderId="1" numFmtId="0" xfId="0" applyFill="1" applyBorder="1" applyAlignment="1">
      <alignment vertical="center" wrapText="1"/>
    </xf>
    <xf fontId="0" fillId="0" borderId="0" numFmtId="3" xfId="0" applyNumberFormat="1"/>
    <xf fontId="0" fillId="15" borderId="1" numFmtId="3" xfId="0" applyNumberFormat="1" applyFill="1" applyBorder="1" applyAlignment="1">
      <alignment vertical="center"/>
    </xf>
    <xf fontId="0" fillId="15" borderId="1" numFmtId="161" xfId="1" applyNumberFormat="1" applyFill="1" applyBorder="1" applyAlignment="1">
      <alignment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48" Type="http://schemas.openxmlformats.org/officeDocument/2006/relationships/sharedStrings" Target="sharedStrings.xml"/><Relationship  Id="rId147" Type="http://schemas.openxmlformats.org/officeDocument/2006/relationships/theme" Target="theme/theme1.xml"/><Relationship  Id="rId146" Type="http://schemas.openxmlformats.org/officeDocument/2006/relationships/worksheet" Target="worksheets/sheet146.xml"/><Relationship  Id="rId145" Type="http://schemas.openxmlformats.org/officeDocument/2006/relationships/worksheet" Target="worksheets/sheet145.xml"/><Relationship  Id="rId144" Type="http://schemas.openxmlformats.org/officeDocument/2006/relationships/worksheet" Target="worksheets/sheet144.xml"/><Relationship  Id="rId143" Type="http://schemas.openxmlformats.org/officeDocument/2006/relationships/worksheet" Target="worksheets/sheet143.xml"/><Relationship  Id="rId142" Type="http://schemas.openxmlformats.org/officeDocument/2006/relationships/worksheet" Target="worksheets/sheet142.xml"/><Relationship  Id="rId141" Type="http://schemas.openxmlformats.org/officeDocument/2006/relationships/worksheet" Target="worksheets/sheet141.xml"/><Relationship  Id="rId138" Type="http://schemas.openxmlformats.org/officeDocument/2006/relationships/worksheet" Target="worksheets/sheet138.xml"/><Relationship  Id="rId135" Type="http://schemas.openxmlformats.org/officeDocument/2006/relationships/worksheet" Target="worksheets/sheet135.xml"/><Relationship  Id="rId132" Type="http://schemas.openxmlformats.org/officeDocument/2006/relationships/worksheet" Target="worksheets/sheet132.xml"/><Relationship  Id="rId131" Type="http://schemas.openxmlformats.org/officeDocument/2006/relationships/worksheet" Target="worksheets/sheet131.xml"/><Relationship  Id="rId130" Type="http://schemas.openxmlformats.org/officeDocument/2006/relationships/worksheet" Target="worksheets/sheet130.xml"/><Relationship  Id="rId129" Type="http://schemas.openxmlformats.org/officeDocument/2006/relationships/worksheet" Target="worksheets/sheet129.xml"/><Relationship  Id="rId123" Type="http://schemas.openxmlformats.org/officeDocument/2006/relationships/worksheet" Target="worksheets/sheet123.xml"/><Relationship  Id="rId122" Type="http://schemas.openxmlformats.org/officeDocument/2006/relationships/worksheet" Target="worksheets/sheet122.xml"/><Relationship  Id="rId120" Type="http://schemas.openxmlformats.org/officeDocument/2006/relationships/worksheet" Target="worksheets/sheet120.xml"/><Relationship  Id="rId115" Type="http://schemas.openxmlformats.org/officeDocument/2006/relationships/worksheet" Target="worksheets/sheet115.xml"/><Relationship  Id="rId113" Type="http://schemas.openxmlformats.org/officeDocument/2006/relationships/worksheet" Target="worksheets/sheet113.xml"/><Relationship  Id="rId112" Type="http://schemas.openxmlformats.org/officeDocument/2006/relationships/worksheet" Target="worksheets/sheet112.xml"/><Relationship  Id="rId134" Type="http://schemas.openxmlformats.org/officeDocument/2006/relationships/worksheet" Target="worksheets/sheet134.xml"/><Relationship  Id="rId106" Type="http://schemas.openxmlformats.org/officeDocument/2006/relationships/worksheet" Target="worksheets/sheet106.xml"/><Relationship  Id="rId116" Type="http://schemas.openxmlformats.org/officeDocument/2006/relationships/worksheet" Target="worksheets/sheet116.xml"/><Relationship  Id="rId102" Type="http://schemas.openxmlformats.org/officeDocument/2006/relationships/worksheet" Target="worksheets/sheet102.xml"/><Relationship  Id="rId101" Type="http://schemas.openxmlformats.org/officeDocument/2006/relationships/worksheet" Target="worksheets/sheet101.xml"/><Relationship  Id="rId100" Type="http://schemas.openxmlformats.org/officeDocument/2006/relationships/worksheet" Target="worksheets/sheet100.xml"/><Relationship  Id="rId99" Type="http://schemas.openxmlformats.org/officeDocument/2006/relationships/worksheet" Target="worksheets/sheet99.xml"/><Relationship  Id="rId98" Type="http://schemas.openxmlformats.org/officeDocument/2006/relationships/worksheet" Target="worksheets/sheet98.xml"/><Relationship  Id="rId97" Type="http://schemas.openxmlformats.org/officeDocument/2006/relationships/worksheet" Target="worksheets/sheet97.xml"/><Relationship  Id="rId96" Type="http://schemas.openxmlformats.org/officeDocument/2006/relationships/worksheet" Target="worksheets/sheet96.xml"/><Relationship  Id="rId95" Type="http://schemas.openxmlformats.org/officeDocument/2006/relationships/worksheet" Target="worksheets/sheet95.xml"/><Relationship  Id="rId93" Type="http://schemas.openxmlformats.org/officeDocument/2006/relationships/worksheet" Target="worksheets/sheet93.xml"/><Relationship  Id="rId124" Type="http://schemas.openxmlformats.org/officeDocument/2006/relationships/worksheet" Target="worksheets/sheet124.xml"/><Relationship  Id="rId89" Type="http://schemas.openxmlformats.org/officeDocument/2006/relationships/worksheet" Target="worksheets/sheet89.xml"/><Relationship  Id="rId88" Type="http://schemas.openxmlformats.org/officeDocument/2006/relationships/worksheet" Target="worksheets/sheet88.xml"/><Relationship  Id="rId87" Type="http://schemas.openxmlformats.org/officeDocument/2006/relationships/worksheet" Target="worksheets/sheet87.xml"/><Relationship  Id="rId84" Type="http://schemas.openxmlformats.org/officeDocument/2006/relationships/worksheet" Target="worksheets/sheet84.xml"/><Relationship  Id="rId82" Type="http://schemas.openxmlformats.org/officeDocument/2006/relationships/worksheet" Target="worksheets/sheet82.xml"/><Relationship  Id="rId81" Type="http://schemas.openxmlformats.org/officeDocument/2006/relationships/worksheet" Target="worksheets/sheet81.xml"/><Relationship  Id="rId75" Type="http://schemas.openxmlformats.org/officeDocument/2006/relationships/worksheet" Target="worksheets/sheet75.xml"/><Relationship  Id="rId71" Type="http://schemas.openxmlformats.org/officeDocument/2006/relationships/worksheet" Target="worksheets/sheet71.xml"/><Relationship  Id="rId69" Type="http://schemas.openxmlformats.org/officeDocument/2006/relationships/worksheet" Target="worksheets/sheet69.xml"/><Relationship  Id="rId104" Type="http://schemas.openxmlformats.org/officeDocument/2006/relationships/worksheet" Target="worksheets/sheet104.xml"/><Relationship  Id="rId68" Type="http://schemas.openxmlformats.org/officeDocument/2006/relationships/worksheet" Target="worksheets/sheet68.xml"/><Relationship  Id="rId67" Type="http://schemas.openxmlformats.org/officeDocument/2006/relationships/worksheet" Target="worksheets/sheet67.xml"/><Relationship  Id="rId66" Type="http://schemas.openxmlformats.org/officeDocument/2006/relationships/worksheet" Target="worksheets/sheet66.xml"/><Relationship  Id="rId119" Type="http://schemas.openxmlformats.org/officeDocument/2006/relationships/worksheet" Target="worksheets/sheet119.xml"/><Relationship  Id="rId85" Type="http://schemas.openxmlformats.org/officeDocument/2006/relationships/worksheet" Target="worksheets/sheet85.xml"/><Relationship  Id="rId65" Type="http://schemas.openxmlformats.org/officeDocument/2006/relationships/worksheet" Target="worksheets/sheet65.xml"/><Relationship  Id="rId60" Type="http://schemas.openxmlformats.org/officeDocument/2006/relationships/worksheet" Target="worksheets/sheet60.xml"/><Relationship  Id="rId128" Type="http://schemas.openxmlformats.org/officeDocument/2006/relationships/worksheet" Target="worksheets/sheet128.xml"/><Relationship  Id="rId83" Type="http://schemas.openxmlformats.org/officeDocument/2006/relationships/worksheet" Target="worksheets/sheet83.xml"/><Relationship  Id="rId126" Type="http://schemas.openxmlformats.org/officeDocument/2006/relationships/worksheet" Target="worksheets/sheet126.xml"/><Relationship  Id="rId59" Type="http://schemas.openxmlformats.org/officeDocument/2006/relationships/worksheet" Target="worksheets/sheet59.xml"/><Relationship  Id="rId63" Type="http://schemas.openxmlformats.org/officeDocument/2006/relationships/worksheet" Target="worksheets/sheet63.xml"/><Relationship  Id="rId57" Type="http://schemas.openxmlformats.org/officeDocument/2006/relationships/worksheet" Target="worksheets/sheet57.xml"/><Relationship  Id="rId56" Type="http://schemas.openxmlformats.org/officeDocument/2006/relationships/worksheet" Target="worksheets/sheet56.xml"/><Relationship  Id="rId91" Type="http://schemas.openxmlformats.org/officeDocument/2006/relationships/worksheet" Target="worksheets/sheet91.xml"/><Relationship  Id="rId51" Type="http://schemas.openxmlformats.org/officeDocument/2006/relationships/worksheet" Target="worksheets/sheet51.xml"/><Relationship  Id="rId55" Type="http://schemas.openxmlformats.org/officeDocument/2006/relationships/worksheet" Target="worksheets/sheet55.xml"/><Relationship  Id="rId48" Type="http://schemas.openxmlformats.org/officeDocument/2006/relationships/worksheet" Target="worksheets/sheet48.xml"/><Relationship  Id="rId103" Type="http://schemas.openxmlformats.org/officeDocument/2006/relationships/worksheet" Target="worksheets/sheet103.xml"/><Relationship  Id="rId47" Type="http://schemas.openxmlformats.org/officeDocument/2006/relationships/worksheet" Target="worksheets/sheet47.xml"/><Relationship  Id="rId78" Type="http://schemas.openxmlformats.org/officeDocument/2006/relationships/worksheet" Target="worksheets/sheet78.xml"/><Relationship  Id="rId45" Type="http://schemas.openxmlformats.org/officeDocument/2006/relationships/worksheet" Target="worksheets/sheet45.xml"/><Relationship  Id="rId64" Type="http://schemas.openxmlformats.org/officeDocument/2006/relationships/worksheet" Target="worksheets/sheet64.xml"/><Relationship  Id="rId44" Type="http://schemas.openxmlformats.org/officeDocument/2006/relationships/worksheet" Target="worksheets/sheet44.xml"/><Relationship  Id="rId70" Type="http://schemas.openxmlformats.org/officeDocument/2006/relationships/worksheet" Target="worksheets/sheet70.xml"/><Relationship  Id="rId118" Type="http://schemas.openxmlformats.org/officeDocument/2006/relationships/worksheet" Target="worksheets/sheet118.xml"/><Relationship  Id="rId62" Type="http://schemas.openxmlformats.org/officeDocument/2006/relationships/worksheet" Target="worksheets/sheet62.xml"/><Relationship  Id="rId74" Type="http://schemas.openxmlformats.org/officeDocument/2006/relationships/worksheet" Target="worksheets/sheet74.xml"/><Relationship  Id="rId49" Type="http://schemas.openxmlformats.org/officeDocument/2006/relationships/worksheet" Target="worksheets/sheet49.xml"/><Relationship  Id="rId127" Type="http://schemas.openxmlformats.org/officeDocument/2006/relationships/worksheet" Target="worksheets/sheet127.xml"/><Relationship  Id="rId43" Type="http://schemas.openxmlformats.org/officeDocument/2006/relationships/worksheet" Target="worksheets/sheet43.xml"/><Relationship  Id="rId42" Type="http://schemas.openxmlformats.org/officeDocument/2006/relationships/worksheet" Target="worksheets/sheet42.xml"/><Relationship  Id="rId133" Type="http://schemas.openxmlformats.org/officeDocument/2006/relationships/worksheet" Target="worksheets/sheet133.xml"/><Relationship  Id="rId40" Type="http://schemas.openxmlformats.org/officeDocument/2006/relationships/worksheet" Target="worksheets/sheet40.xml"/><Relationship  Id="rId90" Type="http://schemas.openxmlformats.org/officeDocument/2006/relationships/worksheet" Target="worksheets/sheet90.xml"/><Relationship  Id="rId94" Type="http://schemas.openxmlformats.org/officeDocument/2006/relationships/worksheet" Target="worksheets/sheet94.xml"/><Relationship  Id="rId39" Type="http://schemas.openxmlformats.org/officeDocument/2006/relationships/worksheet" Target="worksheets/sheet39.xml"/><Relationship  Id="rId79" Type="http://schemas.openxmlformats.org/officeDocument/2006/relationships/worksheet" Target="worksheets/sheet79.xml"/><Relationship  Id="rId38" Type="http://schemas.openxmlformats.org/officeDocument/2006/relationships/worksheet" Target="worksheets/sheet38.xml"/><Relationship  Id="rId54" Type="http://schemas.openxmlformats.org/officeDocument/2006/relationships/worksheet" Target="worksheets/sheet54.xml"/><Relationship  Id="rId41" Type="http://schemas.openxmlformats.org/officeDocument/2006/relationships/worksheet" Target="worksheets/sheet41.xml"/><Relationship  Id="rId36" Type="http://schemas.openxmlformats.org/officeDocument/2006/relationships/worksheet" Target="worksheets/sheet36.xml"/><Relationship  Id="rId139" Type="http://schemas.openxmlformats.org/officeDocument/2006/relationships/worksheet" Target="worksheets/sheet139.xml"/><Relationship  Id="rId35" Type="http://schemas.openxmlformats.org/officeDocument/2006/relationships/worksheet" Target="worksheets/sheet35.xml"/><Relationship  Id="rId80" Type="http://schemas.openxmlformats.org/officeDocument/2006/relationships/worksheet" Target="worksheets/sheet80.xml"/><Relationship  Id="rId107" Type="http://schemas.openxmlformats.org/officeDocument/2006/relationships/worksheet" Target="worksheets/sheet107.xml"/><Relationship  Id="rId137" Type="http://schemas.openxmlformats.org/officeDocument/2006/relationships/worksheet" Target="worksheets/sheet137.xml"/><Relationship  Id="rId34" Type="http://schemas.openxmlformats.org/officeDocument/2006/relationships/worksheet" Target="worksheets/sheet34.xml"/><Relationship  Id="rId58" Type="http://schemas.openxmlformats.org/officeDocument/2006/relationships/worksheet" Target="worksheets/sheet58.xml"/><Relationship  Id="rId33" Type="http://schemas.openxmlformats.org/officeDocument/2006/relationships/worksheet" Target="worksheets/sheet33.xml"/><Relationship  Id="rId29" Type="http://schemas.openxmlformats.org/officeDocument/2006/relationships/worksheet" Target="worksheets/sheet29.xml"/><Relationship  Id="rId28" Type="http://schemas.openxmlformats.org/officeDocument/2006/relationships/worksheet" Target="worksheets/sheet28.xml"/><Relationship  Id="rId27" Type="http://schemas.openxmlformats.org/officeDocument/2006/relationships/worksheet" Target="worksheets/sheet27.xml"/><Relationship  Id="rId52" Type="http://schemas.openxmlformats.org/officeDocument/2006/relationships/worksheet" Target="worksheets/sheet52.xml"/><Relationship  Id="rId23" Type="http://schemas.openxmlformats.org/officeDocument/2006/relationships/worksheet" Target="worksheets/sheet23.xml"/><Relationship  Id="rId149" Type="http://schemas.openxmlformats.org/officeDocument/2006/relationships/styles" Target="styles.xml"/><Relationship  Id="rId61" Type="http://schemas.openxmlformats.org/officeDocument/2006/relationships/worksheet" Target="worksheets/sheet61.xml"/><Relationship  Id="rId22" Type="http://schemas.openxmlformats.org/officeDocument/2006/relationships/worksheet" Target="worksheets/sheet22.xml"/><Relationship  Id="rId76" Type="http://schemas.openxmlformats.org/officeDocument/2006/relationships/worksheet" Target="worksheets/sheet76.xml"/><Relationship  Id="rId21" Type="http://schemas.openxmlformats.org/officeDocument/2006/relationships/worksheet" Target="worksheets/sheet21.xml"/><Relationship  Id="rId25" Type="http://schemas.openxmlformats.org/officeDocument/2006/relationships/worksheet" Target="worksheets/sheet25.xml"/><Relationship  Id="rId13" Type="http://schemas.openxmlformats.org/officeDocument/2006/relationships/worksheet" Target="worksheets/sheet13.xml"/><Relationship  Id="rId50" Type="http://schemas.openxmlformats.org/officeDocument/2006/relationships/worksheet" Target="worksheets/sheet50.xml"/><Relationship  Id="rId11" Type="http://schemas.openxmlformats.org/officeDocument/2006/relationships/worksheet" Target="worksheets/sheet11.xml"/><Relationship  Id="rId24" Type="http://schemas.openxmlformats.org/officeDocument/2006/relationships/worksheet" Target="worksheets/sheet24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8" Type="http://schemas.openxmlformats.org/officeDocument/2006/relationships/worksheet" Target="worksheets/sheet18.xml"/><Relationship  Id="rId26" Type="http://schemas.openxmlformats.org/officeDocument/2006/relationships/worksheet" Target="worksheets/sheet26.xml"/><Relationship  Id="rId86" Type="http://schemas.openxmlformats.org/officeDocument/2006/relationships/worksheet" Target="worksheets/sheet86.xml"/><Relationship  Id="rId53" Type="http://schemas.openxmlformats.org/officeDocument/2006/relationships/worksheet" Target="worksheets/sheet53.xml"/><Relationship  Id="rId111" Type="http://schemas.openxmlformats.org/officeDocument/2006/relationships/worksheet" Target="worksheets/sheet111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20" Type="http://schemas.openxmlformats.org/officeDocument/2006/relationships/worksheet" Target="worksheets/sheet20.xml"/><Relationship  Id="rId136" Type="http://schemas.openxmlformats.org/officeDocument/2006/relationships/worksheet" Target="worksheets/sheet136.xml"/><Relationship  Id="rId31" Type="http://schemas.openxmlformats.org/officeDocument/2006/relationships/worksheet" Target="worksheets/sheet31.xml"/><Relationship  Id="rId37" Type="http://schemas.openxmlformats.org/officeDocument/2006/relationships/worksheet" Target="worksheets/sheet37.xml"/><Relationship  Id="rId19" Type="http://schemas.openxmlformats.org/officeDocument/2006/relationships/worksheet" Target="worksheets/sheet19.xml"/><Relationship  Id="rId117" Type="http://schemas.openxmlformats.org/officeDocument/2006/relationships/worksheet" Target="worksheets/sheet117.xml"/><Relationship  Id="rId46" Type="http://schemas.openxmlformats.org/officeDocument/2006/relationships/worksheet" Target="worksheets/sheet46.xml"/><Relationship  Id="rId7" Type="http://schemas.openxmlformats.org/officeDocument/2006/relationships/worksheet" Target="worksheets/sheet7.xml"/><Relationship  Id="rId114" Type="http://schemas.openxmlformats.org/officeDocument/2006/relationships/worksheet" Target="worksheets/sheet114.xml"/><Relationship  Id="rId14" Type="http://schemas.openxmlformats.org/officeDocument/2006/relationships/worksheet" Target="worksheets/sheet14.xml"/><Relationship  Id="rId73" Type="http://schemas.openxmlformats.org/officeDocument/2006/relationships/worksheet" Target="worksheets/sheet73.xml"/><Relationship  Id="rId125" Type="http://schemas.openxmlformats.org/officeDocument/2006/relationships/worksheet" Target="worksheets/sheet125.xml"/><Relationship  Id="rId6" Type="http://schemas.openxmlformats.org/officeDocument/2006/relationships/worksheet" Target="worksheets/sheet6.xml"/><Relationship  Id="rId77" Type="http://schemas.openxmlformats.org/officeDocument/2006/relationships/worksheet" Target="worksheets/sheet77.xml"/><Relationship  Id="rId109" Type="http://schemas.openxmlformats.org/officeDocument/2006/relationships/worksheet" Target="worksheets/sheet109.xml"/><Relationship  Id="rId5" Type="http://schemas.openxmlformats.org/officeDocument/2006/relationships/worksheet" Target="worksheets/sheet5.xml"/><Relationship  Id="rId16" Type="http://schemas.openxmlformats.org/officeDocument/2006/relationships/worksheet" Target="worksheets/sheet16.xml"/><Relationship  Id="rId4" Type="http://schemas.openxmlformats.org/officeDocument/2006/relationships/worksheet" Target="worksheets/sheet4.xml"/><Relationship  Id="rId110" Type="http://schemas.openxmlformats.org/officeDocument/2006/relationships/worksheet" Target="worksheets/sheet110.xml"/><Relationship  Id="rId12" Type="http://schemas.openxmlformats.org/officeDocument/2006/relationships/worksheet" Target="worksheets/sheet12.xml"/><Relationship  Id="rId105" Type="http://schemas.openxmlformats.org/officeDocument/2006/relationships/worksheet" Target="worksheets/sheet105.xml"/><Relationship  Id="rId32" Type="http://schemas.openxmlformats.org/officeDocument/2006/relationships/worksheet" Target="worksheets/sheet32.xml"/><Relationship  Id="rId72" Type="http://schemas.openxmlformats.org/officeDocument/2006/relationships/worksheet" Target="worksheets/sheet72.xml"/><Relationship  Id="rId3" Type="http://schemas.openxmlformats.org/officeDocument/2006/relationships/worksheet" Target="worksheets/sheet3.xml"/><Relationship  Id="rId30" Type="http://schemas.openxmlformats.org/officeDocument/2006/relationships/worksheet" Target="worksheets/sheet30.xml"/><Relationship  Id="rId121" Type="http://schemas.openxmlformats.org/officeDocument/2006/relationships/worksheet" Target="worksheets/sheet121.xml"/><Relationship  Id="rId2" Type="http://schemas.openxmlformats.org/officeDocument/2006/relationships/worksheet" Target="worksheets/sheet2.xml"/><Relationship  Id="rId108" Type="http://schemas.openxmlformats.org/officeDocument/2006/relationships/worksheet" Target="worksheets/sheet108.xml"/><Relationship  Id="rId140" Type="http://schemas.openxmlformats.org/officeDocument/2006/relationships/worksheet" Target="worksheets/sheet140.xml"/><Relationship  Id="rId1" Type="http://schemas.openxmlformats.org/officeDocument/2006/relationships/worksheet" Target="worksheets/sheet1.xml"/><Relationship  Id="rId92" Type="http://schemas.openxmlformats.org/officeDocument/2006/relationships/worksheet" Target="worksheets/sheet92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5" workbookViewId="0">
      <pane xSplit="3" ySplit="2" topLeftCell="D3" activePane="bottomRight" state="frozen"/>
      <selection activeCell="A11" activeCellId="0" sqref="A1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bestFit="1" customWidth="1" min="6" max="6" width="15.00390625"/>
    <col customWidth="1" min="7" max="7" width="15.6640625"/>
    <col bestFit="1" customWidth="1" min="8" max="8" width="17.44140625"/>
    <col customWidth="1" min="9" max="9" width="15.6640625"/>
    <col customWidth="1" min="10" max="12" outlineLevel="1" width="15.5546875"/>
    <col customWidth="1" min="13" max="13" outlineLevel="1" width="15.6640625"/>
    <col customWidth="1" min="14" max="14" width="15.6640625"/>
    <col customWidth="1" min="15" max="15" width="16"/>
    <col customWidth="1" min="16" max="16" width="12.88671875"/>
    <col customWidth="1" min="17" max="18" width="16.6640625"/>
    <col customWidth="1" min="19" max="19" width="15.44140625"/>
  </cols>
  <sheetData>
    <row r="1" ht="14.25">
      <c r="J1" t="s">
        <v>0</v>
      </c>
      <c r="K1" t="s">
        <v>1</v>
      </c>
      <c r="L1" t="s">
        <v>2</v>
      </c>
      <c r="M1" t="s">
        <v>3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3" t="s">
        <v>13</v>
      </c>
      <c r="K2" s="4" t="s">
        <v>13</v>
      </c>
      <c r="L2" s="4" t="s">
        <v>13</v>
      </c>
      <c r="M2" s="4" t="s">
        <v>13</v>
      </c>
      <c r="N2" s="5" t="s">
        <v>14</v>
      </c>
      <c r="O2" s="6" t="s">
        <v>15</v>
      </c>
      <c r="P2" s="6" t="s">
        <v>16</v>
      </c>
      <c r="Q2" s="7" t="s">
        <v>17</v>
      </c>
      <c r="R2" s="7" t="s">
        <v>18</v>
      </c>
      <c r="S2" s="7" t="s">
        <v>19</v>
      </c>
    </row>
    <row r="3">
      <c r="A3" s="8" t="s">
        <v>20</v>
      </c>
      <c r="B3" s="9" t="s">
        <v>21</v>
      </c>
      <c r="C3" s="10">
        <v>641334</v>
      </c>
      <c r="D3" s="11">
        <v>2.8923780588381258</v>
      </c>
      <c r="E3" s="12">
        <f>C3*D3</f>
        <v>1854980.3899868906</v>
      </c>
      <c r="F3" s="13"/>
      <c r="G3" s="13">
        <v>0</v>
      </c>
      <c r="H3" s="13">
        <v>0</v>
      </c>
      <c r="I3" s="13">
        <f>F3-(G3+H3)</f>
        <v>0</v>
      </c>
      <c r="J3" s="14">
        <v>0</v>
      </c>
      <c r="K3" s="15">
        <v>55500</v>
      </c>
      <c r="L3" s="15">
        <v>37000</v>
      </c>
      <c r="M3" s="14">
        <v>0</v>
      </c>
      <c r="N3" s="16">
        <v>56102</v>
      </c>
      <c r="O3" s="14">
        <f>G3+H3+N3</f>
        <v>56102</v>
      </c>
      <c r="P3" s="14">
        <f>O3-F3</f>
        <v>56102</v>
      </c>
      <c r="Q3" s="17">
        <f>C3-G3</f>
        <v>641334</v>
      </c>
      <c r="R3" s="18">
        <f>+G3*D3</f>
        <v>0</v>
      </c>
      <c r="S3" s="19">
        <f>R3/E3</f>
        <v>0</v>
      </c>
    </row>
    <row r="4">
      <c r="A4" s="9" t="s">
        <v>22</v>
      </c>
      <c r="B4" s="9" t="s">
        <v>23</v>
      </c>
      <c r="C4" s="10">
        <v>300000</v>
      </c>
      <c r="D4" s="11">
        <v>1.3029343529557731</v>
      </c>
      <c r="E4" s="12">
        <f>C4*D4</f>
        <v>390880.30588673195</v>
      </c>
      <c r="F4" s="13"/>
      <c r="G4" s="13">
        <v>0</v>
      </c>
      <c r="H4" s="13">
        <v>0</v>
      </c>
      <c r="I4" s="13">
        <f>F4-(G4+H4)</f>
        <v>0</v>
      </c>
      <c r="J4" s="15">
        <v>146462</v>
      </c>
      <c r="K4" s="14">
        <v>0</v>
      </c>
      <c r="L4" s="14">
        <v>0</v>
      </c>
      <c r="M4" s="14">
        <v>0</v>
      </c>
      <c r="N4" s="16">
        <v>442871</v>
      </c>
      <c r="O4" s="14">
        <f>G4+H4+N4</f>
        <v>442871</v>
      </c>
      <c r="P4" s="14">
        <f>O4-F4</f>
        <v>442871</v>
      </c>
      <c r="Q4" s="17">
        <f>C4-G4</f>
        <v>300000</v>
      </c>
      <c r="R4" s="18">
        <f>+G4*D4</f>
        <v>0</v>
      </c>
      <c r="S4" s="19">
        <f>R4/E4</f>
        <v>0</v>
      </c>
    </row>
    <row r="5">
      <c r="A5" s="9" t="s">
        <v>24</v>
      </c>
      <c r="B5" s="9" t="s">
        <v>25</v>
      </c>
      <c r="C5" s="10">
        <v>0</v>
      </c>
      <c r="D5" s="11">
        <v>4.6805391470734206</v>
      </c>
      <c r="E5" s="12">
        <f>C5*D5</f>
        <v>0</v>
      </c>
      <c r="F5" s="13"/>
      <c r="G5" s="13">
        <v>0</v>
      </c>
      <c r="H5" s="13">
        <v>0</v>
      </c>
      <c r="I5" s="13">
        <f>F5-(G5+H5)</f>
        <v>0</v>
      </c>
      <c r="J5" s="15">
        <v>98283</v>
      </c>
      <c r="K5" s="14">
        <v>0</v>
      </c>
      <c r="L5" s="14">
        <v>0</v>
      </c>
      <c r="M5" s="14">
        <v>0</v>
      </c>
      <c r="N5" s="16">
        <v>0</v>
      </c>
      <c r="O5" s="14">
        <f>G5+H5+N5</f>
        <v>0</v>
      </c>
      <c r="P5" s="14">
        <f>O5-F5</f>
        <v>0</v>
      </c>
      <c r="Q5" s="17">
        <f>C5-G5</f>
        <v>0</v>
      </c>
      <c r="R5" s="18">
        <f>+G5*D5</f>
        <v>0</v>
      </c>
      <c r="S5" s="19" t="e">
        <f>R5/E5</f>
        <v>#DIV/0!</v>
      </c>
    </row>
    <row r="6">
      <c r="A6" s="9" t="s">
        <v>26</v>
      </c>
      <c r="B6" s="9" t="s">
        <v>27</v>
      </c>
      <c r="C6" s="10">
        <v>546674</v>
      </c>
      <c r="D6" s="11">
        <v>1.1430280588381259</v>
      </c>
      <c r="E6" s="12">
        <f>C6*D6</f>
        <v>624863.72103727364</v>
      </c>
      <c r="F6" s="13"/>
      <c r="G6" s="13">
        <v>0</v>
      </c>
      <c r="H6" s="13">
        <v>0</v>
      </c>
      <c r="I6" s="13">
        <f>F6-(G6+H6)</f>
        <v>0</v>
      </c>
      <c r="J6" s="14">
        <v>0</v>
      </c>
      <c r="K6" s="14">
        <v>0</v>
      </c>
      <c r="L6" s="14">
        <v>0</v>
      </c>
      <c r="M6" s="15">
        <v>157500</v>
      </c>
      <c r="N6" s="16">
        <v>0</v>
      </c>
      <c r="O6" s="14">
        <f>G6+H6+N6</f>
        <v>0</v>
      </c>
      <c r="P6" s="14">
        <f>O6-F6</f>
        <v>0</v>
      </c>
      <c r="Q6" s="17">
        <f>C6-G6</f>
        <v>546674</v>
      </c>
      <c r="R6" s="18">
        <f>+G6*D6</f>
        <v>0</v>
      </c>
      <c r="S6" s="19">
        <f>R6/E6</f>
        <v>0</v>
      </c>
    </row>
    <row r="7">
      <c r="A7" s="9" t="s">
        <v>28</v>
      </c>
      <c r="B7" s="9" t="s">
        <v>29</v>
      </c>
      <c r="C7" s="10">
        <v>349200</v>
      </c>
      <c r="D7" s="11">
        <v>0.63422805883812572</v>
      </c>
      <c r="E7" s="12">
        <f>C7*D7</f>
        <v>221472.43814627349</v>
      </c>
      <c r="F7" s="13"/>
      <c r="G7" s="13">
        <v>0</v>
      </c>
      <c r="H7" s="13">
        <v>0</v>
      </c>
      <c r="I7" s="13">
        <f>F7-(G7+H7)</f>
        <v>0</v>
      </c>
      <c r="J7" s="14">
        <v>0</v>
      </c>
      <c r="K7" s="14">
        <v>0</v>
      </c>
      <c r="L7" s="14">
        <v>0</v>
      </c>
      <c r="M7" s="14">
        <v>0</v>
      </c>
      <c r="N7" s="16">
        <v>139</v>
      </c>
      <c r="O7" s="14">
        <f>G7+H7+N7</f>
        <v>139</v>
      </c>
      <c r="P7" s="14">
        <f>O7-F7</f>
        <v>139</v>
      </c>
      <c r="Q7" s="17">
        <f>C7-G7</f>
        <v>349200</v>
      </c>
      <c r="R7" s="18">
        <f>+G7*D7</f>
        <v>0</v>
      </c>
      <c r="S7" s="19">
        <f>R7/E7</f>
        <v>0</v>
      </c>
    </row>
    <row r="8">
      <c r="A8" s="9" t="s">
        <v>30</v>
      </c>
      <c r="B8" s="9" t="s">
        <v>31</v>
      </c>
      <c r="C8" s="10">
        <v>654750</v>
      </c>
      <c r="D8" s="11">
        <v>0.89352805883812592</v>
      </c>
      <c r="E8" s="12">
        <f>C8*D8</f>
        <v>585037.49652426294</v>
      </c>
      <c r="F8" s="13"/>
      <c r="G8" s="13">
        <v>0</v>
      </c>
      <c r="H8" s="13">
        <v>0</v>
      </c>
      <c r="I8" s="13">
        <f>F8-(G8+H8)</f>
        <v>0</v>
      </c>
      <c r="J8" s="14">
        <v>0</v>
      </c>
      <c r="K8" s="14">
        <v>0</v>
      </c>
      <c r="L8" s="14">
        <v>0</v>
      </c>
      <c r="M8" s="14">
        <v>0</v>
      </c>
      <c r="N8" s="16">
        <v>0</v>
      </c>
      <c r="O8" s="14">
        <f>G8+H8+N8</f>
        <v>0</v>
      </c>
      <c r="P8" s="14">
        <f>O8-F8</f>
        <v>0</v>
      </c>
      <c r="Q8" s="17">
        <f>C8-G8</f>
        <v>654750</v>
      </c>
      <c r="R8" s="18">
        <f>+G8*D8</f>
        <v>0</v>
      </c>
      <c r="S8" s="19">
        <f>R8/E8</f>
        <v>0</v>
      </c>
    </row>
    <row r="9">
      <c r="A9" s="9" t="s">
        <v>32</v>
      </c>
      <c r="B9" s="9" t="s">
        <v>33</v>
      </c>
      <c r="C9" s="10">
        <v>73575</v>
      </c>
      <c r="D9" s="11">
        <v>1.0683280588381256</v>
      </c>
      <c r="E9" s="12">
        <f>C9*D9</f>
        <v>78602.236929015096</v>
      </c>
      <c r="F9" s="13"/>
      <c r="G9" s="13">
        <v>0</v>
      </c>
      <c r="H9" s="13">
        <v>0</v>
      </c>
      <c r="I9" s="13">
        <f>F9-(G9+H9)</f>
        <v>0</v>
      </c>
      <c r="J9" s="14">
        <v>0</v>
      </c>
      <c r="K9" s="14">
        <v>0</v>
      </c>
      <c r="L9" s="14">
        <v>0</v>
      </c>
      <c r="M9" s="15">
        <v>312000</v>
      </c>
      <c r="N9" s="16">
        <v>0</v>
      </c>
      <c r="O9" s="14">
        <f>G9+H9+N9</f>
        <v>0</v>
      </c>
      <c r="P9" s="14">
        <f>O9-F9</f>
        <v>0</v>
      </c>
      <c r="Q9" s="17">
        <f>C9-G9</f>
        <v>73575</v>
      </c>
      <c r="R9" s="18">
        <f>+G9*D9</f>
        <v>0</v>
      </c>
      <c r="S9" s="19">
        <f>R9/E9</f>
        <v>0</v>
      </c>
    </row>
    <row r="10">
      <c r="A10" s="9" t="s">
        <v>34</v>
      </c>
      <c r="B10" s="9" t="s">
        <v>35</v>
      </c>
      <c r="C10" s="10">
        <v>225280</v>
      </c>
      <c r="D10" s="11">
        <v>2.1696780588381257</v>
      </c>
      <c r="E10" s="12">
        <f>C10*D10</f>
        <v>488785.07309505297</v>
      </c>
      <c r="F10" s="13"/>
      <c r="G10" s="13">
        <v>0</v>
      </c>
      <c r="H10" s="13">
        <v>0</v>
      </c>
      <c r="I10" s="13">
        <f>F10-(G10+H10)</f>
        <v>0</v>
      </c>
      <c r="J10" s="14">
        <v>0</v>
      </c>
      <c r="K10" s="14">
        <v>0</v>
      </c>
      <c r="L10" s="14">
        <v>0</v>
      </c>
      <c r="M10" s="14">
        <v>0</v>
      </c>
      <c r="N10" s="16">
        <v>6</v>
      </c>
      <c r="O10" s="14">
        <f>G10+H8+N10</f>
        <v>6</v>
      </c>
      <c r="P10" s="14">
        <f>O10-F10</f>
        <v>6</v>
      </c>
      <c r="Q10" s="17">
        <f>C10-G10</f>
        <v>225280</v>
      </c>
      <c r="R10" s="18">
        <f>+G10*D10</f>
        <v>0</v>
      </c>
      <c r="S10" s="19">
        <f>R10/E10</f>
        <v>0</v>
      </c>
    </row>
    <row r="11">
      <c r="A11" s="9" t="s">
        <v>36</v>
      </c>
      <c r="B11" s="9" t="s">
        <v>37</v>
      </c>
      <c r="C11" s="10">
        <v>0</v>
      </c>
      <c r="D11" s="11">
        <v>1.5549280588381262</v>
      </c>
      <c r="E11" s="12">
        <f>C11*D11</f>
        <v>0</v>
      </c>
      <c r="F11" s="13"/>
      <c r="G11" s="13">
        <v>0</v>
      </c>
      <c r="H11" s="13">
        <v>0</v>
      </c>
      <c r="I11" s="13">
        <f>F11-(G11+H11)</f>
        <v>0</v>
      </c>
      <c r="J11" s="14">
        <v>0</v>
      </c>
      <c r="K11" s="14">
        <v>0</v>
      </c>
      <c r="L11" s="14">
        <v>0</v>
      </c>
      <c r="M11" s="14">
        <v>0</v>
      </c>
      <c r="N11" s="16">
        <v>0</v>
      </c>
      <c r="O11" s="14">
        <f>G11+H11+N11</f>
        <v>0</v>
      </c>
      <c r="P11" s="14">
        <f>O11-F11</f>
        <v>0</v>
      </c>
      <c r="Q11" s="17">
        <f>C11-G11</f>
        <v>0</v>
      </c>
      <c r="R11" s="18">
        <f>+G11*D11</f>
        <v>0</v>
      </c>
      <c r="S11" s="19" t="e">
        <f>R11/E11</f>
        <v>#DIV/0!</v>
      </c>
    </row>
    <row r="12">
      <c r="A12" s="9" t="s">
        <v>38</v>
      </c>
      <c r="B12" s="9" t="s">
        <v>39</v>
      </c>
      <c r="C12" s="10">
        <v>0</v>
      </c>
      <c r="D12" s="11">
        <v>2.9832780588381254</v>
      </c>
      <c r="E12" s="12">
        <f>C12*D12</f>
        <v>0</v>
      </c>
      <c r="F12" s="13"/>
      <c r="G12" s="13">
        <v>0</v>
      </c>
      <c r="H12" s="13">
        <v>0</v>
      </c>
      <c r="I12" s="13">
        <f>F12-(G12+H12)</f>
        <v>0</v>
      </c>
      <c r="J12" s="14">
        <v>0</v>
      </c>
      <c r="K12" s="14">
        <v>0</v>
      </c>
      <c r="L12" s="14">
        <v>0</v>
      </c>
      <c r="M12" s="14">
        <v>0</v>
      </c>
      <c r="N12" s="16">
        <v>0</v>
      </c>
      <c r="O12" s="14">
        <f>G12+H12+N12</f>
        <v>0</v>
      </c>
      <c r="P12" s="14">
        <f>O12-F12</f>
        <v>0</v>
      </c>
      <c r="Q12" s="17">
        <f>C12-G12</f>
        <v>0</v>
      </c>
      <c r="R12" s="18">
        <f>+G12*D12</f>
        <v>0</v>
      </c>
      <c r="S12" s="19" t="e">
        <f>R12/E12</f>
        <v>#DIV/0!</v>
      </c>
    </row>
    <row r="13">
      <c r="A13" s="9" t="s">
        <v>40</v>
      </c>
      <c r="B13" s="9" t="s">
        <v>41</v>
      </c>
      <c r="C13" s="10">
        <v>0</v>
      </c>
      <c r="D13" s="11">
        <v>4.3295293823675376</v>
      </c>
      <c r="E13" s="12">
        <f>C13*D13</f>
        <v>0</v>
      </c>
      <c r="F13" s="13"/>
      <c r="G13" s="13">
        <v>0</v>
      </c>
      <c r="H13" s="13">
        <v>0</v>
      </c>
      <c r="I13" s="13">
        <f>F13-(G13+H13)</f>
        <v>0</v>
      </c>
      <c r="J13" s="14">
        <v>0</v>
      </c>
      <c r="K13" s="14">
        <v>0</v>
      </c>
      <c r="L13" s="14">
        <v>0</v>
      </c>
      <c r="M13" s="14">
        <v>0</v>
      </c>
      <c r="N13" s="16">
        <v>0</v>
      </c>
      <c r="O13" s="14">
        <f>G13+H13+N13</f>
        <v>0</v>
      </c>
      <c r="P13" s="14">
        <f>O13-F13</f>
        <v>0</v>
      </c>
      <c r="Q13" s="17">
        <f>C13-G13</f>
        <v>0</v>
      </c>
      <c r="R13" s="18">
        <f>+G13*D13</f>
        <v>0</v>
      </c>
      <c r="S13" s="19" t="e">
        <f>R13/E13</f>
        <v>#DIV/0!</v>
      </c>
    </row>
    <row r="14">
      <c r="A14" s="9" t="s">
        <v>42</v>
      </c>
      <c r="B14" s="9" t="s">
        <v>43</v>
      </c>
      <c r="C14" s="10">
        <v>0</v>
      </c>
      <c r="D14" s="11">
        <v>8.9388782058969483</v>
      </c>
      <c r="E14" s="12">
        <f>C14*D14</f>
        <v>0</v>
      </c>
      <c r="F14" s="13"/>
      <c r="G14" s="13">
        <v>0</v>
      </c>
      <c r="H14" s="13">
        <v>0</v>
      </c>
      <c r="I14" s="13">
        <f>F14-(G14+H14)</f>
        <v>0</v>
      </c>
      <c r="J14" s="14">
        <v>0</v>
      </c>
      <c r="K14" s="14">
        <v>0</v>
      </c>
      <c r="L14" s="14">
        <v>0</v>
      </c>
      <c r="M14" s="14">
        <v>0</v>
      </c>
      <c r="N14" s="16">
        <v>0</v>
      </c>
      <c r="O14" s="14">
        <f>G14+H14+N14</f>
        <v>0</v>
      </c>
      <c r="P14" s="14">
        <f>O14-F14</f>
        <v>0</v>
      </c>
      <c r="Q14" s="17">
        <f>C14-G14</f>
        <v>0</v>
      </c>
      <c r="R14" s="18">
        <f>+G14*D14</f>
        <v>0</v>
      </c>
      <c r="S14" s="19" t="e">
        <f>R14/E14</f>
        <v>#DIV/0!</v>
      </c>
    </row>
    <row r="15">
      <c r="A15" s="8" t="s">
        <v>44</v>
      </c>
      <c r="B15" s="9" t="s">
        <v>45</v>
      </c>
      <c r="C15" s="10">
        <v>0</v>
      </c>
      <c r="D15" s="11">
        <v>12.061373764720482</v>
      </c>
      <c r="E15" s="12">
        <f>C15*D15</f>
        <v>0</v>
      </c>
      <c r="F15" s="13"/>
      <c r="G15" s="13">
        <v>0</v>
      </c>
      <c r="H15" s="13">
        <v>0</v>
      </c>
      <c r="I15" s="13">
        <f>F15-(G15+H15)</f>
        <v>0</v>
      </c>
      <c r="J15" s="14">
        <v>0</v>
      </c>
      <c r="K15" s="14">
        <v>0</v>
      </c>
      <c r="L15" s="14">
        <v>0</v>
      </c>
      <c r="M15" s="14">
        <v>0</v>
      </c>
      <c r="N15" s="16">
        <v>0</v>
      </c>
      <c r="O15" s="14">
        <f>G15+H15+N15</f>
        <v>0</v>
      </c>
      <c r="P15" s="14">
        <f>O15-F15</f>
        <v>0</v>
      </c>
      <c r="Q15" s="17">
        <f>C15-G15</f>
        <v>0</v>
      </c>
      <c r="R15" s="18">
        <f>+G15*D15</f>
        <v>0</v>
      </c>
      <c r="S15" s="19" t="e">
        <f>R15/E15</f>
        <v>#DIV/0!</v>
      </c>
    </row>
    <row r="16">
      <c r="A16" s="20" t="s">
        <v>46</v>
      </c>
      <c r="B16" s="9" t="s">
        <v>47</v>
      </c>
      <c r="C16" s="10">
        <v>0</v>
      </c>
      <c r="D16" s="11">
        <v>0.40322805883812579</v>
      </c>
      <c r="E16" s="12">
        <f>C16*D16</f>
        <v>0</v>
      </c>
      <c r="F16" s="13"/>
      <c r="G16" s="13">
        <v>0</v>
      </c>
      <c r="H16" s="13">
        <v>0</v>
      </c>
      <c r="I16" s="13">
        <f>F16-(G16+H16)</f>
        <v>0</v>
      </c>
      <c r="J16" s="14"/>
      <c r="K16" s="14"/>
      <c r="L16" s="14"/>
      <c r="M16" s="14"/>
      <c r="N16" s="16">
        <v>0</v>
      </c>
      <c r="O16" s="14">
        <f>G16+H16+N16</f>
        <v>0</v>
      </c>
      <c r="P16" s="14">
        <f>O16-F16</f>
        <v>0</v>
      </c>
      <c r="Q16" s="17">
        <f>C16-G16</f>
        <v>0</v>
      </c>
      <c r="R16" s="18">
        <f>+G16*D16</f>
        <v>0</v>
      </c>
      <c r="S16" s="19" t="e">
        <f>R16/E16</f>
        <v>#DIV/0!</v>
      </c>
    </row>
    <row r="17">
      <c r="A17" s="20" t="s">
        <v>48</v>
      </c>
      <c r="B17" s="9" t="s">
        <v>49</v>
      </c>
      <c r="C17" s="10">
        <v>1187</v>
      </c>
      <c r="D17" s="11">
        <v>3.0573254068481477</v>
      </c>
      <c r="E17" s="12">
        <f>C17*D17</f>
        <v>3629.0452579287512</v>
      </c>
      <c r="F17" s="13"/>
      <c r="G17" s="13">
        <v>0</v>
      </c>
      <c r="H17" s="13">
        <v>0</v>
      </c>
      <c r="I17" s="13">
        <f>F17-(G17+H17)</f>
        <v>0</v>
      </c>
      <c r="J17" s="14"/>
      <c r="K17" s="14"/>
      <c r="L17" s="14"/>
      <c r="M17" s="14"/>
      <c r="N17" s="16">
        <v>1187</v>
      </c>
      <c r="O17" s="14">
        <f>G17+H17+N17</f>
        <v>1187</v>
      </c>
      <c r="P17" s="14">
        <f>O17-F17</f>
        <v>1187</v>
      </c>
      <c r="Q17" s="17">
        <f>C17-G17</f>
        <v>1187</v>
      </c>
      <c r="R17" s="18">
        <f>+G17*D17</f>
        <v>0</v>
      </c>
      <c r="S17" s="19">
        <f>R17/E17</f>
        <v>0</v>
      </c>
    </row>
    <row r="18" ht="16.5">
      <c r="A18" s="21" t="s">
        <v>50</v>
      </c>
      <c r="B18" s="21"/>
      <c r="C18" s="22">
        <f>SUM(C3:C17)</f>
        <v>2792000</v>
      </c>
      <c r="D18" s="23"/>
      <c r="E18" s="22">
        <f>SUM(E3:E17)</f>
        <v>4248250.7068634303</v>
      </c>
      <c r="F18" s="21"/>
      <c r="G18" s="24">
        <f>SUM(G3:G17)</f>
        <v>0</v>
      </c>
      <c r="H18" s="24">
        <f>SUM(H3:H17)</f>
        <v>0</v>
      </c>
      <c r="I18" s="21"/>
      <c r="J18" s="21"/>
      <c r="K18" s="21"/>
      <c r="L18" s="21"/>
      <c r="M18" s="21"/>
      <c r="N18" s="25">
        <f>SUM(N3:N17)</f>
        <v>500305</v>
      </c>
      <c r="O18" s="21"/>
      <c r="P18" s="21"/>
      <c r="Q18" s="26">
        <f>SUM(Q3:Q17)</f>
        <v>2792000</v>
      </c>
      <c r="R18" s="26">
        <f>SUM(R3:R17)</f>
        <v>0</v>
      </c>
      <c r="S18" s="27">
        <f>R18/E18</f>
        <v>0</v>
      </c>
    </row>
    <row r="19">
      <c r="B19" s="28"/>
      <c r="C19" s="28"/>
      <c r="D19" s="28"/>
      <c r="E19" s="28"/>
    </row>
    <row r="20">
      <c r="B20" s="28"/>
      <c r="C20" s="28"/>
      <c r="D20" s="28"/>
      <c r="E20" s="28"/>
    </row>
    <row r="21">
      <c r="B21" s="28"/>
      <c r="C21" s="28"/>
      <c r="D21" s="28"/>
      <c r="E21" s="28"/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A2:S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09D00F6-00B5-4E18-AB48-00BF00720033}">
            <xm:f>$TT20&gt;41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3" operator="greaterThan" id="{000600C0-00D0-4A8A-B379-007E006200B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S3:S18</xm:sqref>
        </x14:conditionalFormatting>
        <x14:conditionalFormatting xmlns:xm="http://schemas.microsoft.com/office/excel/2006/main">
          <x14:cfRule type="cellIs" priority="2" operator="lessThan" id="{00D3003B-00CF-45B0-8DBC-0092003700B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S3:S18</xm:sqref>
        </x14:conditionalFormatting>
        <x14:conditionalFormatting xmlns:xm="http://schemas.microsoft.com/office/excel/2006/main">
          <x14:cfRule type="cellIs" priority="1" operator="between" id="{004B004F-00A1-4018-BFF4-00C30014008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S3:S18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23" activeCellId="0" sqref="I23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66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88">C3*D3</f>
        <v>1870761.2046759115</v>
      </c>
      <c r="F3" s="13">
        <v>0</v>
      </c>
      <c r="G3" s="43">
        <v>522045</v>
      </c>
      <c r="H3" s="13">
        <v>0</v>
      </c>
      <c r="I3" s="16">
        <f t="shared" ref="I3:I17" si="89">F3+H3</f>
        <v>0</v>
      </c>
      <c r="J3" s="17">
        <f t="shared" ref="J3:J17" si="90">C3-G3</f>
        <v>124745</v>
      </c>
      <c r="K3" s="18">
        <f t="shared" ref="K3:K17" si="91">+G3*D3</f>
        <v>1509951.5037261494</v>
      </c>
      <c r="L3" s="19">
        <f t="shared" ref="L3:L11" si="92">K3/E3</f>
        <v>0.80713214490019947</v>
      </c>
      <c r="M3" s="33">
        <v>0</v>
      </c>
      <c r="N3" s="33">
        <v>0</v>
      </c>
      <c r="O3" s="33">
        <v>0</v>
      </c>
      <c r="P3" s="33">
        <v>0</v>
      </c>
      <c r="Q3" s="40">
        <v>259000</v>
      </c>
      <c r="R3" s="34">
        <f t="shared" ref="R3:R18" si="93">M3+N3+O3+P3+Q3</f>
        <v>259000</v>
      </c>
      <c r="S3" s="35">
        <f t="shared" ref="S3:S18" si="94">G3+I3+R3</f>
        <v>781045</v>
      </c>
      <c r="T3" s="35">
        <f t="shared" ref="T3:T17" si="95">S3-C3</f>
        <v>134255</v>
      </c>
      <c r="U3" s="19">
        <f t="shared" ref="U3:U17" si="96">S3/C3</f>
        <v>1.2075712364136737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88"/>
        <v>390880.30588673195</v>
      </c>
      <c r="F4" s="13">
        <v>142793</v>
      </c>
      <c r="G4" s="13">
        <v>299987</v>
      </c>
      <c r="H4" s="13">
        <v>0</v>
      </c>
      <c r="I4" s="16">
        <f t="shared" si="89"/>
        <v>142793</v>
      </c>
      <c r="J4" s="17">
        <f t="shared" si="90"/>
        <v>13</v>
      </c>
      <c r="K4" s="18">
        <f t="shared" si="91"/>
        <v>390863.3677401435</v>
      </c>
      <c r="L4" s="19">
        <f t="shared" si="9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93"/>
        <v>0</v>
      </c>
      <c r="S4" s="35">
        <f t="shared" si="94"/>
        <v>442780</v>
      </c>
      <c r="T4" s="35">
        <f t="shared" si="95"/>
        <v>142780</v>
      </c>
      <c r="U4" s="19">
        <f t="shared" si="9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8"/>
        <v>0</v>
      </c>
      <c r="F5" s="13">
        <v>0</v>
      </c>
      <c r="G5" s="13">
        <v>0</v>
      </c>
      <c r="H5" s="13">
        <v>0</v>
      </c>
      <c r="I5" s="16">
        <f t="shared" si="89"/>
        <v>0</v>
      </c>
      <c r="J5" s="17">
        <f t="shared" si="90"/>
        <v>0</v>
      </c>
      <c r="K5" s="18">
        <f t="shared" si="9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93"/>
        <v>0</v>
      </c>
      <c r="S5" s="35">
        <f t="shared" si="94"/>
        <v>0</v>
      </c>
      <c r="T5" s="35">
        <f t="shared" si="95"/>
        <v>0</v>
      </c>
      <c r="U5" s="19" t="e">
        <f t="shared" si="9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88"/>
        <v>644777.55587835144</v>
      </c>
      <c r="F6" s="13">
        <v>0</v>
      </c>
      <c r="G6" s="43">
        <v>601076</v>
      </c>
      <c r="H6" s="43">
        <v>0</v>
      </c>
      <c r="I6" s="16">
        <f t="shared" si="89"/>
        <v>0</v>
      </c>
      <c r="J6" s="17">
        <f t="shared" si="90"/>
        <v>-36980</v>
      </c>
      <c r="K6" s="18">
        <f t="shared" si="91"/>
        <v>687046.73349418538</v>
      </c>
      <c r="L6" s="19">
        <f t="shared" si="92"/>
        <v>1.0655562173814386</v>
      </c>
      <c r="M6" s="33">
        <v>0</v>
      </c>
      <c r="N6" s="33">
        <v>0</v>
      </c>
      <c r="O6" s="33">
        <v>0</v>
      </c>
      <c r="P6" s="33">
        <v>0</v>
      </c>
      <c r="Q6" s="33">
        <v>315000</v>
      </c>
      <c r="R6" s="34">
        <f t="shared" si="93"/>
        <v>315000</v>
      </c>
      <c r="S6" s="35">
        <f t="shared" si="94"/>
        <v>916076</v>
      </c>
      <c r="T6" s="35">
        <f t="shared" si="95"/>
        <v>351980</v>
      </c>
      <c r="U6" s="19">
        <f t="shared" si="96"/>
        <v>1.6239718062173814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88"/>
        <v>221472.43814627349</v>
      </c>
      <c r="F7" s="13">
        <v>342955</v>
      </c>
      <c r="G7" s="13">
        <v>0</v>
      </c>
      <c r="H7" s="13">
        <v>0</v>
      </c>
      <c r="I7" s="16">
        <f t="shared" si="89"/>
        <v>342955</v>
      </c>
      <c r="J7" s="17">
        <f t="shared" si="90"/>
        <v>349200</v>
      </c>
      <c r="K7" s="18">
        <f t="shared" si="91"/>
        <v>0</v>
      </c>
      <c r="L7" s="19">
        <f t="shared" si="92"/>
        <v>0</v>
      </c>
      <c r="M7" s="33">
        <v>0</v>
      </c>
      <c r="N7" s="33">
        <v>0</v>
      </c>
      <c r="O7" s="33">
        <v>0</v>
      </c>
      <c r="P7" s="33">
        <v>0</v>
      </c>
      <c r="Q7" s="33">
        <v>435000</v>
      </c>
      <c r="R7" s="34">
        <f t="shared" si="93"/>
        <v>435000</v>
      </c>
      <c r="S7" s="35">
        <f t="shared" si="94"/>
        <v>777955</v>
      </c>
      <c r="T7" s="35">
        <f t="shared" si="95"/>
        <v>428755</v>
      </c>
      <c r="U7" s="19">
        <f t="shared" si="96"/>
        <v>2.2278207331042381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88"/>
        <v>585037.49652426294</v>
      </c>
      <c r="F8" s="13">
        <v>299868</v>
      </c>
      <c r="G8" s="13">
        <v>481535</v>
      </c>
      <c r="H8" s="13">
        <v>0</v>
      </c>
      <c r="I8" s="16">
        <f t="shared" si="89"/>
        <v>299868</v>
      </c>
      <c r="J8" s="17">
        <f t="shared" si="90"/>
        <v>173215</v>
      </c>
      <c r="K8" s="18">
        <f t="shared" si="91"/>
        <v>430265.03381261695</v>
      </c>
      <c r="L8" s="19">
        <f t="shared" si="92"/>
        <v>0.73544864452080949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4">
        <f t="shared" si="93"/>
        <v>0</v>
      </c>
      <c r="S8" s="35">
        <f t="shared" si="94"/>
        <v>781403</v>
      </c>
      <c r="T8" s="35">
        <f t="shared" si="95"/>
        <v>126653</v>
      </c>
      <c r="U8" s="19">
        <f t="shared" si="96"/>
        <v>1.1934371897670866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88"/>
        <v>216656.93033237188</v>
      </c>
      <c r="F9" s="13">
        <v>0</v>
      </c>
      <c r="G9" s="13">
        <v>0</v>
      </c>
      <c r="H9" s="13">
        <v>231850</v>
      </c>
      <c r="I9" s="16">
        <f t="shared" si="89"/>
        <v>231850</v>
      </c>
      <c r="J9" s="17">
        <f t="shared" si="90"/>
        <v>202800</v>
      </c>
      <c r="K9" s="18">
        <f t="shared" si="91"/>
        <v>0</v>
      </c>
      <c r="L9" s="19">
        <f t="shared" si="92"/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4">
        <f t="shared" si="93"/>
        <v>0</v>
      </c>
      <c r="S9" s="35">
        <f t="shared" si="94"/>
        <v>231850</v>
      </c>
      <c r="T9" s="35">
        <f t="shared" si="95"/>
        <v>29050</v>
      </c>
      <c r="U9" s="19">
        <f t="shared" si="96"/>
        <v>1.1432445759368837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88"/>
        <v>505114.07016586867</v>
      </c>
      <c r="F10" s="13">
        <v>0</v>
      </c>
      <c r="G10" s="13">
        <v>233346</v>
      </c>
      <c r="H10" s="13">
        <v>0</v>
      </c>
      <c r="I10" s="16">
        <f t="shared" si="89"/>
        <v>0</v>
      </c>
      <c r="J10" s="17">
        <f t="shared" si="90"/>
        <v>-540</v>
      </c>
      <c r="K10" s="18">
        <f t="shared" si="91"/>
        <v>506285.6963176413</v>
      </c>
      <c r="L10" s="19">
        <f t="shared" si="92"/>
        <v>1.0023195278472206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93"/>
        <v>6</v>
      </c>
      <c r="S10" s="35">
        <f t="shared" si="94"/>
        <v>233352</v>
      </c>
      <c r="T10" s="35">
        <f t="shared" si="95"/>
        <v>546</v>
      </c>
      <c r="U10" s="19">
        <f t="shared" si="9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88"/>
        <v>58121.655911310321</v>
      </c>
      <c r="F11" s="13">
        <v>0</v>
      </c>
      <c r="G11" s="13">
        <v>37379</v>
      </c>
      <c r="H11" s="13">
        <v>0</v>
      </c>
      <c r="I11" s="16">
        <f t="shared" si="89"/>
        <v>0</v>
      </c>
      <c r="J11" s="17">
        <f t="shared" si="90"/>
        <v>0</v>
      </c>
      <c r="K11" s="18">
        <f t="shared" si="91"/>
        <v>58121.655911310321</v>
      </c>
      <c r="L11" s="19">
        <f t="shared" si="9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93"/>
        <v>0</v>
      </c>
      <c r="S11" s="35">
        <f t="shared" si="94"/>
        <v>37379</v>
      </c>
      <c r="T11" s="35">
        <f t="shared" si="95"/>
        <v>0</v>
      </c>
      <c r="U11" s="19">
        <f t="shared" si="9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8"/>
        <v>0</v>
      </c>
      <c r="F12" s="13"/>
      <c r="G12" s="13">
        <v>0</v>
      </c>
      <c r="H12" s="13">
        <v>0</v>
      </c>
      <c r="I12" s="16">
        <f t="shared" si="89"/>
        <v>0</v>
      </c>
      <c r="J12" s="17">
        <f t="shared" si="90"/>
        <v>0</v>
      </c>
      <c r="K12" s="18">
        <f t="shared" si="9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93"/>
        <v>0</v>
      </c>
      <c r="S12" s="35">
        <f t="shared" si="94"/>
        <v>0</v>
      </c>
      <c r="T12" s="35">
        <f t="shared" si="95"/>
        <v>0</v>
      </c>
      <c r="U12" s="19" t="e">
        <f t="shared" si="9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88"/>
        <v>0</v>
      </c>
      <c r="F13" s="13"/>
      <c r="G13" s="13">
        <v>0</v>
      </c>
      <c r="H13" s="13">
        <v>0</v>
      </c>
      <c r="I13" s="16">
        <f t="shared" si="89"/>
        <v>0</v>
      </c>
      <c r="J13" s="17">
        <f t="shared" si="90"/>
        <v>0</v>
      </c>
      <c r="K13" s="18">
        <f t="shared" si="9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93"/>
        <v>0</v>
      </c>
      <c r="S13" s="35">
        <f t="shared" si="94"/>
        <v>0</v>
      </c>
      <c r="T13" s="35">
        <f t="shared" si="95"/>
        <v>0</v>
      </c>
      <c r="U13" s="19" t="e">
        <f t="shared" si="9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88"/>
        <v>0</v>
      </c>
      <c r="F14" s="13"/>
      <c r="G14" s="13">
        <v>0</v>
      </c>
      <c r="H14" s="13">
        <v>0</v>
      </c>
      <c r="I14" s="16">
        <f t="shared" si="89"/>
        <v>0</v>
      </c>
      <c r="J14" s="17">
        <f t="shared" si="90"/>
        <v>0</v>
      </c>
      <c r="K14" s="18">
        <f t="shared" si="9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93"/>
        <v>0</v>
      </c>
      <c r="S14" s="35">
        <f t="shared" si="94"/>
        <v>0</v>
      </c>
      <c r="T14" s="35">
        <f t="shared" si="95"/>
        <v>0</v>
      </c>
      <c r="U14" s="19" t="e">
        <f t="shared" si="9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88"/>
        <v>0</v>
      </c>
      <c r="F15" s="13"/>
      <c r="G15" s="13">
        <v>0</v>
      </c>
      <c r="H15" s="13">
        <v>0</v>
      </c>
      <c r="I15" s="16">
        <f t="shared" si="89"/>
        <v>0</v>
      </c>
      <c r="J15" s="17">
        <f t="shared" si="90"/>
        <v>0</v>
      </c>
      <c r="K15" s="18">
        <f t="shared" si="9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93"/>
        <v>0</v>
      </c>
      <c r="S15" s="35">
        <f t="shared" si="94"/>
        <v>0</v>
      </c>
      <c r="T15" s="35">
        <f t="shared" si="95"/>
        <v>0</v>
      </c>
      <c r="U15" s="19" t="e">
        <f t="shared" si="9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88"/>
        <v>0</v>
      </c>
      <c r="F16" s="13"/>
      <c r="G16" s="13">
        <v>0</v>
      </c>
      <c r="H16" s="13">
        <v>0</v>
      </c>
      <c r="I16" s="16">
        <f t="shared" si="89"/>
        <v>0</v>
      </c>
      <c r="J16" s="17">
        <f t="shared" si="90"/>
        <v>0</v>
      </c>
      <c r="K16" s="18">
        <f t="shared" si="9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93"/>
        <v>0</v>
      </c>
      <c r="S16" s="35">
        <f t="shared" si="94"/>
        <v>0</v>
      </c>
      <c r="T16" s="35">
        <f t="shared" si="95"/>
        <v>0</v>
      </c>
      <c r="U16" s="19" t="e">
        <f t="shared" si="9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88"/>
        <v>3629.0452579287512</v>
      </c>
      <c r="F17" s="13">
        <v>50000</v>
      </c>
      <c r="G17" s="13">
        <v>787</v>
      </c>
      <c r="H17" s="13">
        <v>0</v>
      </c>
      <c r="I17" s="16">
        <f t="shared" si="89"/>
        <v>50000</v>
      </c>
      <c r="J17" s="17">
        <f t="shared" si="90"/>
        <v>400</v>
      </c>
      <c r="K17" s="18">
        <f t="shared" si="91"/>
        <v>2406.1150951894924</v>
      </c>
      <c r="L17" s="19">
        <f t="shared" ref="L17:L18" si="9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93"/>
        <v>0</v>
      </c>
      <c r="S17" s="35">
        <f t="shared" si="94"/>
        <v>50787</v>
      </c>
      <c r="T17" s="35">
        <f t="shared" si="95"/>
        <v>49600</v>
      </c>
      <c r="U17" s="19">
        <f t="shared" si="9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2176155</v>
      </c>
      <c r="H18" s="24">
        <f>SUM(H3:H17)</f>
        <v>231850</v>
      </c>
      <c r="I18" s="25">
        <f>SUM(I3:I17)</f>
        <v>1067466</v>
      </c>
      <c r="J18" s="26">
        <f>SUM(J3:J17)</f>
        <v>812853</v>
      </c>
      <c r="K18" s="26">
        <f>SUM(K3:K17)</f>
        <v>3584940.1060972363</v>
      </c>
      <c r="L18" s="27">
        <f t="shared" si="97"/>
        <v>0.79728219946492007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93"/>
        <v>0</v>
      </c>
      <c r="S18" s="35">
        <f t="shared" si="94"/>
        <v>3243621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64004B-00BA-4AAC-97CA-0057005800A0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810062-00DF-4360-BE85-006B00F500D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750063-0019-4625-B8C6-00EF0093004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9B0030-00D6-4AFA-A996-0033007A000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21003F-003D-4F42-9852-00F20087002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CD0014-004F-4E89-AF3A-00ED00AA003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26007D-00CB-4E1D-AD28-0068000400E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8" activeCellId="0" sqref="J2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191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99">C3*D3</f>
        <v>1156951.2235352504</v>
      </c>
      <c r="F3" s="13">
        <v>148986</v>
      </c>
      <c r="G3" s="44">
        <v>483697</v>
      </c>
      <c r="H3" s="13">
        <v>0</v>
      </c>
      <c r="I3" s="16">
        <f t="shared" ref="I3:I20" si="1100">F3+H3</f>
        <v>148986</v>
      </c>
      <c r="J3" s="17">
        <f t="shared" ref="J3:J20" si="1101">C3-G3</f>
        <v>-83697</v>
      </c>
      <c r="K3" s="18">
        <f t="shared" ref="K3:K19" si="1102">+G3*D3</f>
        <v>1399034.5899258249</v>
      </c>
      <c r="L3" s="19">
        <f t="shared" ref="L3:L10" si="1103">K3/E3</f>
        <v>1.2092424999999998</v>
      </c>
      <c r="M3" s="34">
        <v>0</v>
      </c>
      <c r="N3" s="58">
        <v>0</v>
      </c>
      <c r="O3" s="34">
        <v>0</v>
      </c>
      <c r="P3" s="34">
        <v>0</v>
      </c>
      <c r="Q3" s="34">
        <v>72000</v>
      </c>
      <c r="R3" s="34">
        <f t="shared" ref="R3:R21" si="1104">M3+N3+O3+P3+Q3</f>
        <v>72000</v>
      </c>
      <c r="S3" s="35">
        <f t="shared" ref="S3:S21" si="1105">G3+I3+R3</f>
        <v>704683</v>
      </c>
      <c r="T3" s="35">
        <f t="shared" ref="T3:T20" si="1106">S3-C3</f>
        <v>304683</v>
      </c>
      <c r="U3" s="19">
        <f t="shared" ref="U3:U20" si="1107">S3/C3</f>
        <v>1.7617075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99"/>
        <v>951142.07765771437</v>
      </c>
      <c r="F4" s="13">
        <v>362732</v>
      </c>
      <c r="G4" s="13">
        <v>368622</v>
      </c>
      <c r="H4" s="13">
        <v>0</v>
      </c>
      <c r="I4" s="16">
        <f t="shared" si="1100"/>
        <v>362732</v>
      </c>
      <c r="J4" s="17">
        <f t="shared" si="1101"/>
        <v>361378</v>
      </c>
      <c r="K4" s="18">
        <f t="shared" si="1102"/>
        <v>480290.26705526299</v>
      </c>
      <c r="L4" s="19">
        <f t="shared" si="1103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04"/>
        <v>0</v>
      </c>
      <c r="S4" s="35">
        <f t="shared" si="1105"/>
        <v>731354</v>
      </c>
      <c r="T4" s="35">
        <f t="shared" si="1106"/>
        <v>1354</v>
      </c>
      <c r="U4" s="19">
        <f t="shared" si="1107"/>
        <v>1.001854794520548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99"/>
        <v>0</v>
      </c>
      <c r="F5" s="13">
        <v>0</v>
      </c>
      <c r="G5" s="13">
        <v>0</v>
      </c>
      <c r="H5" s="13">
        <v>0</v>
      </c>
      <c r="I5" s="16">
        <f t="shared" si="1100"/>
        <v>0</v>
      </c>
      <c r="J5" s="17">
        <f t="shared" si="1101"/>
        <v>0</v>
      </c>
      <c r="K5" s="18">
        <f t="shared" si="110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04"/>
        <v>0</v>
      </c>
      <c r="S5" s="35">
        <f t="shared" si="1105"/>
        <v>0</v>
      </c>
      <c r="T5" s="35">
        <f t="shared" si="1106"/>
        <v>0</v>
      </c>
      <c r="U5" s="19" t="e">
        <f t="shared" si="1107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99"/>
        <v>320047.85647467524</v>
      </c>
      <c r="F6" s="13">
        <v>0</v>
      </c>
      <c r="G6" s="44">
        <v>192541</v>
      </c>
      <c r="H6" s="44">
        <v>0</v>
      </c>
      <c r="I6" s="16">
        <f t="shared" si="1100"/>
        <v>0</v>
      </c>
      <c r="J6" s="17">
        <f t="shared" si="1101"/>
        <v>87459</v>
      </c>
      <c r="K6" s="18">
        <f t="shared" si="1102"/>
        <v>220079.76547675158</v>
      </c>
      <c r="L6" s="19">
        <f t="shared" si="1103"/>
        <v>0.68764642857142855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104"/>
        <v>94000</v>
      </c>
      <c r="S6" s="35">
        <f t="shared" si="1105"/>
        <v>286541</v>
      </c>
      <c r="T6" s="35">
        <f t="shared" si="1106"/>
        <v>6541</v>
      </c>
      <c r="U6" s="19">
        <f t="shared" si="1107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99"/>
        <v>205985.22317750531</v>
      </c>
      <c r="F7" s="13">
        <v>441413</v>
      </c>
      <c r="G7" s="44">
        <v>178200</v>
      </c>
      <c r="H7" s="13">
        <v>0</v>
      </c>
      <c r="I7" s="16">
        <f t="shared" si="1100"/>
        <v>441413</v>
      </c>
      <c r="J7" s="17">
        <f t="shared" si="1101"/>
        <v>146581</v>
      </c>
      <c r="K7" s="18">
        <f t="shared" si="1102"/>
        <v>113019.440084954</v>
      </c>
      <c r="L7" s="19">
        <f t="shared" si="1103"/>
        <v>0.54867741647448587</v>
      </c>
      <c r="M7" s="34">
        <v>0</v>
      </c>
      <c r="N7" s="58">
        <v>0</v>
      </c>
      <c r="O7" s="34">
        <v>0</v>
      </c>
      <c r="P7" s="34">
        <v>0</v>
      </c>
      <c r="Q7" s="34">
        <v>552000</v>
      </c>
      <c r="R7" s="34">
        <f t="shared" si="1104"/>
        <v>552000</v>
      </c>
      <c r="S7" s="35">
        <f t="shared" si="1105"/>
        <v>1171613</v>
      </c>
      <c r="T7" s="35">
        <f t="shared" si="1106"/>
        <v>846832</v>
      </c>
      <c r="U7" s="19">
        <f t="shared" si="1107"/>
        <v>3.6073939054316599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99"/>
        <v>322487.6793555622</v>
      </c>
      <c r="F8" s="44">
        <v>394417</v>
      </c>
      <c r="G8" s="13">
        <v>360915</v>
      </c>
      <c r="H8" s="44">
        <v>0</v>
      </c>
      <c r="I8" s="16">
        <f t="shared" si="1100"/>
        <v>394417</v>
      </c>
      <c r="J8" s="17">
        <f t="shared" si="1101"/>
        <v>0</v>
      </c>
      <c r="K8" s="18">
        <f t="shared" si="1102"/>
        <v>322487.6793555622</v>
      </c>
      <c r="L8" s="19">
        <f t="shared" si="1103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1104"/>
        <v>0</v>
      </c>
      <c r="S8" s="35">
        <f t="shared" si="1105"/>
        <v>755332</v>
      </c>
      <c r="T8" s="35">
        <f t="shared" si="1106"/>
        <v>394417</v>
      </c>
      <c r="U8" s="19">
        <f t="shared" si="1107"/>
        <v>2.0928251804441489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99"/>
        <v>140431.72333427161</v>
      </c>
      <c r="F9" s="13">
        <v>0</v>
      </c>
      <c r="G9" s="13">
        <v>58575</v>
      </c>
      <c r="H9" s="13">
        <v>0</v>
      </c>
      <c r="I9" s="16">
        <f t="shared" si="1100"/>
        <v>0</v>
      </c>
      <c r="J9" s="17">
        <f t="shared" si="1101"/>
        <v>72875</v>
      </c>
      <c r="K9" s="18">
        <f t="shared" si="1102"/>
        <v>62577.316046443208</v>
      </c>
      <c r="L9" s="19">
        <f t="shared" si="1103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104"/>
        <v>233000</v>
      </c>
      <c r="S9" s="35">
        <f t="shared" si="1105"/>
        <v>291575</v>
      </c>
      <c r="T9" s="35">
        <f t="shared" si="1106"/>
        <v>160125</v>
      </c>
      <c r="U9" s="19">
        <f t="shared" si="1107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99"/>
        <v>1010223.8009756197</v>
      </c>
      <c r="F10" s="13">
        <v>0</v>
      </c>
      <c r="G10" s="13">
        <v>428013</v>
      </c>
      <c r="H10" s="13">
        <v>0</v>
      </c>
      <c r="I10" s="16">
        <f t="shared" si="1100"/>
        <v>0</v>
      </c>
      <c r="J10" s="17">
        <f t="shared" si="1101"/>
        <v>37597</v>
      </c>
      <c r="K10" s="18">
        <f t="shared" si="1102"/>
        <v>928650.41499748267</v>
      </c>
      <c r="L10" s="19">
        <f t="shared" si="1103"/>
        <v>0.91925216382809649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104"/>
        <v>0</v>
      </c>
      <c r="S10" s="35">
        <f>G10+I10+R10</f>
        <v>428013</v>
      </c>
      <c r="T10" s="35">
        <f t="shared" si="1106"/>
        <v>-37597</v>
      </c>
      <c r="U10" s="19">
        <f t="shared" si="1107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99"/>
        <v>57578.986018775817</v>
      </c>
      <c r="F11" s="13">
        <v>0</v>
      </c>
      <c r="G11" s="13">
        <v>37030</v>
      </c>
      <c r="H11" s="13">
        <v>0</v>
      </c>
      <c r="I11" s="16">
        <f t="shared" si="1100"/>
        <v>0</v>
      </c>
      <c r="J11" s="17">
        <f t="shared" si="1101"/>
        <v>0</v>
      </c>
      <c r="K11" s="18">
        <f t="shared" si="1102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104"/>
        <v>0</v>
      </c>
      <c r="S11" s="35">
        <f t="shared" si="1105"/>
        <v>37030</v>
      </c>
      <c r="T11" s="35">
        <f t="shared" si="1106"/>
        <v>0</v>
      </c>
      <c r="U11" s="19">
        <f t="shared" si="1107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99"/>
        <v>0</v>
      </c>
      <c r="F12" s="13">
        <v>0</v>
      </c>
      <c r="G12" s="13">
        <v>0</v>
      </c>
      <c r="H12" s="13">
        <v>0</v>
      </c>
      <c r="I12" s="16">
        <f t="shared" si="1100"/>
        <v>0</v>
      </c>
      <c r="J12" s="17">
        <f t="shared" si="110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04"/>
        <v>0</v>
      </c>
      <c r="S12" s="35">
        <f t="shared" si="1105"/>
        <v>0</v>
      </c>
      <c r="T12" s="35">
        <f t="shared" si="1106"/>
        <v>0</v>
      </c>
      <c r="U12" s="19" t="e">
        <f t="shared" si="110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99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01"/>
        <v>0</v>
      </c>
      <c r="K13" s="18">
        <f t="shared" si="110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04"/>
        <v>0</v>
      </c>
      <c r="S13" s="35">
        <f t="shared" si="1105"/>
        <v>0</v>
      </c>
      <c r="T13" s="35">
        <f t="shared" si="1106"/>
        <v>0</v>
      </c>
      <c r="U13" s="19" t="e">
        <f t="shared" si="1107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99"/>
        <v>0</v>
      </c>
      <c r="F14" s="13">
        <v>0</v>
      </c>
      <c r="G14" s="13">
        <v>0</v>
      </c>
      <c r="H14" s="13">
        <v>0</v>
      </c>
      <c r="I14" s="16">
        <f t="shared" si="1100"/>
        <v>0</v>
      </c>
      <c r="J14" s="17">
        <f t="shared" si="1101"/>
        <v>0</v>
      </c>
      <c r="K14" s="18">
        <f t="shared" si="110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04"/>
        <v>0</v>
      </c>
      <c r="S14" s="35">
        <f t="shared" si="1105"/>
        <v>0</v>
      </c>
      <c r="T14" s="35">
        <f t="shared" si="1106"/>
        <v>0</v>
      </c>
      <c r="U14" s="19" t="e">
        <f t="shared" si="1107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99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101"/>
        <v>27264</v>
      </c>
      <c r="K15" s="18">
        <f t="shared" si="110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04"/>
        <v>0</v>
      </c>
      <c r="S15" s="35">
        <f t="shared" si="1105"/>
        <v>0</v>
      </c>
      <c r="T15" s="35">
        <f t="shared" si="1106"/>
        <v>-27264</v>
      </c>
      <c r="U15" s="19">
        <f t="shared" si="1107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99"/>
        <v>0</v>
      </c>
      <c r="F16" s="13">
        <v>0</v>
      </c>
      <c r="G16" s="33">
        <v>0</v>
      </c>
      <c r="H16" s="13">
        <v>0</v>
      </c>
      <c r="I16" s="16">
        <f t="shared" si="1100"/>
        <v>0</v>
      </c>
      <c r="J16" s="17">
        <f t="shared" si="1101"/>
        <v>0</v>
      </c>
      <c r="K16" s="18">
        <f t="shared" ref="K16:K18" si="1108">+G16*D16</f>
        <v>0</v>
      </c>
      <c r="L16" s="19" t="e">
        <f t="shared" ref="L16:L21" si="1109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04"/>
        <v>0</v>
      </c>
      <c r="S16" s="35">
        <f t="shared" si="1105"/>
        <v>0</v>
      </c>
      <c r="T16" s="35">
        <f t="shared" si="1106"/>
        <v>0</v>
      </c>
      <c r="U16" s="19" t="e">
        <f t="shared" si="1107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99"/>
        <v>0</v>
      </c>
      <c r="F17" s="13">
        <v>0</v>
      </c>
      <c r="G17" s="33">
        <v>0</v>
      </c>
      <c r="H17" s="13">
        <v>0</v>
      </c>
      <c r="I17" s="16">
        <f t="shared" si="1100"/>
        <v>0</v>
      </c>
      <c r="J17" s="17">
        <f t="shared" si="1101"/>
        <v>0</v>
      </c>
      <c r="K17" s="18">
        <f t="shared" si="1108"/>
        <v>0</v>
      </c>
      <c r="L17" s="19" t="e">
        <f t="shared" si="1109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04"/>
        <v>0</v>
      </c>
      <c r="S17" s="35">
        <f t="shared" si="1105"/>
        <v>0</v>
      </c>
      <c r="T17" s="35">
        <f t="shared" si="1106"/>
        <v>0</v>
      </c>
      <c r="U17" s="19" t="e">
        <f t="shared" si="1107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99"/>
        <v>0</v>
      </c>
      <c r="F18" s="13">
        <v>0</v>
      </c>
      <c r="G18" s="33">
        <v>0</v>
      </c>
      <c r="H18" s="13">
        <v>0</v>
      </c>
      <c r="I18" s="16">
        <f t="shared" si="1100"/>
        <v>0</v>
      </c>
      <c r="J18" s="17">
        <f t="shared" si="1101"/>
        <v>0</v>
      </c>
      <c r="K18" s="18">
        <f t="shared" si="1108"/>
        <v>0</v>
      </c>
      <c r="L18" s="19" t="e">
        <f t="shared" si="1109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04"/>
        <v>0</v>
      </c>
      <c r="S18" s="35">
        <f t="shared" si="1105"/>
        <v>0</v>
      </c>
      <c r="T18" s="35">
        <f t="shared" si="1106"/>
        <v>0</v>
      </c>
      <c r="U18" s="19" t="e">
        <f t="shared" si="1107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99"/>
        <v>0</v>
      </c>
      <c r="F19" s="13">
        <v>0</v>
      </c>
      <c r="G19" s="13">
        <v>0</v>
      </c>
      <c r="H19" s="13">
        <v>0</v>
      </c>
      <c r="I19" s="16">
        <f t="shared" si="1100"/>
        <v>0</v>
      </c>
      <c r="J19" s="17">
        <f t="shared" si="1101"/>
        <v>0</v>
      </c>
      <c r="K19" s="18">
        <f t="shared" si="110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04"/>
        <v>0</v>
      </c>
      <c r="S19" s="35">
        <f t="shared" si="1105"/>
        <v>0</v>
      </c>
      <c r="T19" s="35">
        <f t="shared" si="1106"/>
        <v>0</v>
      </c>
      <c r="U19" s="19" t="e">
        <f t="shared" si="1107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99"/>
        <v>0</v>
      </c>
      <c r="F20" s="13">
        <v>0</v>
      </c>
      <c r="G20" s="13">
        <v>0</v>
      </c>
      <c r="H20" s="13">
        <v>0</v>
      </c>
      <c r="I20" s="16">
        <f t="shared" si="1100"/>
        <v>0</v>
      </c>
      <c r="J20" s="17">
        <f t="shared" si="1101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04"/>
        <v>0</v>
      </c>
      <c r="S20" s="35">
        <f t="shared" si="1105"/>
        <v>0</v>
      </c>
      <c r="T20" s="35">
        <f t="shared" si="1106"/>
        <v>0</v>
      </c>
      <c r="U20" s="19" t="e">
        <f t="shared" si="1107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110">SUM(E3:E20)</f>
        <v>4408558.1459349487</v>
      </c>
      <c r="F21" s="24">
        <f>SUM(F3:F20)</f>
        <v>1347548</v>
      </c>
      <c r="G21" s="24">
        <f t="shared" si="1110"/>
        <v>2107593</v>
      </c>
      <c r="H21" s="24">
        <f t="shared" si="1110"/>
        <v>0</v>
      </c>
      <c r="I21" s="25">
        <f>SUM(I3:I20)</f>
        <v>1347548</v>
      </c>
      <c r="J21" s="26">
        <f>SUM(J3:J20)</f>
        <v>649457</v>
      </c>
      <c r="K21" s="26">
        <f>SUM(K3:K20)</f>
        <v>3583718.4589610575</v>
      </c>
      <c r="L21" s="27">
        <f t="shared" si="1109"/>
        <v>0.81290034980383308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04"/>
        <v>1</v>
      </c>
      <c r="S21" s="35">
        <f t="shared" si="1105"/>
        <v>3455142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AE00D4-00FF-4425-8CCC-0028005F00D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7C00BD-006A-4A24-AB6D-0069003D003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07003A-00A1-433A-A533-005C00AF003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46005B-005F-4E6F-B6F7-0060002C009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BB0091-000D-4683-A47A-0038008400B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9E00EA-006D-4065-BA4A-00AF00FB004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80005D-0045-44E7-A6F2-000B0046001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DB0027-00E5-4F1D-8989-008900BD007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B600A7-0050-4D6C-B6E8-00BF005F006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DF004F-000E-4BC3-8134-00240056004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1100BC-0093-4BA0-BFCA-0035005A005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30049-0019-442A-98D2-00F20045005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15" activeCellId="0" sqref="F15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192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111">C3*D3</f>
        <v>1156951.2235352504</v>
      </c>
      <c r="F3" s="13">
        <v>148986</v>
      </c>
      <c r="G3" s="44">
        <v>483697</v>
      </c>
      <c r="H3" s="13">
        <v>0</v>
      </c>
      <c r="I3" s="16">
        <f t="shared" ref="I3:I20" si="1112">F3+H3</f>
        <v>148986</v>
      </c>
      <c r="J3" s="17">
        <f t="shared" ref="J3:J20" si="1113">C3-G3</f>
        <v>-83697</v>
      </c>
      <c r="K3" s="18">
        <f t="shared" ref="K3:K19" si="1114">+G3*D3</f>
        <v>1399034.5899258249</v>
      </c>
      <c r="L3" s="19">
        <f t="shared" ref="L3:L10" si="1115">K3/E3</f>
        <v>1.2092424999999998</v>
      </c>
      <c r="M3" s="34">
        <v>0</v>
      </c>
      <c r="N3" s="58">
        <v>0</v>
      </c>
      <c r="O3" s="34">
        <v>0</v>
      </c>
      <c r="P3" s="34">
        <v>0</v>
      </c>
      <c r="Q3" s="34">
        <v>72000</v>
      </c>
      <c r="R3" s="34">
        <f t="shared" ref="R3:R21" si="1116">M3+N3+O3+P3+Q3</f>
        <v>72000</v>
      </c>
      <c r="S3" s="35">
        <f t="shared" ref="S3:S21" si="1117">G3+I3+R3</f>
        <v>704683</v>
      </c>
      <c r="T3" s="35">
        <f t="shared" ref="T3:T20" si="1118">S3-C3</f>
        <v>304683</v>
      </c>
      <c r="U3" s="19">
        <f t="shared" ref="U3:U20" si="1119">S3/C3</f>
        <v>1.7617075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111"/>
        <v>951142.07765771437</v>
      </c>
      <c r="F4" s="13">
        <v>85934</v>
      </c>
      <c r="G4" s="13">
        <v>645416</v>
      </c>
      <c r="H4" s="13">
        <v>0</v>
      </c>
      <c r="I4" s="16">
        <f t="shared" si="1112"/>
        <v>85934</v>
      </c>
      <c r="J4" s="17">
        <f t="shared" si="1113"/>
        <v>84584</v>
      </c>
      <c r="K4" s="18">
        <f t="shared" si="1114"/>
        <v>840934.6783473033</v>
      </c>
      <c r="L4" s="19">
        <f t="shared" si="1115"/>
        <v>0.88413150684931507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16"/>
        <v>0</v>
      </c>
      <c r="S4" s="35">
        <f t="shared" si="1117"/>
        <v>731350</v>
      </c>
      <c r="T4" s="35">
        <f t="shared" si="1118"/>
        <v>1350</v>
      </c>
      <c r="U4" s="19">
        <f t="shared" si="1119"/>
        <v>1.0018493150684931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11"/>
        <v>0</v>
      </c>
      <c r="F5" s="13">
        <v>0</v>
      </c>
      <c r="G5" s="13">
        <v>0</v>
      </c>
      <c r="H5" s="13">
        <v>0</v>
      </c>
      <c r="I5" s="16">
        <f t="shared" si="1112"/>
        <v>0</v>
      </c>
      <c r="J5" s="17">
        <f t="shared" si="1113"/>
        <v>0</v>
      </c>
      <c r="K5" s="18">
        <f t="shared" si="111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16"/>
        <v>0</v>
      </c>
      <c r="S5" s="35">
        <f t="shared" si="1117"/>
        <v>0</v>
      </c>
      <c r="T5" s="35">
        <f t="shared" si="1118"/>
        <v>0</v>
      </c>
      <c r="U5" s="19" t="e">
        <f t="shared" si="1119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111"/>
        <v>320047.85647467524</v>
      </c>
      <c r="F6" s="13">
        <v>0</v>
      </c>
      <c r="G6" s="44">
        <v>192541</v>
      </c>
      <c r="H6" s="44">
        <v>0</v>
      </c>
      <c r="I6" s="16">
        <f t="shared" si="1112"/>
        <v>0</v>
      </c>
      <c r="J6" s="17">
        <f t="shared" si="1113"/>
        <v>87459</v>
      </c>
      <c r="K6" s="18">
        <f t="shared" si="1114"/>
        <v>220079.76547675158</v>
      </c>
      <c r="L6" s="19">
        <f t="shared" si="1115"/>
        <v>0.68764642857142855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116"/>
        <v>94000</v>
      </c>
      <c r="S6" s="35">
        <f t="shared" si="1117"/>
        <v>286541</v>
      </c>
      <c r="T6" s="35">
        <f t="shared" si="1118"/>
        <v>6541</v>
      </c>
      <c r="U6" s="19">
        <f t="shared" si="1119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111"/>
        <v>205985.22317750531</v>
      </c>
      <c r="F7" s="13">
        <v>322613</v>
      </c>
      <c r="G7" s="44">
        <v>297000</v>
      </c>
      <c r="H7" s="13">
        <v>0</v>
      </c>
      <c r="I7" s="16">
        <f t="shared" si="1112"/>
        <v>322613</v>
      </c>
      <c r="J7" s="17">
        <f t="shared" si="1113"/>
        <v>27781</v>
      </c>
      <c r="K7" s="18">
        <f t="shared" si="1114"/>
        <v>188365.73347492333</v>
      </c>
      <c r="L7" s="19">
        <f t="shared" si="1115"/>
        <v>0.91446236079080978</v>
      </c>
      <c r="M7" s="34">
        <v>0</v>
      </c>
      <c r="N7" s="58">
        <v>0</v>
      </c>
      <c r="O7" s="34">
        <v>0</v>
      </c>
      <c r="P7" s="34">
        <v>0</v>
      </c>
      <c r="Q7" s="34">
        <v>552000</v>
      </c>
      <c r="R7" s="34">
        <f t="shared" si="1116"/>
        <v>552000</v>
      </c>
      <c r="S7" s="35">
        <f t="shared" si="1117"/>
        <v>1171613</v>
      </c>
      <c r="T7" s="35">
        <f t="shared" si="1118"/>
        <v>846832</v>
      </c>
      <c r="U7" s="19">
        <f t="shared" si="1119"/>
        <v>3.6073939054316599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111"/>
        <v>322487.6793555622</v>
      </c>
      <c r="F8" s="44">
        <v>394417</v>
      </c>
      <c r="G8" s="13">
        <v>360915</v>
      </c>
      <c r="H8" s="44">
        <v>0</v>
      </c>
      <c r="I8" s="16">
        <f t="shared" si="1112"/>
        <v>394417</v>
      </c>
      <c r="J8" s="17">
        <f t="shared" si="1113"/>
        <v>0</v>
      </c>
      <c r="K8" s="18">
        <f t="shared" si="1114"/>
        <v>322487.6793555622</v>
      </c>
      <c r="L8" s="19">
        <f t="shared" si="1115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1116"/>
        <v>0</v>
      </c>
      <c r="S8" s="35">
        <f t="shared" si="1117"/>
        <v>755332</v>
      </c>
      <c r="T8" s="35">
        <f t="shared" si="1118"/>
        <v>394417</v>
      </c>
      <c r="U8" s="19">
        <f t="shared" si="1119"/>
        <v>2.0928251804441489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111"/>
        <v>140431.72333427161</v>
      </c>
      <c r="F9" s="13">
        <v>0</v>
      </c>
      <c r="G9" s="13">
        <v>58575</v>
      </c>
      <c r="H9" s="13">
        <v>0</v>
      </c>
      <c r="I9" s="16">
        <f t="shared" si="1112"/>
        <v>0</v>
      </c>
      <c r="J9" s="17">
        <f t="shared" si="1113"/>
        <v>72875</v>
      </c>
      <c r="K9" s="18">
        <f t="shared" si="1114"/>
        <v>62577.316046443208</v>
      </c>
      <c r="L9" s="19">
        <f t="shared" si="1115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116"/>
        <v>233000</v>
      </c>
      <c r="S9" s="35">
        <f t="shared" si="1117"/>
        <v>291575</v>
      </c>
      <c r="T9" s="35">
        <f t="shared" si="1118"/>
        <v>160125</v>
      </c>
      <c r="U9" s="19">
        <f t="shared" si="1119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111"/>
        <v>1010223.8009756197</v>
      </c>
      <c r="F10" s="13">
        <v>0</v>
      </c>
      <c r="G10" s="13">
        <v>428013</v>
      </c>
      <c r="H10" s="13">
        <v>0</v>
      </c>
      <c r="I10" s="16">
        <f t="shared" si="1112"/>
        <v>0</v>
      </c>
      <c r="J10" s="17">
        <f t="shared" si="1113"/>
        <v>37597</v>
      </c>
      <c r="K10" s="18">
        <f t="shared" si="1114"/>
        <v>928650.41499748267</v>
      </c>
      <c r="L10" s="19">
        <f t="shared" si="1115"/>
        <v>0.91925216382809649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116"/>
        <v>0</v>
      </c>
      <c r="S10" s="35">
        <f>G10+I10+R10</f>
        <v>428013</v>
      </c>
      <c r="T10" s="35">
        <f t="shared" si="1118"/>
        <v>-37597</v>
      </c>
      <c r="U10" s="19">
        <f t="shared" si="1119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111"/>
        <v>57578.986018775817</v>
      </c>
      <c r="F11" s="13">
        <v>0</v>
      </c>
      <c r="G11" s="13">
        <v>37030</v>
      </c>
      <c r="H11" s="13">
        <v>0</v>
      </c>
      <c r="I11" s="16">
        <f t="shared" si="1112"/>
        <v>0</v>
      </c>
      <c r="J11" s="17">
        <f t="shared" si="1113"/>
        <v>0</v>
      </c>
      <c r="K11" s="18">
        <f t="shared" si="1114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116"/>
        <v>0</v>
      </c>
      <c r="S11" s="35">
        <f t="shared" si="1117"/>
        <v>37030</v>
      </c>
      <c r="T11" s="35">
        <f t="shared" si="1118"/>
        <v>0</v>
      </c>
      <c r="U11" s="19">
        <f t="shared" si="1119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11"/>
        <v>0</v>
      </c>
      <c r="F12" s="13">
        <v>0</v>
      </c>
      <c r="G12" s="13">
        <v>0</v>
      </c>
      <c r="H12" s="13">
        <v>0</v>
      </c>
      <c r="I12" s="16">
        <f t="shared" si="1112"/>
        <v>0</v>
      </c>
      <c r="J12" s="17">
        <f t="shared" si="111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16"/>
        <v>0</v>
      </c>
      <c r="S12" s="35">
        <f t="shared" si="1117"/>
        <v>0</v>
      </c>
      <c r="T12" s="35">
        <f t="shared" si="1118"/>
        <v>0</v>
      </c>
      <c r="U12" s="19" t="e">
        <f t="shared" si="111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11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13"/>
        <v>0</v>
      </c>
      <c r="K13" s="18">
        <f t="shared" si="111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16"/>
        <v>0</v>
      </c>
      <c r="S13" s="35">
        <f t="shared" si="1117"/>
        <v>0</v>
      </c>
      <c r="T13" s="35">
        <f t="shared" si="1118"/>
        <v>0</v>
      </c>
      <c r="U13" s="19" t="e">
        <f t="shared" si="1119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111"/>
        <v>0</v>
      </c>
      <c r="F14" s="13">
        <v>0</v>
      </c>
      <c r="G14" s="13">
        <v>0</v>
      </c>
      <c r="H14" s="13">
        <v>0</v>
      </c>
      <c r="I14" s="16">
        <f t="shared" si="1112"/>
        <v>0</v>
      </c>
      <c r="J14" s="17">
        <f t="shared" si="1113"/>
        <v>0</v>
      </c>
      <c r="K14" s="18">
        <f t="shared" si="111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16"/>
        <v>0</v>
      </c>
      <c r="S14" s="35">
        <f t="shared" si="1117"/>
        <v>0</v>
      </c>
      <c r="T14" s="35">
        <f t="shared" si="1118"/>
        <v>0</v>
      </c>
      <c r="U14" s="19" t="e">
        <f t="shared" si="1119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111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113"/>
        <v>27264</v>
      </c>
      <c r="K15" s="18">
        <f t="shared" si="111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16"/>
        <v>0</v>
      </c>
      <c r="S15" s="35">
        <f t="shared" si="1117"/>
        <v>0</v>
      </c>
      <c r="T15" s="35">
        <f t="shared" si="1118"/>
        <v>-27264</v>
      </c>
      <c r="U15" s="19">
        <f t="shared" si="1119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11"/>
        <v>0</v>
      </c>
      <c r="F16" s="13">
        <v>0</v>
      </c>
      <c r="G16" s="33">
        <v>0</v>
      </c>
      <c r="H16" s="13">
        <v>0</v>
      </c>
      <c r="I16" s="16">
        <f t="shared" si="1112"/>
        <v>0</v>
      </c>
      <c r="J16" s="17">
        <f t="shared" si="1113"/>
        <v>0</v>
      </c>
      <c r="K16" s="18">
        <f t="shared" ref="K16:K18" si="1120">+G16*D16</f>
        <v>0</v>
      </c>
      <c r="L16" s="19" t="e">
        <f t="shared" ref="L16:L21" si="1121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16"/>
        <v>0</v>
      </c>
      <c r="S16" s="35">
        <f t="shared" si="1117"/>
        <v>0</v>
      </c>
      <c r="T16" s="35">
        <f t="shared" si="1118"/>
        <v>0</v>
      </c>
      <c r="U16" s="19" t="e">
        <f t="shared" si="1119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11"/>
        <v>0</v>
      </c>
      <c r="F17" s="13">
        <v>0</v>
      </c>
      <c r="G17" s="33">
        <v>0</v>
      </c>
      <c r="H17" s="13">
        <v>0</v>
      </c>
      <c r="I17" s="16">
        <f t="shared" si="1112"/>
        <v>0</v>
      </c>
      <c r="J17" s="17">
        <f t="shared" si="1113"/>
        <v>0</v>
      </c>
      <c r="K17" s="18">
        <f t="shared" si="1120"/>
        <v>0</v>
      </c>
      <c r="L17" s="19" t="e">
        <f t="shared" si="1121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16"/>
        <v>0</v>
      </c>
      <c r="S17" s="35">
        <f t="shared" si="1117"/>
        <v>0</v>
      </c>
      <c r="T17" s="35">
        <f t="shared" si="1118"/>
        <v>0</v>
      </c>
      <c r="U17" s="19" t="e">
        <f t="shared" si="1119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11"/>
        <v>0</v>
      </c>
      <c r="F18" s="13">
        <v>0</v>
      </c>
      <c r="G18" s="33">
        <v>0</v>
      </c>
      <c r="H18" s="13">
        <v>0</v>
      </c>
      <c r="I18" s="16">
        <f t="shared" si="1112"/>
        <v>0</v>
      </c>
      <c r="J18" s="17">
        <f t="shared" si="1113"/>
        <v>0</v>
      </c>
      <c r="K18" s="18">
        <f t="shared" si="1120"/>
        <v>0</v>
      </c>
      <c r="L18" s="19" t="e">
        <f t="shared" si="1121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16"/>
        <v>0</v>
      </c>
      <c r="S18" s="35">
        <f t="shared" si="1117"/>
        <v>0</v>
      </c>
      <c r="T18" s="35">
        <f t="shared" si="1118"/>
        <v>0</v>
      </c>
      <c r="U18" s="19" t="e">
        <f t="shared" si="1119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11"/>
        <v>0</v>
      </c>
      <c r="F19" s="13">
        <v>0</v>
      </c>
      <c r="G19" s="13">
        <v>0</v>
      </c>
      <c r="H19" s="13">
        <v>0</v>
      </c>
      <c r="I19" s="16">
        <f t="shared" si="1112"/>
        <v>0</v>
      </c>
      <c r="J19" s="17">
        <f t="shared" si="1113"/>
        <v>0</v>
      </c>
      <c r="K19" s="18">
        <f t="shared" si="111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16"/>
        <v>0</v>
      </c>
      <c r="S19" s="35">
        <f t="shared" si="1117"/>
        <v>0</v>
      </c>
      <c r="T19" s="35">
        <f t="shared" si="1118"/>
        <v>0</v>
      </c>
      <c r="U19" s="19" t="e">
        <f t="shared" si="1119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11"/>
        <v>0</v>
      </c>
      <c r="F20" s="13">
        <v>0</v>
      </c>
      <c r="G20" s="13">
        <v>0</v>
      </c>
      <c r="H20" s="13">
        <v>0</v>
      </c>
      <c r="I20" s="16">
        <f t="shared" si="1112"/>
        <v>0</v>
      </c>
      <c r="J20" s="17">
        <f t="shared" si="1113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16"/>
        <v>0</v>
      </c>
      <c r="S20" s="35">
        <f t="shared" si="1117"/>
        <v>0</v>
      </c>
      <c r="T20" s="35">
        <f t="shared" si="1118"/>
        <v>0</v>
      </c>
      <c r="U20" s="19" t="e">
        <f t="shared" si="1119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122">SUM(E3:E20)</f>
        <v>4408558.1459349487</v>
      </c>
      <c r="F21" s="24">
        <f>SUM(F3:F20)</f>
        <v>951950</v>
      </c>
      <c r="G21" s="24">
        <f t="shared" si="1122"/>
        <v>2503187</v>
      </c>
      <c r="H21" s="24">
        <f t="shared" si="1122"/>
        <v>0</v>
      </c>
      <c r="I21" s="25">
        <f>SUM(I3:I20)</f>
        <v>951950</v>
      </c>
      <c r="J21" s="26">
        <f>SUM(J3:J20)</f>
        <v>253863</v>
      </c>
      <c r="K21" s="26">
        <f>SUM(K3:K20)</f>
        <v>4019709.1636430672</v>
      </c>
      <c r="L21" s="27">
        <f t="shared" si="1121"/>
        <v>0.91179678946722476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16"/>
        <v>1</v>
      </c>
      <c r="S21" s="35">
        <f t="shared" si="1117"/>
        <v>3455138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A4009C-0026-4958-84A1-007F0008007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30020-00A3-43CF-B49A-005400C0007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3900AF-001B-4BE8-9E2C-005F005500F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34001E-00EF-42BB-9E0E-00A600A2006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4100F4-00B6-4BC4-A98B-001A009E00F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EA0069-00A2-49EC-A412-00820048007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430019-0037-49E3-819D-008800C800F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A600C9-00ED-4CAF-A29C-00CE00BF00D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100091-00EA-4C99-A7BE-00F600E3008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AC0009-00BE-41B5-A09C-00550013003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A200AD-00A5-47C8-A7F1-008C0091008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300BA-0000-4C68-976A-0037007B006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26" activeCellId="0" sqref="I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193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123">C3*D3</f>
        <v>1156951.2235352504</v>
      </c>
      <c r="F3" s="13">
        <v>149762</v>
      </c>
      <c r="G3" s="44">
        <v>520000</v>
      </c>
      <c r="H3" s="13">
        <v>0</v>
      </c>
      <c r="I3" s="16">
        <f t="shared" ref="I3:I20" si="1124">F3+H3</f>
        <v>149762</v>
      </c>
      <c r="J3" s="17">
        <f t="shared" ref="J3:J20" si="1125">C3-G3</f>
        <v>-120000</v>
      </c>
      <c r="K3" s="18">
        <f t="shared" ref="K3:K19" si="1126">+G3*D3</f>
        <v>1504036.5905958253</v>
      </c>
      <c r="L3" s="19">
        <f t="shared" ref="L3:L10" si="1127">K3/E3</f>
        <v>1.2999999999999998</v>
      </c>
      <c r="M3" s="34">
        <v>0</v>
      </c>
      <c r="N3" s="58">
        <v>0</v>
      </c>
      <c r="O3" s="34">
        <v>0</v>
      </c>
      <c r="P3" s="34">
        <v>0</v>
      </c>
      <c r="Q3" s="34">
        <v>72000</v>
      </c>
      <c r="R3" s="34">
        <f t="shared" ref="R3:R21" si="1128">M3+N3+O3+P3+Q3</f>
        <v>72000</v>
      </c>
      <c r="S3" s="35">
        <f t="shared" ref="S3:S21" si="1129">G3+I3+R3</f>
        <v>741762</v>
      </c>
      <c r="T3" s="35">
        <f t="shared" ref="T3:T20" si="1130">S3-C3</f>
        <v>341762</v>
      </c>
      <c r="U3" s="19">
        <f t="shared" ref="U3:U20" si="1131">S3/C3</f>
        <v>1.8544050000000001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123"/>
        <v>951142.07765771437</v>
      </c>
      <c r="F4" s="13">
        <v>297497</v>
      </c>
      <c r="G4" s="13">
        <v>645416</v>
      </c>
      <c r="H4" s="13">
        <v>85934</v>
      </c>
      <c r="I4" s="16">
        <f t="shared" si="1124"/>
        <v>383431</v>
      </c>
      <c r="J4" s="17">
        <f t="shared" si="1125"/>
        <v>84584</v>
      </c>
      <c r="K4" s="18">
        <f t="shared" si="1126"/>
        <v>840934.6783473033</v>
      </c>
      <c r="L4" s="19">
        <f t="shared" si="1127"/>
        <v>0.88413150684931507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28"/>
        <v>0</v>
      </c>
      <c r="S4" s="35">
        <f t="shared" si="1129"/>
        <v>1028847</v>
      </c>
      <c r="T4" s="35">
        <f t="shared" si="1130"/>
        <v>298847</v>
      </c>
      <c r="U4" s="19">
        <f t="shared" si="1131"/>
        <v>1.4093794520547944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23"/>
        <v>0</v>
      </c>
      <c r="F5" s="13">
        <v>0</v>
      </c>
      <c r="G5" s="13">
        <v>0</v>
      </c>
      <c r="H5" s="13">
        <v>0</v>
      </c>
      <c r="I5" s="16">
        <f t="shared" si="1124"/>
        <v>0</v>
      </c>
      <c r="J5" s="17">
        <f t="shared" si="1125"/>
        <v>0</v>
      </c>
      <c r="K5" s="18">
        <f t="shared" si="112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28"/>
        <v>0</v>
      </c>
      <c r="S5" s="35">
        <f t="shared" si="1129"/>
        <v>0</v>
      </c>
      <c r="T5" s="35">
        <f t="shared" si="1130"/>
        <v>0</v>
      </c>
      <c r="U5" s="19" t="e">
        <f t="shared" si="1131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123"/>
        <v>320047.85647467524</v>
      </c>
      <c r="F6" s="13">
        <v>0</v>
      </c>
      <c r="G6" s="44">
        <v>192541</v>
      </c>
      <c r="H6" s="44">
        <v>0</v>
      </c>
      <c r="I6" s="16">
        <f t="shared" si="1124"/>
        <v>0</v>
      </c>
      <c r="J6" s="17">
        <f t="shared" si="1125"/>
        <v>87459</v>
      </c>
      <c r="K6" s="18">
        <f t="shared" si="1126"/>
        <v>220079.76547675158</v>
      </c>
      <c r="L6" s="19">
        <f t="shared" si="1127"/>
        <v>0.68764642857142855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128"/>
        <v>94000</v>
      </c>
      <c r="S6" s="35">
        <f t="shared" si="1129"/>
        <v>286541</v>
      </c>
      <c r="T6" s="35">
        <f t="shared" si="1130"/>
        <v>6541</v>
      </c>
      <c r="U6" s="19">
        <f t="shared" si="1131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123"/>
        <v>205985.22317750531</v>
      </c>
      <c r="F7" s="13">
        <v>169613</v>
      </c>
      <c r="G7" s="44">
        <v>297000</v>
      </c>
      <c r="H7" s="13">
        <v>153000</v>
      </c>
      <c r="I7" s="16">
        <f t="shared" si="1124"/>
        <v>322613</v>
      </c>
      <c r="J7" s="17">
        <f t="shared" si="1125"/>
        <v>27781</v>
      </c>
      <c r="K7" s="18">
        <f t="shared" si="1126"/>
        <v>188365.73347492333</v>
      </c>
      <c r="L7" s="19">
        <f t="shared" si="1127"/>
        <v>0.91446236079080978</v>
      </c>
      <c r="M7" s="34">
        <v>0</v>
      </c>
      <c r="N7" s="58">
        <v>0</v>
      </c>
      <c r="O7" s="34">
        <v>0</v>
      </c>
      <c r="P7" s="34">
        <v>0</v>
      </c>
      <c r="Q7" s="34">
        <v>552000</v>
      </c>
      <c r="R7" s="34">
        <f t="shared" si="1128"/>
        <v>552000</v>
      </c>
      <c r="S7" s="35">
        <f t="shared" si="1129"/>
        <v>1171613</v>
      </c>
      <c r="T7" s="35">
        <f t="shared" si="1130"/>
        <v>846832</v>
      </c>
      <c r="U7" s="19">
        <f t="shared" si="1131"/>
        <v>3.6073939054316599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123"/>
        <v>322487.6793555622</v>
      </c>
      <c r="F8" s="44">
        <v>205332</v>
      </c>
      <c r="G8" s="13">
        <v>550000</v>
      </c>
      <c r="H8" s="44">
        <v>0</v>
      </c>
      <c r="I8" s="16">
        <f t="shared" si="1124"/>
        <v>205332</v>
      </c>
      <c r="J8" s="17">
        <f t="shared" si="1125"/>
        <v>-189085</v>
      </c>
      <c r="K8" s="18">
        <f t="shared" si="1126"/>
        <v>491440.43236096925</v>
      </c>
      <c r="L8" s="19">
        <f t="shared" si="1127"/>
        <v>1.5239045204549548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1128"/>
        <v>0</v>
      </c>
      <c r="S8" s="35">
        <f t="shared" si="1129"/>
        <v>755332</v>
      </c>
      <c r="T8" s="35">
        <f t="shared" si="1130"/>
        <v>394417</v>
      </c>
      <c r="U8" s="19">
        <f t="shared" si="1131"/>
        <v>2.0928251804441489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123"/>
        <v>140431.72333427161</v>
      </c>
      <c r="F9" s="13">
        <v>0</v>
      </c>
      <c r="G9" s="13">
        <v>58575</v>
      </c>
      <c r="H9" s="13">
        <v>0</v>
      </c>
      <c r="I9" s="16">
        <f t="shared" si="1124"/>
        <v>0</v>
      </c>
      <c r="J9" s="17">
        <f t="shared" si="1125"/>
        <v>72875</v>
      </c>
      <c r="K9" s="18">
        <f t="shared" si="1126"/>
        <v>62577.316046443208</v>
      </c>
      <c r="L9" s="19">
        <f t="shared" si="1127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128"/>
        <v>233000</v>
      </c>
      <c r="S9" s="35">
        <f t="shared" si="1129"/>
        <v>291575</v>
      </c>
      <c r="T9" s="35">
        <f t="shared" si="1130"/>
        <v>160125</v>
      </c>
      <c r="U9" s="19">
        <f t="shared" si="1131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123"/>
        <v>1010223.8009756197</v>
      </c>
      <c r="F10" s="13">
        <v>0</v>
      </c>
      <c r="G10" s="13">
        <v>428013</v>
      </c>
      <c r="H10" s="13">
        <v>0</v>
      </c>
      <c r="I10" s="16">
        <f t="shared" si="1124"/>
        <v>0</v>
      </c>
      <c r="J10" s="17">
        <f t="shared" si="1125"/>
        <v>37597</v>
      </c>
      <c r="K10" s="18">
        <f t="shared" si="1126"/>
        <v>928650.41499748267</v>
      </c>
      <c r="L10" s="19">
        <f t="shared" si="1127"/>
        <v>0.91925216382809649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128"/>
        <v>0</v>
      </c>
      <c r="S10" s="35">
        <f>G10+I10+R10</f>
        <v>428013</v>
      </c>
      <c r="T10" s="35">
        <f t="shared" si="1130"/>
        <v>-37597</v>
      </c>
      <c r="U10" s="19">
        <f t="shared" si="1131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123"/>
        <v>57578.986018775817</v>
      </c>
      <c r="F11" s="13">
        <v>0</v>
      </c>
      <c r="G11" s="13">
        <v>37030</v>
      </c>
      <c r="H11" s="13">
        <v>0</v>
      </c>
      <c r="I11" s="16">
        <f t="shared" si="1124"/>
        <v>0</v>
      </c>
      <c r="J11" s="17">
        <f t="shared" si="1125"/>
        <v>0</v>
      </c>
      <c r="K11" s="18">
        <f t="shared" si="1126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128"/>
        <v>0</v>
      </c>
      <c r="S11" s="35">
        <f t="shared" si="1129"/>
        <v>37030</v>
      </c>
      <c r="T11" s="35">
        <f t="shared" si="1130"/>
        <v>0</v>
      </c>
      <c r="U11" s="19">
        <f t="shared" si="1131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23"/>
        <v>0</v>
      </c>
      <c r="F12" s="13">
        <v>0</v>
      </c>
      <c r="G12" s="13">
        <v>0</v>
      </c>
      <c r="H12" s="13">
        <v>0</v>
      </c>
      <c r="I12" s="16">
        <f t="shared" si="1124"/>
        <v>0</v>
      </c>
      <c r="J12" s="17">
        <f t="shared" si="112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28"/>
        <v>0</v>
      </c>
      <c r="S12" s="35">
        <f t="shared" si="1129"/>
        <v>0</v>
      </c>
      <c r="T12" s="35">
        <f t="shared" si="1130"/>
        <v>0</v>
      </c>
      <c r="U12" s="19" t="e">
        <f t="shared" si="113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23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25"/>
        <v>0</v>
      </c>
      <c r="K13" s="18">
        <f t="shared" si="112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28"/>
        <v>0</v>
      </c>
      <c r="S13" s="35">
        <f t="shared" si="1129"/>
        <v>0</v>
      </c>
      <c r="T13" s="35">
        <f t="shared" si="1130"/>
        <v>0</v>
      </c>
      <c r="U13" s="19" t="e">
        <f t="shared" si="1131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123"/>
        <v>0</v>
      </c>
      <c r="F14" s="13">
        <v>0</v>
      </c>
      <c r="G14" s="13">
        <v>0</v>
      </c>
      <c r="H14" s="13">
        <v>0</v>
      </c>
      <c r="I14" s="16">
        <f t="shared" si="1124"/>
        <v>0</v>
      </c>
      <c r="J14" s="17">
        <f t="shared" si="1125"/>
        <v>0</v>
      </c>
      <c r="K14" s="18">
        <f t="shared" si="112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28"/>
        <v>0</v>
      </c>
      <c r="S14" s="35">
        <f t="shared" si="1129"/>
        <v>0</v>
      </c>
      <c r="T14" s="35">
        <f t="shared" si="1130"/>
        <v>0</v>
      </c>
      <c r="U14" s="19" t="e">
        <f t="shared" si="1131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123"/>
        <v>243709.5754055744</v>
      </c>
      <c r="F15" s="13">
        <v>0</v>
      </c>
      <c r="G15" s="13">
        <v>0</v>
      </c>
      <c r="H15" s="13">
        <v>27250</v>
      </c>
      <c r="I15" s="16">
        <f>F15+H15</f>
        <v>27250</v>
      </c>
      <c r="J15" s="17">
        <f t="shared" si="1125"/>
        <v>27264</v>
      </c>
      <c r="K15" s="18">
        <f t="shared" si="112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28"/>
        <v>0</v>
      </c>
      <c r="S15" s="35">
        <f t="shared" si="1129"/>
        <v>27250</v>
      </c>
      <c r="T15" s="35">
        <f t="shared" si="1130"/>
        <v>-14</v>
      </c>
      <c r="U15" s="19">
        <f t="shared" si="1131"/>
        <v>0.99948650234741787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23"/>
        <v>0</v>
      </c>
      <c r="F16" s="13">
        <v>0</v>
      </c>
      <c r="G16" s="33">
        <v>0</v>
      </c>
      <c r="H16" s="13">
        <v>0</v>
      </c>
      <c r="I16" s="16">
        <f t="shared" si="1124"/>
        <v>0</v>
      </c>
      <c r="J16" s="17">
        <f t="shared" si="1125"/>
        <v>0</v>
      </c>
      <c r="K16" s="18">
        <f t="shared" ref="K16:K18" si="1132">+G16*D16</f>
        <v>0</v>
      </c>
      <c r="L16" s="19" t="e">
        <f t="shared" ref="L16:L21" si="1133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28"/>
        <v>0</v>
      </c>
      <c r="S16" s="35">
        <f t="shared" si="1129"/>
        <v>0</v>
      </c>
      <c r="T16" s="35">
        <f t="shared" si="1130"/>
        <v>0</v>
      </c>
      <c r="U16" s="19" t="e">
        <f t="shared" si="1131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23"/>
        <v>0</v>
      </c>
      <c r="F17" s="13">
        <v>0</v>
      </c>
      <c r="G17" s="33">
        <v>0</v>
      </c>
      <c r="H17" s="13">
        <v>0</v>
      </c>
      <c r="I17" s="16">
        <f t="shared" si="1124"/>
        <v>0</v>
      </c>
      <c r="J17" s="17">
        <f t="shared" si="1125"/>
        <v>0</v>
      </c>
      <c r="K17" s="18">
        <f t="shared" si="1132"/>
        <v>0</v>
      </c>
      <c r="L17" s="19" t="e">
        <f t="shared" si="1133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28"/>
        <v>0</v>
      </c>
      <c r="S17" s="35">
        <f t="shared" si="1129"/>
        <v>0</v>
      </c>
      <c r="T17" s="35">
        <f t="shared" si="1130"/>
        <v>0</v>
      </c>
      <c r="U17" s="19" t="e">
        <f t="shared" si="1131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23"/>
        <v>0</v>
      </c>
      <c r="F18" s="13">
        <v>0</v>
      </c>
      <c r="G18" s="33">
        <v>0</v>
      </c>
      <c r="H18" s="13">
        <v>0</v>
      </c>
      <c r="I18" s="16">
        <f t="shared" si="1124"/>
        <v>0</v>
      </c>
      <c r="J18" s="17">
        <f t="shared" si="1125"/>
        <v>0</v>
      </c>
      <c r="K18" s="18">
        <f t="shared" si="1132"/>
        <v>0</v>
      </c>
      <c r="L18" s="19" t="e">
        <f t="shared" si="1133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28"/>
        <v>0</v>
      </c>
      <c r="S18" s="35">
        <f t="shared" si="1129"/>
        <v>0</v>
      </c>
      <c r="T18" s="35">
        <f t="shared" si="1130"/>
        <v>0</v>
      </c>
      <c r="U18" s="19" t="e">
        <f t="shared" si="1131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23"/>
        <v>0</v>
      </c>
      <c r="F19" s="13">
        <v>0</v>
      </c>
      <c r="G19" s="13">
        <v>0</v>
      </c>
      <c r="H19" s="13">
        <v>0</v>
      </c>
      <c r="I19" s="16">
        <f t="shared" si="1124"/>
        <v>0</v>
      </c>
      <c r="J19" s="17">
        <f t="shared" si="1125"/>
        <v>0</v>
      </c>
      <c r="K19" s="18">
        <f t="shared" si="112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28"/>
        <v>0</v>
      </c>
      <c r="S19" s="35">
        <f t="shared" si="1129"/>
        <v>0</v>
      </c>
      <c r="T19" s="35">
        <f t="shared" si="1130"/>
        <v>0</v>
      </c>
      <c r="U19" s="19" t="e">
        <f t="shared" si="1131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23"/>
        <v>0</v>
      </c>
      <c r="F20" s="13">
        <v>0</v>
      </c>
      <c r="G20" s="13">
        <v>0</v>
      </c>
      <c r="H20" s="13">
        <v>0</v>
      </c>
      <c r="I20" s="16">
        <f t="shared" si="1124"/>
        <v>0</v>
      </c>
      <c r="J20" s="17">
        <f t="shared" si="1125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28"/>
        <v>0</v>
      </c>
      <c r="S20" s="35">
        <f t="shared" si="1129"/>
        <v>0</v>
      </c>
      <c r="T20" s="35">
        <f t="shared" si="1130"/>
        <v>0</v>
      </c>
      <c r="U20" s="19" t="e">
        <f t="shared" si="1131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134">SUM(E3:E20)</f>
        <v>4408558.1459349487</v>
      </c>
      <c r="F21" s="24">
        <f>SUM(F3:F20)</f>
        <v>822204</v>
      </c>
      <c r="G21" s="24">
        <f t="shared" si="1134"/>
        <v>2728575</v>
      </c>
      <c r="H21" s="24">
        <f t="shared" si="1134"/>
        <v>266184</v>
      </c>
      <c r="I21" s="25">
        <f>SUM(I3:I20)</f>
        <v>1088388</v>
      </c>
      <c r="J21" s="26">
        <f>SUM(J3:J20)</f>
        <v>28475</v>
      </c>
      <c r="K21" s="26">
        <f>SUM(K3:K20)</f>
        <v>4293663.9173184754</v>
      </c>
      <c r="L21" s="27">
        <f t="shared" si="1133"/>
        <v>0.97393836605684447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28"/>
        <v>1</v>
      </c>
      <c r="S21" s="35">
        <f t="shared" si="1129"/>
        <v>3816964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E008D-00D4-409B-9BAF-004300B100E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80048-00F6-45A1-86E0-00ED00E300E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DF00F2-003E-417A-A666-009100D5008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0D0016-00AE-4829-BA35-00F3002900B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1400C9-0018-4D2D-988F-008B0059005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3400C5-00F8-48AD-BD9D-00B000B600F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4F0027-0076-4A95-A743-0084005600C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2800D6-0087-46C9-B981-0071001B009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750021-00EB-447A-B17A-0022006100E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970083-00D7-4ACA-AC8C-001200D100A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1E0012-0007-437E-8747-00DF0008002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EB0013-00BD-470B-95E0-00E70083002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27" activeCellId="0" sqref="G27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194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135">C3*D3</f>
        <v>1156951.2235352504</v>
      </c>
      <c r="F3" s="13">
        <v>260905</v>
      </c>
      <c r="G3" s="44">
        <v>520000</v>
      </c>
      <c r="H3" s="13">
        <v>0</v>
      </c>
      <c r="I3" s="16">
        <f t="shared" ref="I3:I20" si="1136">F3+H3</f>
        <v>260905</v>
      </c>
      <c r="J3" s="17">
        <f t="shared" ref="J3:J20" si="1137">C3-G3</f>
        <v>-120000</v>
      </c>
      <c r="K3" s="18">
        <f t="shared" ref="K3:K19" si="1138">+G3*D3</f>
        <v>1504036.5905958253</v>
      </c>
      <c r="L3" s="19">
        <f t="shared" ref="L3:L10" si="1139">K3/E3</f>
        <v>1.2999999999999998</v>
      </c>
      <c r="M3" s="34">
        <v>18500</v>
      </c>
      <c r="N3" s="58">
        <v>0</v>
      </c>
      <c r="O3" s="34">
        <v>37000</v>
      </c>
      <c r="P3" s="34">
        <v>187500</v>
      </c>
      <c r="Q3" s="34">
        <v>0</v>
      </c>
      <c r="R3" s="34">
        <f t="shared" ref="R3:R21" si="1140">M3+N3+O3+P3+Q3</f>
        <v>243000</v>
      </c>
      <c r="S3" s="35">
        <f t="shared" ref="S3:S21" si="1141">G3+I3+R3</f>
        <v>1023905</v>
      </c>
      <c r="T3" s="35">
        <f t="shared" ref="T3:T20" si="1142">S3-C3</f>
        <v>623905</v>
      </c>
      <c r="U3" s="19">
        <f t="shared" ref="U3:U20" si="1143">S3/C3</f>
        <v>2.5597625000000002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135"/>
        <v>951142.07765771437</v>
      </c>
      <c r="F4" s="13">
        <v>297497</v>
      </c>
      <c r="G4" s="13">
        <v>731350</v>
      </c>
      <c r="H4" s="13">
        <v>0</v>
      </c>
      <c r="I4" s="16">
        <f t="shared" si="1136"/>
        <v>297497</v>
      </c>
      <c r="J4" s="17">
        <f t="shared" si="1137"/>
        <v>-1350</v>
      </c>
      <c r="K4" s="18">
        <f t="shared" si="1138"/>
        <v>952901.03903420467</v>
      </c>
      <c r="L4" s="19">
        <f t="shared" si="1139"/>
        <v>1.0018493150684931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40"/>
        <v>0</v>
      </c>
      <c r="S4" s="35">
        <f t="shared" si="1141"/>
        <v>1028847</v>
      </c>
      <c r="T4" s="35">
        <f t="shared" si="1142"/>
        <v>298847</v>
      </c>
      <c r="U4" s="19">
        <f t="shared" si="1143"/>
        <v>1.4093794520547944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35"/>
        <v>0</v>
      </c>
      <c r="F5" s="13">
        <v>0</v>
      </c>
      <c r="G5" s="13">
        <v>0</v>
      </c>
      <c r="H5" s="13">
        <v>0</v>
      </c>
      <c r="I5" s="16">
        <f t="shared" si="1136"/>
        <v>0</v>
      </c>
      <c r="J5" s="17">
        <f t="shared" si="1137"/>
        <v>0</v>
      </c>
      <c r="K5" s="18">
        <f t="shared" si="113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40"/>
        <v>0</v>
      </c>
      <c r="S5" s="35">
        <f t="shared" si="1141"/>
        <v>0</v>
      </c>
      <c r="T5" s="35">
        <f t="shared" si="1142"/>
        <v>0</v>
      </c>
      <c r="U5" s="19" t="e">
        <f t="shared" si="1143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135"/>
        <v>320047.85647467524</v>
      </c>
      <c r="F6" s="13">
        <v>0</v>
      </c>
      <c r="G6" s="44">
        <v>192541</v>
      </c>
      <c r="H6" s="44">
        <v>0</v>
      </c>
      <c r="I6" s="16">
        <f t="shared" si="1136"/>
        <v>0</v>
      </c>
      <c r="J6" s="17">
        <f t="shared" si="1137"/>
        <v>87459</v>
      </c>
      <c r="K6" s="18">
        <f t="shared" si="1138"/>
        <v>220079.76547675158</v>
      </c>
      <c r="L6" s="19">
        <f t="shared" si="1139"/>
        <v>0.68764642857142855</v>
      </c>
      <c r="M6" s="34">
        <v>95000</v>
      </c>
      <c r="N6" s="58">
        <v>158000</v>
      </c>
      <c r="O6" s="34">
        <v>158000</v>
      </c>
      <c r="P6" s="34">
        <v>158000</v>
      </c>
      <c r="Q6" s="34">
        <v>0</v>
      </c>
      <c r="R6" s="34">
        <f t="shared" si="1140"/>
        <v>569000</v>
      </c>
      <c r="S6" s="35">
        <f t="shared" si="1141"/>
        <v>761541</v>
      </c>
      <c r="T6" s="35">
        <f t="shared" si="1142"/>
        <v>481541</v>
      </c>
      <c r="U6" s="19">
        <f t="shared" si="1143"/>
        <v>2.7197892857142856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135"/>
        <v>205985.22317750531</v>
      </c>
      <c r="F7" s="13">
        <v>169613</v>
      </c>
      <c r="G7" s="44">
        <v>450000</v>
      </c>
      <c r="H7" s="13">
        <v>0</v>
      </c>
      <c r="I7" s="16">
        <f t="shared" si="1136"/>
        <v>169613</v>
      </c>
      <c r="J7" s="17">
        <f t="shared" si="1137"/>
        <v>-125219</v>
      </c>
      <c r="K7" s="18">
        <f t="shared" si="1138"/>
        <v>285402.62647715659</v>
      </c>
      <c r="L7" s="19">
        <f t="shared" si="1139"/>
        <v>1.3855490315012271</v>
      </c>
      <c r="M7" s="34">
        <v>260000</v>
      </c>
      <c r="N7" s="58">
        <v>260000</v>
      </c>
      <c r="O7" s="34">
        <v>0</v>
      </c>
      <c r="P7" s="34">
        <v>0</v>
      </c>
      <c r="Q7" s="34">
        <v>0</v>
      </c>
      <c r="R7" s="34">
        <f t="shared" si="1140"/>
        <v>520000</v>
      </c>
      <c r="S7" s="35">
        <f t="shared" si="1141"/>
        <v>1139613</v>
      </c>
      <c r="T7" s="35">
        <f t="shared" si="1142"/>
        <v>814832</v>
      </c>
      <c r="U7" s="19">
        <f t="shared" si="1143"/>
        <v>3.508865974302684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135"/>
        <v>322487.6793555622</v>
      </c>
      <c r="F8" s="44">
        <v>205332</v>
      </c>
      <c r="G8" s="13">
        <v>550000</v>
      </c>
      <c r="H8" s="44">
        <v>0</v>
      </c>
      <c r="I8" s="16">
        <f t="shared" si="1136"/>
        <v>205332</v>
      </c>
      <c r="J8" s="17">
        <f t="shared" si="1137"/>
        <v>-189085</v>
      </c>
      <c r="K8" s="18">
        <f t="shared" si="1138"/>
        <v>491440.43236096925</v>
      </c>
      <c r="L8" s="19">
        <f t="shared" si="1139"/>
        <v>1.5239045204549548</v>
      </c>
      <c r="M8" s="34">
        <v>260000</v>
      </c>
      <c r="N8" s="58">
        <v>0</v>
      </c>
      <c r="O8" s="34">
        <v>0</v>
      </c>
      <c r="P8" s="34">
        <v>260000</v>
      </c>
      <c r="Q8" s="34">
        <v>0</v>
      </c>
      <c r="R8" s="34">
        <f t="shared" si="1140"/>
        <v>520000</v>
      </c>
      <c r="S8" s="35">
        <f t="shared" si="1141"/>
        <v>1275332</v>
      </c>
      <c r="T8" s="35">
        <f t="shared" si="1142"/>
        <v>914417</v>
      </c>
      <c r="U8" s="19">
        <f t="shared" si="1143"/>
        <v>3.533607636147015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135"/>
        <v>140431.72333427161</v>
      </c>
      <c r="F9" s="13">
        <v>0</v>
      </c>
      <c r="G9" s="13">
        <v>58575</v>
      </c>
      <c r="H9" s="13">
        <v>0</v>
      </c>
      <c r="I9" s="16">
        <f t="shared" si="1136"/>
        <v>0</v>
      </c>
      <c r="J9" s="17">
        <f t="shared" si="1137"/>
        <v>72875</v>
      </c>
      <c r="K9" s="18">
        <f t="shared" si="1138"/>
        <v>62577.316046443208</v>
      </c>
      <c r="L9" s="19">
        <f t="shared" si="1139"/>
        <v>0.44560669456066948</v>
      </c>
      <c r="M9" s="34">
        <v>0</v>
      </c>
      <c r="N9" s="58">
        <v>230000</v>
      </c>
      <c r="O9" s="34">
        <v>0</v>
      </c>
      <c r="P9" s="34">
        <v>0</v>
      </c>
      <c r="Q9" s="34">
        <v>0</v>
      </c>
      <c r="R9" s="34">
        <f t="shared" si="1140"/>
        <v>230000</v>
      </c>
      <c r="S9" s="35">
        <f t="shared" si="1141"/>
        <v>288575</v>
      </c>
      <c r="T9" s="35">
        <f t="shared" si="1142"/>
        <v>157125</v>
      </c>
      <c r="U9" s="19">
        <f t="shared" si="1143"/>
        <v>2.1953214149866871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135"/>
        <v>1010223.8009756197</v>
      </c>
      <c r="F10" s="13">
        <v>0</v>
      </c>
      <c r="G10" s="13">
        <v>428013</v>
      </c>
      <c r="H10" s="13">
        <v>0</v>
      </c>
      <c r="I10" s="16">
        <f t="shared" si="1136"/>
        <v>0</v>
      </c>
      <c r="J10" s="17">
        <f t="shared" si="1137"/>
        <v>37597</v>
      </c>
      <c r="K10" s="18">
        <f t="shared" si="1138"/>
        <v>928650.41499748267</v>
      </c>
      <c r="L10" s="19">
        <f t="shared" si="1139"/>
        <v>0.91925216382809649</v>
      </c>
      <c r="M10" s="34">
        <v>0</v>
      </c>
      <c r="N10" s="58">
        <v>0</v>
      </c>
      <c r="O10" s="34">
        <v>230000</v>
      </c>
      <c r="P10" s="34">
        <v>470000</v>
      </c>
      <c r="Q10" s="34">
        <v>0</v>
      </c>
      <c r="R10" s="34">
        <f t="shared" si="1140"/>
        <v>700000</v>
      </c>
      <c r="S10" s="35">
        <f>G10+I10+R10</f>
        <v>1128013</v>
      </c>
      <c r="T10" s="35">
        <f t="shared" si="1142"/>
        <v>662403</v>
      </c>
      <c r="U10" s="19">
        <f t="shared" si="1143"/>
        <v>2.4226563003371919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135"/>
        <v>57578.986018775817</v>
      </c>
      <c r="F11" s="13">
        <v>0</v>
      </c>
      <c r="G11" s="13">
        <v>37030</v>
      </c>
      <c r="H11" s="13">
        <v>0</v>
      </c>
      <c r="I11" s="16">
        <f t="shared" si="1136"/>
        <v>0</v>
      </c>
      <c r="J11" s="17">
        <f t="shared" si="1137"/>
        <v>0</v>
      </c>
      <c r="K11" s="18">
        <f t="shared" si="1138"/>
        <v>57578.986018775817</v>
      </c>
      <c r="L11" s="19">
        <v>0</v>
      </c>
      <c r="M11" s="34">
        <v>75000</v>
      </c>
      <c r="N11" s="58">
        <v>112500</v>
      </c>
      <c r="O11" s="34">
        <v>37500</v>
      </c>
      <c r="P11" s="34">
        <v>0</v>
      </c>
      <c r="Q11" s="34">
        <v>0</v>
      </c>
      <c r="R11" s="34">
        <f t="shared" si="1140"/>
        <v>225000</v>
      </c>
      <c r="S11" s="35">
        <f t="shared" si="1141"/>
        <v>262030</v>
      </c>
      <c r="T11" s="35">
        <f t="shared" si="1142"/>
        <v>225000</v>
      </c>
      <c r="U11" s="19">
        <f t="shared" si="1143"/>
        <v>7.0761544693491762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35"/>
        <v>0</v>
      </c>
      <c r="F12" s="13">
        <v>0</v>
      </c>
      <c r="G12" s="13">
        <v>0</v>
      </c>
      <c r="H12" s="13">
        <v>0</v>
      </c>
      <c r="I12" s="16">
        <f t="shared" si="1136"/>
        <v>0</v>
      </c>
      <c r="J12" s="17">
        <f t="shared" si="113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40"/>
        <v>0</v>
      </c>
      <c r="S12" s="35">
        <f t="shared" si="1141"/>
        <v>0</v>
      </c>
      <c r="T12" s="35">
        <f t="shared" si="1142"/>
        <v>0</v>
      </c>
      <c r="U12" s="19" t="e">
        <f t="shared" si="114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35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37"/>
        <v>0</v>
      </c>
      <c r="K13" s="18">
        <f t="shared" si="113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40"/>
        <v>0</v>
      </c>
      <c r="S13" s="35">
        <f t="shared" si="1141"/>
        <v>0</v>
      </c>
      <c r="T13" s="35">
        <f t="shared" si="1142"/>
        <v>0</v>
      </c>
      <c r="U13" s="19" t="e">
        <f t="shared" si="1143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135"/>
        <v>0</v>
      </c>
      <c r="F14" s="13">
        <v>0</v>
      </c>
      <c r="G14" s="13">
        <v>0</v>
      </c>
      <c r="H14" s="13">
        <v>0</v>
      </c>
      <c r="I14" s="16">
        <f t="shared" si="1136"/>
        <v>0</v>
      </c>
      <c r="J14" s="17">
        <f t="shared" si="1137"/>
        <v>0</v>
      </c>
      <c r="K14" s="18">
        <f t="shared" si="113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40"/>
        <v>0</v>
      </c>
      <c r="S14" s="35">
        <f t="shared" si="1141"/>
        <v>0</v>
      </c>
      <c r="T14" s="35">
        <f t="shared" si="1142"/>
        <v>0</v>
      </c>
      <c r="U14" s="19" t="e">
        <f t="shared" si="1143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135"/>
        <v>243709.5754055744</v>
      </c>
      <c r="F15" s="13">
        <v>0</v>
      </c>
      <c r="G15" s="13">
        <v>27250</v>
      </c>
      <c r="H15" s="13">
        <v>0</v>
      </c>
      <c r="I15" s="16">
        <f>F15+H15</f>
        <v>0</v>
      </c>
      <c r="J15" s="17">
        <f t="shared" si="1137"/>
        <v>14</v>
      </c>
      <c r="K15" s="18">
        <f t="shared" si="1138"/>
        <v>243584.43111069183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40"/>
        <v>0</v>
      </c>
      <c r="S15" s="35">
        <f t="shared" si="1141"/>
        <v>27250</v>
      </c>
      <c r="T15" s="35">
        <f t="shared" si="1142"/>
        <v>-14</v>
      </c>
      <c r="U15" s="19">
        <f t="shared" si="1143"/>
        <v>0.99948650234741787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35"/>
        <v>0</v>
      </c>
      <c r="F16" s="13">
        <v>0</v>
      </c>
      <c r="G16" s="33">
        <v>0</v>
      </c>
      <c r="H16" s="13">
        <v>0</v>
      </c>
      <c r="I16" s="16">
        <f t="shared" si="1136"/>
        <v>0</v>
      </c>
      <c r="J16" s="17">
        <f t="shared" si="1137"/>
        <v>0</v>
      </c>
      <c r="K16" s="18">
        <f t="shared" ref="K16:K18" si="1144">+G16*D16</f>
        <v>0</v>
      </c>
      <c r="L16" s="19" t="e">
        <f t="shared" ref="L16:L21" si="1145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40"/>
        <v>0</v>
      </c>
      <c r="S16" s="35">
        <f t="shared" si="1141"/>
        <v>0</v>
      </c>
      <c r="T16" s="35">
        <f t="shared" si="1142"/>
        <v>0</v>
      </c>
      <c r="U16" s="19" t="e">
        <f t="shared" si="1143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35"/>
        <v>0</v>
      </c>
      <c r="F17" s="13">
        <v>0</v>
      </c>
      <c r="G17" s="33">
        <v>0</v>
      </c>
      <c r="H17" s="13">
        <v>0</v>
      </c>
      <c r="I17" s="16">
        <f t="shared" si="1136"/>
        <v>0</v>
      </c>
      <c r="J17" s="17">
        <f t="shared" si="1137"/>
        <v>0</v>
      </c>
      <c r="K17" s="18">
        <f t="shared" si="1144"/>
        <v>0</v>
      </c>
      <c r="L17" s="19" t="e">
        <f t="shared" si="114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40"/>
        <v>0</v>
      </c>
      <c r="S17" s="35">
        <f t="shared" si="1141"/>
        <v>0</v>
      </c>
      <c r="T17" s="35">
        <f t="shared" si="1142"/>
        <v>0</v>
      </c>
      <c r="U17" s="19" t="e">
        <f t="shared" si="1143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35"/>
        <v>0</v>
      </c>
      <c r="F18" s="13">
        <v>0</v>
      </c>
      <c r="G18" s="33">
        <v>0</v>
      </c>
      <c r="H18" s="13">
        <v>0</v>
      </c>
      <c r="I18" s="16">
        <f t="shared" si="1136"/>
        <v>0</v>
      </c>
      <c r="J18" s="17">
        <f t="shared" si="1137"/>
        <v>0</v>
      </c>
      <c r="K18" s="18">
        <f t="shared" si="1144"/>
        <v>0</v>
      </c>
      <c r="L18" s="19" t="e">
        <f t="shared" si="1145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40"/>
        <v>0</v>
      </c>
      <c r="S18" s="35">
        <f t="shared" si="1141"/>
        <v>0</v>
      </c>
      <c r="T18" s="35">
        <f t="shared" si="1142"/>
        <v>0</v>
      </c>
      <c r="U18" s="19" t="e">
        <f t="shared" si="1143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35"/>
        <v>0</v>
      </c>
      <c r="F19" s="13">
        <v>0</v>
      </c>
      <c r="G19" s="13">
        <v>0</v>
      </c>
      <c r="H19" s="13">
        <v>0</v>
      </c>
      <c r="I19" s="16">
        <f t="shared" si="1136"/>
        <v>0</v>
      </c>
      <c r="J19" s="17">
        <f t="shared" si="1137"/>
        <v>0</v>
      </c>
      <c r="K19" s="18">
        <f t="shared" si="113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40"/>
        <v>0</v>
      </c>
      <c r="S19" s="35">
        <f t="shared" si="1141"/>
        <v>0</v>
      </c>
      <c r="T19" s="35">
        <f t="shared" si="1142"/>
        <v>0</v>
      </c>
      <c r="U19" s="19" t="e">
        <f t="shared" si="1143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35"/>
        <v>0</v>
      </c>
      <c r="F20" s="13">
        <v>0</v>
      </c>
      <c r="G20" s="13">
        <v>0</v>
      </c>
      <c r="H20" s="13">
        <v>0</v>
      </c>
      <c r="I20" s="16">
        <f t="shared" si="1136"/>
        <v>0</v>
      </c>
      <c r="J20" s="17">
        <f t="shared" si="1137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40"/>
        <v>0</v>
      </c>
      <c r="S20" s="35">
        <f t="shared" si="1141"/>
        <v>0</v>
      </c>
      <c r="T20" s="35">
        <f t="shared" si="1142"/>
        <v>0</v>
      </c>
      <c r="U20" s="19" t="e">
        <f t="shared" si="1143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146">SUM(E3:E20)</f>
        <v>4408558.1459349487</v>
      </c>
      <c r="F21" s="24">
        <f>SUM(F3:F20)</f>
        <v>933347</v>
      </c>
      <c r="G21" s="24">
        <f t="shared" si="1146"/>
        <v>2994759</v>
      </c>
      <c r="H21" s="24">
        <f t="shared" si="1146"/>
        <v>0</v>
      </c>
      <c r="I21" s="25">
        <f>SUM(I3:I20)</f>
        <v>933347</v>
      </c>
      <c r="J21" s="26">
        <f>SUM(J3:J20)</f>
        <v>-237709</v>
      </c>
      <c r="K21" s="26">
        <f>SUM(K3:K20)</f>
        <v>4746251.6021183021</v>
      </c>
      <c r="L21" s="27">
        <f t="shared" si="1145"/>
        <v>1.0765995241538857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40"/>
        <v>1</v>
      </c>
      <c r="S21" s="35">
        <f t="shared" si="1141"/>
        <v>3928107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B24" s="9" t="s">
        <v>29</v>
      </c>
      <c r="C24" s="11">
        <v>0.63422805883812572</v>
      </c>
      <c r="D24" s="33">
        <v>169000</v>
      </c>
      <c r="E24" s="33">
        <f t="shared" ref="E24:E26" si="1147">C24*D24</f>
        <v>107184.54194364324</v>
      </c>
    </row>
    <row r="25">
      <c r="B25" s="9" t="s">
        <v>31</v>
      </c>
      <c r="C25" s="50">
        <v>0.89352805883812592</v>
      </c>
      <c r="D25" s="33">
        <v>350000</v>
      </c>
      <c r="E25" s="33">
        <f t="shared" si="1147"/>
        <v>312734.82059334405</v>
      </c>
      <c r="F25" t="s">
        <v>64</v>
      </c>
      <c r="G25" t="s">
        <v>64</v>
      </c>
    </row>
    <row r="26">
      <c r="B26" s="9" t="s">
        <v>21</v>
      </c>
      <c r="C26" s="11">
        <v>2.8923780588381258</v>
      </c>
      <c r="D26" s="33">
        <v>279000</v>
      </c>
      <c r="E26" s="33">
        <f t="shared" si="1147"/>
        <v>806973.47841583705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3000E-001A-4721-B3C8-00F90035001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6004D-0095-44F8-A448-0012002100E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56003A-00FB-4E34-9FAD-00E9002D009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FD0075-0054-42DE-B768-00410021007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75006D-00A5-4389-A21F-0096006E008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B200E5-0078-4915-9A0A-002B007F00C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49002F-0008-4BCA-894C-00CE00CE00A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E0005-0048-4FC4-99D7-00D30070002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0700B5-0066-4841-B6DC-00F8009C00B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FE00AD-00AA-4658-95EA-00C500E000E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AD008C-0007-4F84-852E-00D7007B007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5E008A-00BB-44A7-9672-00B5005F007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8" activeCellId="0" sqref="A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201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20" si="1148">C3*D3</f>
        <v>0</v>
      </c>
      <c r="F3" s="13">
        <v>166980</v>
      </c>
      <c r="G3" s="44">
        <v>0</v>
      </c>
      <c r="H3" s="13">
        <v>112683</v>
      </c>
      <c r="I3" s="16">
        <f t="shared" ref="I3:I20" si="1149">F3+H3</f>
        <v>279663</v>
      </c>
      <c r="J3" s="17">
        <f t="shared" ref="J3:J20" si="1150">C3-G3</f>
        <v>0</v>
      </c>
      <c r="K3" s="18">
        <f t="shared" ref="K3:K19" si="1151">+G3*D3</f>
        <v>0</v>
      </c>
      <c r="L3" s="19" t="e">
        <f t="shared" ref="L3:L10" si="1152">K3/E3</f>
        <v>#DIV/0!</v>
      </c>
      <c r="M3" s="66">
        <v>18500</v>
      </c>
      <c r="N3" s="58">
        <v>0</v>
      </c>
      <c r="O3" s="34">
        <v>37000</v>
      </c>
      <c r="P3" s="34">
        <v>187500</v>
      </c>
      <c r="Q3" s="34">
        <v>0</v>
      </c>
      <c r="R3" s="34">
        <f t="shared" ref="R3:R21" si="1153">M3+N3+O3+P3+Q3</f>
        <v>243000</v>
      </c>
      <c r="S3" s="35">
        <f t="shared" ref="S3:S21" si="1154">G3+I3+R3</f>
        <v>522663</v>
      </c>
      <c r="T3" s="35">
        <f t="shared" ref="T3:T20" si="1155">S3-C3</f>
        <v>522663</v>
      </c>
      <c r="U3" s="19" t="e">
        <f t="shared" ref="U3:U20" si="1156">S3/C3</f>
        <v>#DIV/0!</v>
      </c>
    </row>
    <row r="4">
      <c r="A4" s="9" t="s">
        <v>22</v>
      </c>
      <c r="B4" s="9" t="s">
        <v>23</v>
      </c>
      <c r="C4" s="14">
        <v>0</v>
      </c>
      <c r="D4" s="50">
        <v>1.3029343529557731</v>
      </c>
      <c r="E4" s="14">
        <f t="shared" si="1148"/>
        <v>0</v>
      </c>
      <c r="F4" s="13">
        <v>297497</v>
      </c>
      <c r="G4" s="13">
        <v>0</v>
      </c>
      <c r="H4" s="13">
        <v>0</v>
      </c>
      <c r="I4" s="16">
        <f t="shared" si="1149"/>
        <v>297497</v>
      </c>
      <c r="J4" s="17">
        <f t="shared" si="1150"/>
        <v>0</v>
      </c>
      <c r="K4" s="18">
        <f t="shared" si="1151"/>
        <v>0</v>
      </c>
      <c r="L4" s="19" t="e">
        <f t="shared" si="1152"/>
        <v>#DIV/0!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53"/>
        <v>0</v>
      </c>
      <c r="S4" s="35">
        <f t="shared" si="1154"/>
        <v>297497</v>
      </c>
      <c r="T4" s="35">
        <f t="shared" si="1155"/>
        <v>297497</v>
      </c>
      <c r="U4" s="19" t="e">
        <f t="shared" si="1156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48"/>
        <v>0</v>
      </c>
      <c r="F5" s="13">
        <v>0</v>
      </c>
      <c r="G5" s="13">
        <v>0</v>
      </c>
      <c r="H5" s="13">
        <v>0</v>
      </c>
      <c r="I5" s="16">
        <f t="shared" si="1149"/>
        <v>0</v>
      </c>
      <c r="J5" s="17">
        <f t="shared" si="1150"/>
        <v>0</v>
      </c>
      <c r="K5" s="18">
        <f t="shared" si="1151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53"/>
        <v>0</v>
      </c>
      <c r="S5" s="35">
        <f t="shared" si="1154"/>
        <v>0</v>
      </c>
      <c r="T5" s="35">
        <f t="shared" si="1155"/>
        <v>0</v>
      </c>
      <c r="U5" s="19" t="e">
        <f t="shared" si="1156"/>
        <v>#DIV/0!</v>
      </c>
    </row>
    <row r="6">
      <c r="A6" s="9" t="s">
        <v>26</v>
      </c>
      <c r="B6" s="9" t="s">
        <v>27</v>
      </c>
      <c r="C6" s="14">
        <v>0</v>
      </c>
      <c r="D6" s="11">
        <v>1.1430280588381259</v>
      </c>
      <c r="E6" s="12">
        <f t="shared" si="1148"/>
        <v>0</v>
      </c>
      <c r="F6" s="13">
        <v>0</v>
      </c>
      <c r="G6" s="44">
        <v>0</v>
      </c>
      <c r="H6" s="44">
        <v>0</v>
      </c>
      <c r="I6" s="16">
        <f t="shared" si="1149"/>
        <v>0</v>
      </c>
      <c r="J6" s="17">
        <f t="shared" si="1150"/>
        <v>0</v>
      </c>
      <c r="K6" s="18">
        <f t="shared" si="1151"/>
        <v>0</v>
      </c>
      <c r="L6" s="19" t="e">
        <f t="shared" si="1152"/>
        <v>#DIV/0!</v>
      </c>
      <c r="M6" s="34">
        <v>95000</v>
      </c>
      <c r="N6" s="58">
        <v>158000</v>
      </c>
      <c r="O6" s="34">
        <v>158000</v>
      </c>
      <c r="P6" s="34">
        <v>158000</v>
      </c>
      <c r="Q6" s="34">
        <v>0</v>
      </c>
      <c r="R6" s="34">
        <f t="shared" si="1153"/>
        <v>569000</v>
      </c>
      <c r="S6" s="35">
        <f t="shared" si="1154"/>
        <v>569000</v>
      </c>
      <c r="T6" s="35">
        <f t="shared" si="1155"/>
        <v>569000</v>
      </c>
      <c r="U6" s="19" t="e">
        <f t="shared" si="1156"/>
        <v>#DIV/0!</v>
      </c>
    </row>
    <row r="7">
      <c r="A7" s="9" t="s">
        <v>28</v>
      </c>
      <c r="B7" s="9" t="s">
        <v>29</v>
      </c>
      <c r="C7" s="14">
        <v>0</v>
      </c>
      <c r="D7" s="11">
        <v>0.63422805883812572</v>
      </c>
      <c r="E7" s="12">
        <f t="shared" si="1148"/>
        <v>0</v>
      </c>
      <c r="F7" s="13">
        <v>0</v>
      </c>
      <c r="G7" s="44">
        <v>169613</v>
      </c>
      <c r="H7" s="13">
        <v>0</v>
      </c>
      <c r="I7" s="16">
        <f t="shared" si="1149"/>
        <v>0</v>
      </c>
      <c r="J7" s="17">
        <f t="shared" si="1150"/>
        <v>-169613</v>
      </c>
      <c r="K7" s="18">
        <f t="shared" si="1151"/>
        <v>107573.32374371102</v>
      </c>
      <c r="L7" s="19" t="e">
        <f t="shared" si="1152"/>
        <v>#DIV/0!</v>
      </c>
      <c r="M7" s="34">
        <v>260000</v>
      </c>
      <c r="N7" s="58">
        <v>260000</v>
      </c>
      <c r="O7" s="34">
        <v>0</v>
      </c>
      <c r="P7" s="34">
        <v>0</v>
      </c>
      <c r="Q7" s="34">
        <v>0</v>
      </c>
      <c r="R7" s="34">
        <f t="shared" si="1153"/>
        <v>520000</v>
      </c>
      <c r="S7" s="35">
        <f t="shared" si="1154"/>
        <v>689613</v>
      </c>
      <c r="T7" s="35">
        <f t="shared" si="1155"/>
        <v>689613</v>
      </c>
      <c r="U7" s="19" t="e">
        <f t="shared" si="1156"/>
        <v>#DIV/0!</v>
      </c>
    </row>
    <row r="8">
      <c r="A8" s="9" t="s">
        <v>30</v>
      </c>
      <c r="B8" s="9" t="s">
        <v>31</v>
      </c>
      <c r="C8" s="14">
        <v>0</v>
      </c>
      <c r="D8" s="50">
        <v>0.89352805883812592</v>
      </c>
      <c r="E8" s="14">
        <f t="shared" si="1148"/>
        <v>0</v>
      </c>
      <c r="F8" s="44">
        <v>263685</v>
      </c>
      <c r="G8" s="13">
        <v>59400</v>
      </c>
      <c r="H8" s="44">
        <v>145932</v>
      </c>
      <c r="I8" s="16">
        <f t="shared" si="1149"/>
        <v>409617</v>
      </c>
      <c r="J8" s="17">
        <f t="shared" si="1150"/>
        <v>-59400</v>
      </c>
      <c r="K8" s="18">
        <f t="shared" si="1151"/>
        <v>53075.566694984678</v>
      </c>
      <c r="L8" s="19" t="e">
        <f t="shared" si="1152"/>
        <v>#DIV/0!</v>
      </c>
      <c r="M8" s="66">
        <v>260000</v>
      </c>
      <c r="N8" s="58">
        <v>0</v>
      </c>
      <c r="O8" s="34">
        <v>0</v>
      </c>
      <c r="P8" s="34">
        <v>260000</v>
      </c>
      <c r="Q8" s="34">
        <v>0</v>
      </c>
      <c r="R8" s="34">
        <f t="shared" si="1153"/>
        <v>520000</v>
      </c>
      <c r="S8" s="35">
        <f t="shared" si="1154"/>
        <v>989017</v>
      </c>
      <c r="T8" s="35">
        <f t="shared" si="1155"/>
        <v>989017</v>
      </c>
      <c r="U8" s="19" t="e">
        <f t="shared" si="1156"/>
        <v>#DIV/0!</v>
      </c>
    </row>
    <row r="9">
      <c r="A9" s="9" t="s">
        <v>32</v>
      </c>
      <c r="B9" s="9" t="s">
        <v>33</v>
      </c>
      <c r="C9" s="14">
        <v>0</v>
      </c>
      <c r="D9" s="11">
        <v>1.0683280588381256</v>
      </c>
      <c r="E9" s="12">
        <f t="shared" si="1148"/>
        <v>0</v>
      </c>
      <c r="F9" s="13">
        <v>0</v>
      </c>
      <c r="G9" s="13">
        <v>0</v>
      </c>
      <c r="H9" s="13">
        <v>0</v>
      </c>
      <c r="I9" s="16">
        <f t="shared" si="1149"/>
        <v>0</v>
      </c>
      <c r="J9" s="17">
        <f t="shared" si="1150"/>
        <v>0</v>
      </c>
      <c r="K9" s="18">
        <f t="shared" si="1151"/>
        <v>0</v>
      </c>
      <c r="L9" s="19" t="e">
        <f t="shared" si="1152"/>
        <v>#DIV/0!</v>
      </c>
      <c r="M9" s="34">
        <v>0</v>
      </c>
      <c r="N9" s="58">
        <v>230000</v>
      </c>
      <c r="O9" s="34">
        <v>0</v>
      </c>
      <c r="P9" s="34">
        <v>0</v>
      </c>
      <c r="Q9" s="34">
        <v>0</v>
      </c>
      <c r="R9" s="34">
        <f t="shared" si="1153"/>
        <v>230000</v>
      </c>
      <c r="S9" s="35">
        <f t="shared" si="1154"/>
        <v>230000</v>
      </c>
      <c r="T9" s="35">
        <f t="shared" si="1155"/>
        <v>230000</v>
      </c>
      <c r="U9" s="19" t="e">
        <f t="shared" si="1156"/>
        <v>#DIV/0!</v>
      </c>
    </row>
    <row r="10">
      <c r="A10" s="9" t="s">
        <v>34</v>
      </c>
      <c r="B10" s="9" t="s">
        <v>35</v>
      </c>
      <c r="C10" s="14">
        <v>0</v>
      </c>
      <c r="D10" s="50">
        <v>2.1696780588381257</v>
      </c>
      <c r="E10" s="14">
        <f t="shared" si="1148"/>
        <v>0</v>
      </c>
      <c r="F10" s="13">
        <v>0</v>
      </c>
      <c r="G10" s="13">
        <v>0</v>
      </c>
      <c r="H10" s="13">
        <v>0</v>
      </c>
      <c r="I10" s="16">
        <f t="shared" si="1149"/>
        <v>0</v>
      </c>
      <c r="J10" s="17">
        <f t="shared" si="1150"/>
        <v>0</v>
      </c>
      <c r="K10" s="18">
        <f t="shared" si="1151"/>
        <v>0</v>
      </c>
      <c r="L10" s="19" t="e">
        <f t="shared" si="1152"/>
        <v>#DIV/0!</v>
      </c>
      <c r="M10" s="34">
        <v>0</v>
      </c>
      <c r="N10" s="58">
        <v>0</v>
      </c>
      <c r="O10" s="34">
        <v>230000</v>
      </c>
      <c r="P10" s="34">
        <v>470000</v>
      </c>
      <c r="Q10" s="34">
        <v>0</v>
      </c>
      <c r="R10" s="34">
        <f t="shared" si="1153"/>
        <v>700000</v>
      </c>
      <c r="S10" s="35">
        <f>G10+I10+R10</f>
        <v>700000</v>
      </c>
      <c r="T10" s="35">
        <f t="shared" si="1155"/>
        <v>700000</v>
      </c>
      <c r="U10" s="19" t="e">
        <f t="shared" si="1156"/>
        <v>#DIV/0!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148"/>
        <v>0</v>
      </c>
      <c r="F11" s="13">
        <v>0</v>
      </c>
      <c r="G11" s="13">
        <v>0</v>
      </c>
      <c r="H11" s="13">
        <v>0</v>
      </c>
      <c r="I11" s="16">
        <f t="shared" si="1149"/>
        <v>0</v>
      </c>
      <c r="J11" s="17">
        <f t="shared" si="1150"/>
        <v>0</v>
      </c>
      <c r="K11" s="18">
        <f t="shared" si="1151"/>
        <v>0</v>
      </c>
      <c r="L11" s="19">
        <v>0</v>
      </c>
      <c r="M11" s="34">
        <v>75000</v>
      </c>
      <c r="N11" s="58">
        <v>112500</v>
      </c>
      <c r="O11" s="34">
        <v>37500</v>
      </c>
      <c r="P11" s="34">
        <v>0</v>
      </c>
      <c r="Q11" s="34">
        <v>0</v>
      </c>
      <c r="R11" s="34">
        <f t="shared" si="1153"/>
        <v>225000</v>
      </c>
      <c r="S11" s="35">
        <f t="shared" si="1154"/>
        <v>225000</v>
      </c>
      <c r="T11" s="35">
        <f t="shared" si="1155"/>
        <v>225000</v>
      </c>
      <c r="U11" s="19" t="e">
        <f t="shared" si="1156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48"/>
        <v>0</v>
      </c>
      <c r="F12" s="13">
        <v>0</v>
      </c>
      <c r="G12" s="13">
        <v>0</v>
      </c>
      <c r="H12" s="13">
        <v>0</v>
      </c>
      <c r="I12" s="16">
        <f t="shared" si="1149"/>
        <v>0</v>
      </c>
      <c r="J12" s="17">
        <f t="shared" si="1150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53"/>
        <v>0</v>
      </c>
      <c r="S12" s="35">
        <f t="shared" si="1154"/>
        <v>0</v>
      </c>
      <c r="T12" s="35">
        <f t="shared" si="1155"/>
        <v>0</v>
      </c>
      <c r="U12" s="19" t="e">
        <f t="shared" si="115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48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50"/>
        <v>0</v>
      </c>
      <c r="K13" s="18">
        <f t="shared" si="115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53"/>
        <v>0</v>
      </c>
      <c r="S13" s="35">
        <f t="shared" si="1154"/>
        <v>0</v>
      </c>
      <c r="T13" s="35">
        <f t="shared" si="1155"/>
        <v>0</v>
      </c>
      <c r="U13" s="19" t="e">
        <f t="shared" si="1156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148"/>
        <v>0</v>
      </c>
      <c r="F14" s="13">
        <v>0</v>
      </c>
      <c r="G14" s="13">
        <v>0</v>
      </c>
      <c r="H14" s="13">
        <v>0</v>
      </c>
      <c r="I14" s="16">
        <f t="shared" si="1149"/>
        <v>0</v>
      </c>
      <c r="J14" s="17">
        <f t="shared" si="1150"/>
        <v>0</v>
      </c>
      <c r="K14" s="18">
        <f t="shared" si="115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53"/>
        <v>0</v>
      </c>
      <c r="S14" s="35">
        <f t="shared" si="1154"/>
        <v>0</v>
      </c>
      <c r="T14" s="35">
        <f t="shared" si="1155"/>
        <v>0</v>
      </c>
      <c r="U14" s="19" t="e">
        <f t="shared" si="1156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1148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150"/>
        <v>0</v>
      </c>
      <c r="K15" s="18">
        <f t="shared" si="1151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53"/>
        <v>0</v>
      </c>
      <c r="S15" s="35">
        <f t="shared" si="1154"/>
        <v>0</v>
      </c>
      <c r="T15" s="35">
        <f t="shared" si="1155"/>
        <v>0</v>
      </c>
      <c r="U15" s="19" t="e">
        <f t="shared" si="1156"/>
        <v>#DIV/0!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48"/>
        <v>0</v>
      </c>
      <c r="F16" s="13">
        <v>0</v>
      </c>
      <c r="G16" s="33">
        <v>0</v>
      </c>
      <c r="H16" s="13">
        <v>0</v>
      </c>
      <c r="I16" s="16">
        <f t="shared" si="1149"/>
        <v>0</v>
      </c>
      <c r="J16" s="17">
        <f t="shared" si="1150"/>
        <v>0</v>
      </c>
      <c r="K16" s="18">
        <f t="shared" ref="K16:K18" si="1157">+G16*D16</f>
        <v>0</v>
      </c>
      <c r="L16" s="19" t="e">
        <f t="shared" ref="L16:L21" si="1158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53"/>
        <v>0</v>
      </c>
      <c r="S16" s="35">
        <f t="shared" si="1154"/>
        <v>0</v>
      </c>
      <c r="T16" s="35">
        <f t="shared" si="1155"/>
        <v>0</v>
      </c>
      <c r="U16" s="19" t="e">
        <f t="shared" si="1156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48"/>
        <v>0</v>
      </c>
      <c r="F17" s="13">
        <v>0</v>
      </c>
      <c r="G17" s="33">
        <v>0</v>
      </c>
      <c r="H17" s="13">
        <v>0</v>
      </c>
      <c r="I17" s="16">
        <f t="shared" si="1149"/>
        <v>0</v>
      </c>
      <c r="J17" s="17">
        <f t="shared" si="1150"/>
        <v>0</v>
      </c>
      <c r="K17" s="18">
        <f t="shared" si="1157"/>
        <v>0</v>
      </c>
      <c r="L17" s="19" t="e">
        <f t="shared" si="115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53"/>
        <v>0</v>
      </c>
      <c r="S17" s="35">
        <f t="shared" si="1154"/>
        <v>0</v>
      </c>
      <c r="T17" s="35">
        <f t="shared" si="1155"/>
        <v>0</v>
      </c>
      <c r="U17" s="19" t="e">
        <f t="shared" si="1156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48"/>
        <v>0</v>
      </c>
      <c r="F18" s="13">
        <v>0</v>
      </c>
      <c r="G18" s="33">
        <v>0</v>
      </c>
      <c r="H18" s="13">
        <v>0</v>
      </c>
      <c r="I18" s="16">
        <f t="shared" si="1149"/>
        <v>0</v>
      </c>
      <c r="J18" s="17">
        <f t="shared" si="1150"/>
        <v>0</v>
      </c>
      <c r="K18" s="18">
        <f t="shared" si="1157"/>
        <v>0</v>
      </c>
      <c r="L18" s="19" t="e">
        <f t="shared" si="1158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53"/>
        <v>0</v>
      </c>
      <c r="S18" s="35">
        <f t="shared" si="1154"/>
        <v>0</v>
      </c>
      <c r="T18" s="35">
        <f t="shared" si="1155"/>
        <v>0</v>
      </c>
      <c r="U18" s="19" t="e">
        <f t="shared" si="1156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48"/>
        <v>0</v>
      </c>
      <c r="F19" s="13">
        <v>0</v>
      </c>
      <c r="G19" s="13">
        <v>0</v>
      </c>
      <c r="H19" s="13">
        <v>0</v>
      </c>
      <c r="I19" s="16">
        <f t="shared" si="1149"/>
        <v>0</v>
      </c>
      <c r="J19" s="17">
        <f t="shared" si="1150"/>
        <v>0</v>
      </c>
      <c r="K19" s="18">
        <f t="shared" si="1151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53"/>
        <v>0</v>
      </c>
      <c r="S19" s="35">
        <f t="shared" si="1154"/>
        <v>0</v>
      </c>
      <c r="T19" s="35">
        <f t="shared" si="1155"/>
        <v>0</v>
      </c>
      <c r="U19" s="19" t="e">
        <f t="shared" si="1156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48"/>
        <v>0</v>
      </c>
      <c r="F20" s="13">
        <v>0</v>
      </c>
      <c r="G20" s="13">
        <v>0</v>
      </c>
      <c r="H20" s="13">
        <v>0</v>
      </c>
      <c r="I20" s="16">
        <f t="shared" si="1149"/>
        <v>0</v>
      </c>
      <c r="J20" s="17">
        <f t="shared" si="1150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53"/>
        <v>0</v>
      </c>
      <c r="S20" s="35">
        <f t="shared" si="1154"/>
        <v>0</v>
      </c>
      <c r="T20" s="35">
        <f t="shared" si="1155"/>
        <v>0</v>
      </c>
      <c r="U20" s="19" t="e">
        <f t="shared" si="1156"/>
        <v>#DIV/0!</v>
      </c>
    </row>
    <row r="21" ht="16.5">
      <c r="A21" s="21" t="s">
        <v>50</v>
      </c>
      <c r="B21" s="21"/>
      <c r="C21" s="36">
        <f>SUM(C3:C20)</f>
        <v>0</v>
      </c>
      <c r="D21" s="23"/>
      <c r="E21" s="22">
        <f t="shared" ref="E21:H21" si="1159">SUM(E3:E20)</f>
        <v>0</v>
      </c>
      <c r="F21" s="24">
        <f>SUM(F3:F20)</f>
        <v>728162</v>
      </c>
      <c r="G21" s="24">
        <f t="shared" si="1159"/>
        <v>229013</v>
      </c>
      <c r="H21" s="24">
        <f t="shared" si="1159"/>
        <v>258615</v>
      </c>
      <c r="I21" s="25">
        <f>SUM(I3:I20)</f>
        <v>986777</v>
      </c>
      <c r="J21" s="26">
        <f>SUM(J3:J20)</f>
        <v>-229013</v>
      </c>
      <c r="K21" s="26">
        <f>SUM(K3:K20)</f>
        <v>160648.8904386957</v>
      </c>
      <c r="L21" s="27" t="e">
        <f t="shared" si="1158"/>
        <v>#DIV/0!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53"/>
        <v>1</v>
      </c>
      <c r="S21" s="35">
        <f t="shared" si="1154"/>
        <v>1215791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F25" t="s">
        <v>64</v>
      </c>
      <c r="G25" t="s">
        <v>64</v>
      </c>
    </row>
    <row r="26"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E009F-0053-44E8-925D-009E0082005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88008A-0075-4C0F-8F6E-00C80064003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E00022-0057-4268-8F03-00CB006100F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EA00BC-00A6-4493-B958-001C00D800B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E100DF-0021-45AE-B005-0082005A002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0E001C-00F7-431D-B2C5-006D00A7008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F400A1-00A5-423E-B7AB-008300E7005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8C00FA-000E-4863-92A8-005200BD007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2300F8-007C-409D-ACDF-009D007C006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B6004E-00D4-4B5D-8E33-00B70065002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F400EE-0019-4A77-81BA-007700D100B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B700C6-00FF-4F4E-98AF-0005004000D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9" activeCellId="0" sqref="I9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202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20" si="1160">C3*D3</f>
        <v>0</v>
      </c>
      <c r="F3" s="13">
        <v>0</v>
      </c>
      <c r="G3" s="44">
        <v>112683</v>
      </c>
      <c r="H3" s="13">
        <v>166980</v>
      </c>
      <c r="I3" s="16">
        <f t="shared" ref="I3:I20" si="1161">F3+H3</f>
        <v>166980</v>
      </c>
      <c r="J3" s="17">
        <f t="shared" ref="J3:J20" si="1162">C3-G3</f>
        <v>-112683</v>
      </c>
      <c r="K3" s="18">
        <f t="shared" ref="K3:K19" si="1163">+G3*D3</f>
        <v>325921.83680405654</v>
      </c>
      <c r="L3" s="19" t="e">
        <f t="shared" ref="L3:L10" si="1164">K3/E3</f>
        <v>#DIV/0!</v>
      </c>
      <c r="M3" s="66">
        <v>18500</v>
      </c>
      <c r="N3" s="58">
        <v>0</v>
      </c>
      <c r="O3" s="34">
        <v>37000</v>
      </c>
      <c r="P3" s="34">
        <v>187500</v>
      </c>
      <c r="Q3" s="34">
        <v>0</v>
      </c>
      <c r="R3" s="34">
        <f t="shared" ref="R3:R21" si="1165">M3+N3+O3+P3+Q3</f>
        <v>243000</v>
      </c>
      <c r="S3" s="35">
        <f t="shared" ref="S3:S21" si="1166">G3+I3+R3</f>
        <v>522663</v>
      </c>
      <c r="T3" s="35">
        <f t="shared" ref="T3:T20" si="1167">S3-C3</f>
        <v>522663</v>
      </c>
      <c r="U3" s="19" t="e">
        <f t="shared" ref="U3:U20" si="1168">S3/C3</f>
        <v>#DIV/0!</v>
      </c>
    </row>
    <row r="4">
      <c r="A4" s="9" t="s">
        <v>22</v>
      </c>
      <c r="B4" s="9" t="s">
        <v>23</v>
      </c>
      <c r="C4" s="14">
        <v>0</v>
      </c>
      <c r="D4" s="50">
        <v>1.3029343529557731</v>
      </c>
      <c r="E4" s="14">
        <f t="shared" si="1160"/>
        <v>0</v>
      </c>
      <c r="F4" s="13">
        <v>297497</v>
      </c>
      <c r="G4" s="13">
        <v>0</v>
      </c>
      <c r="H4" s="13">
        <v>0</v>
      </c>
      <c r="I4" s="16">
        <f t="shared" si="1161"/>
        <v>297497</v>
      </c>
      <c r="J4" s="17">
        <f t="shared" si="1162"/>
        <v>0</v>
      </c>
      <c r="K4" s="18">
        <f t="shared" si="1163"/>
        <v>0</v>
      </c>
      <c r="L4" s="19" t="e">
        <f t="shared" si="1164"/>
        <v>#DIV/0!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65"/>
        <v>0</v>
      </c>
      <c r="S4" s="35">
        <f t="shared" si="1166"/>
        <v>297497</v>
      </c>
      <c r="T4" s="35">
        <f t="shared" si="1167"/>
        <v>297497</v>
      </c>
      <c r="U4" s="19" t="e">
        <f t="shared" si="1168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60"/>
        <v>0</v>
      </c>
      <c r="F5" s="13">
        <v>0</v>
      </c>
      <c r="G5" s="13">
        <v>0</v>
      </c>
      <c r="H5" s="13">
        <v>0</v>
      </c>
      <c r="I5" s="16">
        <f t="shared" si="1161"/>
        <v>0</v>
      </c>
      <c r="J5" s="17">
        <f t="shared" si="1162"/>
        <v>0</v>
      </c>
      <c r="K5" s="18">
        <f t="shared" si="1163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65"/>
        <v>0</v>
      </c>
      <c r="S5" s="35">
        <f t="shared" si="1166"/>
        <v>0</v>
      </c>
      <c r="T5" s="35">
        <f t="shared" si="1167"/>
        <v>0</v>
      </c>
      <c r="U5" s="19" t="e">
        <f t="shared" si="1168"/>
        <v>#DIV/0!</v>
      </c>
    </row>
    <row r="6">
      <c r="A6" s="9" t="s">
        <v>26</v>
      </c>
      <c r="B6" s="9" t="s">
        <v>27</v>
      </c>
      <c r="C6" s="14">
        <v>0</v>
      </c>
      <c r="D6" s="11">
        <v>1.1430280588381259</v>
      </c>
      <c r="E6" s="12">
        <f t="shared" si="1160"/>
        <v>0</v>
      </c>
      <c r="F6" s="13">
        <v>0</v>
      </c>
      <c r="G6" s="44">
        <v>0</v>
      </c>
      <c r="H6" s="44">
        <v>0</v>
      </c>
      <c r="I6" s="16">
        <f t="shared" si="1161"/>
        <v>0</v>
      </c>
      <c r="J6" s="17">
        <f t="shared" si="1162"/>
        <v>0</v>
      </c>
      <c r="K6" s="18">
        <f t="shared" si="1163"/>
        <v>0</v>
      </c>
      <c r="L6" s="19" t="e">
        <f t="shared" si="1164"/>
        <v>#DIV/0!</v>
      </c>
      <c r="M6" s="34">
        <v>95000</v>
      </c>
      <c r="N6" s="58">
        <v>158000</v>
      </c>
      <c r="O6" s="34">
        <v>158000</v>
      </c>
      <c r="P6" s="34">
        <v>158000</v>
      </c>
      <c r="Q6" s="34">
        <v>0</v>
      </c>
      <c r="R6" s="34">
        <f t="shared" si="1165"/>
        <v>569000</v>
      </c>
      <c r="S6" s="35">
        <f t="shared" si="1166"/>
        <v>569000</v>
      </c>
      <c r="T6" s="35">
        <f t="shared" si="1167"/>
        <v>569000</v>
      </c>
      <c r="U6" s="19" t="e">
        <f t="shared" si="1168"/>
        <v>#DIV/0!</v>
      </c>
    </row>
    <row r="7">
      <c r="A7" s="9" t="s">
        <v>28</v>
      </c>
      <c r="B7" s="9" t="s">
        <v>29</v>
      </c>
      <c r="C7" s="14">
        <v>0</v>
      </c>
      <c r="D7" s="11">
        <v>0.63422805883812572</v>
      </c>
      <c r="E7" s="12">
        <f t="shared" si="1160"/>
        <v>0</v>
      </c>
      <c r="F7" s="13">
        <v>0</v>
      </c>
      <c r="G7" s="44">
        <v>169613</v>
      </c>
      <c r="H7" s="13">
        <v>0</v>
      </c>
      <c r="I7" s="16">
        <f t="shared" si="1161"/>
        <v>0</v>
      </c>
      <c r="J7" s="17">
        <f t="shared" si="1162"/>
        <v>-169613</v>
      </c>
      <c r="K7" s="18">
        <f t="shared" si="1163"/>
        <v>107573.32374371102</v>
      </c>
      <c r="L7" s="19" t="e">
        <f t="shared" si="1164"/>
        <v>#DIV/0!</v>
      </c>
      <c r="M7" s="34">
        <v>260000</v>
      </c>
      <c r="N7" s="58">
        <v>260000</v>
      </c>
      <c r="O7" s="34">
        <v>0</v>
      </c>
      <c r="P7" s="34">
        <v>0</v>
      </c>
      <c r="Q7" s="34">
        <v>0</v>
      </c>
      <c r="R7" s="34">
        <f t="shared" si="1165"/>
        <v>520000</v>
      </c>
      <c r="S7" s="35">
        <f t="shared" si="1166"/>
        <v>689613</v>
      </c>
      <c r="T7" s="35">
        <f t="shared" si="1167"/>
        <v>689613</v>
      </c>
      <c r="U7" s="19" t="e">
        <f t="shared" si="1168"/>
        <v>#DIV/0!</v>
      </c>
    </row>
    <row r="8">
      <c r="A8" s="9" t="s">
        <v>30</v>
      </c>
      <c r="B8" s="9" t="s">
        <v>31</v>
      </c>
      <c r="C8" s="14">
        <v>0</v>
      </c>
      <c r="D8" s="50">
        <v>0.89352805883812592</v>
      </c>
      <c r="E8" s="14">
        <f t="shared" si="1160"/>
        <v>0</v>
      </c>
      <c r="F8" s="44">
        <v>119017</v>
      </c>
      <c r="G8" s="13">
        <v>205332</v>
      </c>
      <c r="H8" s="44">
        <v>144668</v>
      </c>
      <c r="I8" s="16">
        <f t="shared" si="1161"/>
        <v>263685</v>
      </c>
      <c r="J8" s="17">
        <f t="shared" si="1162"/>
        <v>-205332</v>
      </c>
      <c r="K8" s="18">
        <f t="shared" si="1163"/>
        <v>183469.90337735007</v>
      </c>
      <c r="L8" s="19" t="e">
        <f t="shared" si="1164"/>
        <v>#DIV/0!</v>
      </c>
      <c r="M8" s="66">
        <v>260000</v>
      </c>
      <c r="N8" s="58">
        <v>0</v>
      </c>
      <c r="O8" s="34">
        <v>0</v>
      </c>
      <c r="P8" s="34">
        <v>260000</v>
      </c>
      <c r="Q8" s="34">
        <v>0</v>
      </c>
      <c r="R8" s="34">
        <f t="shared" si="1165"/>
        <v>520000</v>
      </c>
      <c r="S8" s="35">
        <f t="shared" si="1166"/>
        <v>989017</v>
      </c>
      <c r="T8" s="35">
        <f t="shared" si="1167"/>
        <v>989017</v>
      </c>
      <c r="U8" s="19" t="e">
        <f t="shared" si="1168"/>
        <v>#DIV/0!</v>
      </c>
    </row>
    <row r="9">
      <c r="A9" s="9" t="s">
        <v>32</v>
      </c>
      <c r="B9" s="9" t="s">
        <v>33</v>
      </c>
      <c r="C9" s="14">
        <v>0</v>
      </c>
      <c r="D9" s="11">
        <v>1.0683280588381256</v>
      </c>
      <c r="E9" s="12">
        <f t="shared" si="1160"/>
        <v>0</v>
      </c>
      <c r="F9" s="13">
        <v>0</v>
      </c>
      <c r="G9" s="13">
        <v>0</v>
      </c>
      <c r="H9" s="13">
        <v>0</v>
      </c>
      <c r="I9" s="16">
        <f t="shared" si="1161"/>
        <v>0</v>
      </c>
      <c r="J9" s="17">
        <f t="shared" si="1162"/>
        <v>0</v>
      </c>
      <c r="K9" s="18">
        <f t="shared" si="1163"/>
        <v>0</v>
      </c>
      <c r="L9" s="19" t="e">
        <f t="shared" si="1164"/>
        <v>#DIV/0!</v>
      </c>
      <c r="M9" s="34">
        <v>0</v>
      </c>
      <c r="N9" s="58">
        <v>230000</v>
      </c>
      <c r="O9" s="34">
        <v>0</v>
      </c>
      <c r="P9" s="34">
        <v>0</v>
      </c>
      <c r="Q9" s="34">
        <v>0</v>
      </c>
      <c r="R9" s="34">
        <f t="shared" si="1165"/>
        <v>230000</v>
      </c>
      <c r="S9" s="35">
        <f t="shared" si="1166"/>
        <v>230000</v>
      </c>
      <c r="T9" s="35">
        <f t="shared" si="1167"/>
        <v>230000</v>
      </c>
      <c r="U9" s="19" t="e">
        <f t="shared" si="1168"/>
        <v>#DIV/0!</v>
      </c>
    </row>
    <row r="10">
      <c r="A10" s="9" t="s">
        <v>34</v>
      </c>
      <c r="B10" s="9" t="s">
        <v>35</v>
      </c>
      <c r="C10" s="14">
        <v>0</v>
      </c>
      <c r="D10" s="50">
        <v>2.1696780588381257</v>
      </c>
      <c r="E10" s="14">
        <f t="shared" si="1160"/>
        <v>0</v>
      </c>
      <c r="F10" s="13">
        <v>0</v>
      </c>
      <c r="G10" s="13">
        <v>0</v>
      </c>
      <c r="H10" s="13">
        <v>0</v>
      </c>
      <c r="I10" s="16">
        <f t="shared" si="1161"/>
        <v>0</v>
      </c>
      <c r="J10" s="17">
        <f t="shared" si="1162"/>
        <v>0</v>
      </c>
      <c r="K10" s="18">
        <f t="shared" si="1163"/>
        <v>0</v>
      </c>
      <c r="L10" s="19" t="e">
        <f t="shared" si="1164"/>
        <v>#DIV/0!</v>
      </c>
      <c r="M10" s="34">
        <v>0</v>
      </c>
      <c r="N10" s="58">
        <v>0</v>
      </c>
      <c r="O10" s="34">
        <v>230000</v>
      </c>
      <c r="P10" s="34">
        <v>470000</v>
      </c>
      <c r="Q10" s="34">
        <v>0</v>
      </c>
      <c r="R10" s="34">
        <f t="shared" si="1165"/>
        <v>700000</v>
      </c>
      <c r="S10" s="35">
        <f>G10+I10+R10</f>
        <v>700000</v>
      </c>
      <c r="T10" s="35">
        <f t="shared" si="1167"/>
        <v>700000</v>
      </c>
      <c r="U10" s="19" t="e">
        <f t="shared" si="1168"/>
        <v>#DIV/0!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160"/>
        <v>0</v>
      </c>
      <c r="F11" s="13">
        <v>0</v>
      </c>
      <c r="G11" s="13">
        <v>0</v>
      </c>
      <c r="H11" s="13">
        <v>0</v>
      </c>
      <c r="I11" s="16">
        <f t="shared" si="1161"/>
        <v>0</v>
      </c>
      <c r="J11" s="17">
        <f t="shared" si="1162"/>
        <v>0</v>
      </c>
      <c r="K11" s="18">
        <f t="shared" si="1163"/>
        <v>0</v>
      </c>
      <c r="L11" s="19">
        <v>0</v>
      </c>
      <c r="M11" s="34">
        <v>75000</v>
      </c>
      <c r="N11" s="58">
        <v>112500</v>
      </c>
      <c r="O11" s="34">
        <v>37500</v>
      </c>
      <c r="P11" s="34">
        <v>0</v>
      </c>
      <c r="Q11" s="34">
        <v>0</v>
      </c>
      <c r="R11" s="34">
        <f t="shared" si="1165"/>
        <v>225000</v>
      </c>
      <c r="S11" s="35">
        <f t="shared" si="1166"/>
        <v>225000</v>
      </c>
      <c r="T11" s="35">
        <f t="shared" si="1167"/>
        <v>225000</v>
      </c>
      <c r="U11" s="19" t="e">
        <f t="shared" si="1168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60"/>
        <v>0</v>
      </c>
      <c r="F12" s="13">
        <v>0</v>
      </c>
      <c r="G12" s="13">
        <v>0</v>
      </c>
      <c r="H12" s="13">
        <v>0</v>
      </c>
      <c r="I12" s="16">
        <f t="shared" si="1161"/>
        <v>0</v>
      </c>
      <c r="J12" s="17">
        <f t="shared" si="1162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65"/>
        <v>0</v>
      </c>
      <c r="S12" s="35">
        <f t="shared" si="1166"/>
        <v>0</v>
      </c>
      <c r="T12" s="35">
        <f t="shared" si="1167"/>
        <v>0</v>
      </c>
      <c r="U12" s="19" t="e">
        <f t="shared" si="116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60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62"/>
        <v>0</v>
      </c>
      <c r="K13" s="18">
        <f t="shared" si="116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65"/>
        <v>0</v>
      </c>
      <c r="S13" s="35">
        <f t="shared" si="1166"/>
        <v>0</v>
      </c>
      <c r="T13" s="35">
        <f t="shared" si="1167"/>
        <v>0</v>
      </c>
      <c r="U13" s="19" t="e">
        <f t="shared" si="1168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160"/>
        <v>0</v>
      </c>
      <c r="F14" s="13">
        <v>0</v>
      </c>
      <c r="G14" s="13">
        <v>0</v>
      </c>
      <c r="H14" s="13">
        <v>0</v>
      </c>
      <c r="I14" s="16">
        <f t="shared" si="1161"/>
        <v>0</v>
      </c>
      <c r="J14" s="17">
        <f t="shared" si="1162"/>
        <v>0</v>
      </c>
      <c r="K14" s="18">
        <f t="shared" si="116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65"/>
        <v>0</v>
      </c>
      <c r="S14" s="35">
        <f t="shared" si="1166"/>
        <v>0</v>
      </c>
      <c r="T14" s="35">
        <f t="shared" si="1167"/>
        <v>0</v>
      </c>
      <c r="U14" s="19" t="e">
        <f t="shared" si="1168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1160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162"/>
        <v>0</v>
      </c>
      <c r="K15" s="18">
        <f t="shared" si="116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65"/>
        <v>0</v>
      </c>
      <c r="S15" s="35">
        <f t="shared" si="1166"/>
        <v>0</v>
      </c>
      <c r="T15" s="35">
        <f t="shared" si="1167"/>
        <v>0</v>
      </c>
      <c r="U15" s="19" t="e">
        <f t="shared" si="1168"/>
        <v>#DIV/0!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60"/>
        <v>0</v>
      </c>
      <c r="F16" s="13">
        <v>0</v>
      </c>
      <c r="G16" s="33">
        <v>0</v>
      </c>
      <c r="H16" s="13">
        <v>0</v>
      </c>
      <c r="I16" s="16">
        <f t="shared" si="1161"/>
        <v>0</v>
      </c>
      <c r="J16" s="17">
        <f t="shared" si="1162"/>
        <v>0</v>
      </c>
      <c r="K16" s="18">
        <f t="shared" ref="K16:K18" si="1169">+G16*D16</f>
        <v>0</v>
      </c>
      <c r="L16" s="19" t="e">
        <f t="shared" ref="L16:L21" si="1170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65"/>
        <v>0</v>
      </c>
      <c r="S16" s="35">
        <f t="shared" si="1166"/>
        <v>0</v>
      </c>
      <c r="T16" s="35">
        <f t="shared" si="1167"/>
        <v>0</v>
      </c>
      <c r="U16" s="19" t="e">
        <f t="shared" si="1168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60"/>
        <v>0</v>
      </c>
      <c r="F17" s="13">
        <v>0</v>
      </c>
      <c r="G17" s="33">
        <v>0</v>
      </c>
      <c r="H17" s="13">
        <v>0</v>
      </c>
      <c r="I17" s="16">
        <f t="shared" si="1161"/>
        <v>0</v>
      </c>
      <c r="J17" s="17">
        <f t="shared" si="1162"/>
        <v>0</v>
      </c>
      <c r="K17" s="18">
        <f t="shared" si="1169"/>
        <v>0</v>
      </c>
      <c r="L17" s="19" t="e">
        <f t="shared" si="117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65"/>
        <v>0</v>
      </c>
      <c r="S17" s="35">
        <f t="shared" si="1166"/>
        <v>0</v>
      </c>
      <c r="T17" s="35">
        <f t="shared" si="1167"/>
        <v>0</v>
      </c>
      <c r="U17" s="19" t="e">
        <f t="shared" si="1168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60"/>
        <v>0</v>
      </c>
      <c r="F18" s="13">
        <v>0</v>
      </c>
      <c r="G18" s="33">
        <v>0</v>
      </c>
      <c r="H18" s="13">
        <v>0</v>
      </c>
      <c r="I18" s="16">
        <f t="shared" si="1161"/>
        <v>0</v>
      </c>
      <c r="J18" s="17">
        <f t="shared" si="1162"/>
        <v>0</v>
      </c>
      <c r="K18" s="18">
        <f t="shared" si="1169"/>
        <v>0</v>
      </c>
      <c r="L18" s="19" t="e">
        <f t="shared" si="1170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65"/>
        <v>0</v>
      </c>
      <c r="S18" s="35">
        <f t="shared" si="1166"/>
        <v>0</v>
      </c>
      <c r="T18" s="35">
        <f t="shared" si="1167"/>
        <v>0</v>
      </c>
      <c r="U18" s="19" t="e">
        <f t="shared" si="1168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60"/>
        <v>0</v>
      </c>
      <c r="F19" s="13">
        <v>0</v>
      </c>
      <c r="G19" s="13">
        <v>0</v>
      </c>
      <c r="H19" s="13">
        <v>0</v>
      </c>
      <c r="I19" s="16">
        <f t="shared" si="1161"/>
        <v>0</v>
      </c>
      <c r="J19" s="17">
        <f t="shared" si="1162"/>
        <v>0</v>
      </c>
      <c r="K19" s="18">
        <f t="shared" si="1163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65"/>
        <v>0</v>
      </c>
      <c r="S19" s="35">
        <f t="shared" si="1166"/>
        <v>0</v>
      </c>
      <c r="T19" s="35">
        <f t="shared" si="1167"/>
        <v>0</v>
      </c>
      <c r="U19" s="19" t="e">
        <f t="shared" si="1168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60"/>
        <v>0</v>
      </c>
      <c r="F20" s="13">
        <v>0</v>
      </c>
      <c r="G20" s="13">
        <v>0</v>
      </c>
      <c r="H20" s="13">
        <v>0</v>
      </c>
      <c r="I20" s="16">
        <f t="shared" si="1161"/>
        <v>0</v>
      </c>
      <c r="J20" s="17">
        <f t="shared" si="1162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65"/>
        <v>0</v>
      </c>
      <c r="S20" s="35">
        <f t="shared" si="1166"/>
        <v>0</v>
      </c>
      <c r="T20" s="35">
        <f t="shared" si="1167"/>
        <v>0</v>
      </c>
      <c r="U20" s="19" t="e">
        <f t="shared" si="1168"/>
        <v>#DIV/0!</v>
      </c>
    </row>
    <row r="21" ht="16.5">
      <c r="A21" s="21" t="s">
        <v>50</v>
      </c>
      <c r="B21" s="21"/>
      <c r="C21" s="36">
        <f>SUM(C3:C20)</f>
        <v>0</v>
      </c>
      <c r="D21" s="23"/>
      <c r="E21" s="22">
        <f t="shared" ref="E21:H21" si="1171">SUM(E3:E20)</f>
        <v>0</v>
      </c>
      <c r="F21" s="24">
        <f>SUM(F3:F20)</f>
        <v>416514</v>
      </c>
      <c r="G21" s="24">
        <f t="shared" si="1171"/>
        <v>487628</v>
      </c>
      <c r="H21" s="24">
        <f t="shared" si="1171"/>
        <v>311648</v>
      </c>
      <c r="I21" s="25">
        <f>SUM(I3:I20)</f>
        <v>728162</v>
      </c>
      <c r="J21" s="26">
        <f>SUM(J3:J20)</f>
        <v>-487628</v>
      </c>
      <c r="K21" s="26">
        <f>SUM(K3:K20)</f>
        <v>616965.0639251176</v>
      </c>
      <c r="L21" s="27" t="e">
        <f t="shared" si="1170"/>
        <v>#DIV/0!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65"/>
        <v>1</v>
      </c>
      <c r="S21" s="35">
        <f t="shared" si="1166"/>
        <v>1215791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F25" t="s">
        <v>64</v>
      </c>
      <c r="G25" t="s">
        <v>64</v>
      </c>
    </row>
    <row r="26"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02003C-00C5-46DF-83D6-00CD0063007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83003E-0091-45C8-9DCE-004300F4002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A500CE-006C-4ACE-8055-007D00B5006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4F00B2-00A5-48D3-83F5-00DF00D300A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7000E9-00A5-4D45-AF38-0068007F000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2100E4-0036-45BE-B77B-00F8002C009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7A005F-00C9-46CE-894E-00FB006200E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EB00BF-0027-4FE3-B47E-0075003E009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65005C-00BB-46CC-97FB-00D2002700A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7500C7-00AB-458A-B9C8-00C6005400E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80055-008E-4D8B-821A-002F00C2000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9009A-0057-4EF2-86B6-009800CB00C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1" activeCellId="0" sqref="A1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203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20" si="1172">C3*D3</f>
        <v>0</v>
      </c>
      <c r="F3" s="13">
        <v>0</v>
      </c>
      <c r="G3" s="44">
        <v>279663</v>
      </c>
      <c r="H3" s="13">
        <v>0</v>
      </c>
      <c r="I3" s="16">
        <f t="shared" ref="I3:I20" si="1173">F3+H3</f>
        <v>0</v>
      </c>
      <c r="J3" s="17">
        <f t="shared" ref="J3:J20" si="1174">C3-G3</f>
        <v>-279663</v>
      </c>
      <c r="K3" s="18">
        <f t="shared" ref="K3:K19" si="1175">+G3*D3</f>
        <v>808891.12506884674</v>
      </c>
      <c r="L3" s="19" t="e">
        <f t="shared" ref="L3:L10" si="1176">K3/E3</f>
        <v>#DIV/0!</v>
      </c>
      <c r="M3" s="67">
        <v>18500</v>
      </c>
      <c r="N3" s="58">
        <v>0</v>
      </c>
      <c r="O3" s="34">
        <v>37000</v>
      </c>
      <c r="P3" s="34">
        <v>187500</v>
      </c>
      <c r="Q3" s="34">
        <v>0</v>
      </c>
      <c r="R3" s="34">
        <f t="shared" ref="R3:R21" si="1177">M3+N3+O3+P3+Q3</f>
        <v>243000</v>
      </c>
      <c r="S3" s="35">
        <f t="shared" ref="S3:S21" si="1178">G3+I3+R3</f>
        <v>522663</v>
      </c>
      <c r="T3" s="35">
        <f t="shared" ref="T3:T20" si="1179">S3-C3</f>
        <v>522663</v>
      </c>
      <c r="U3" s="19" t="e">
        <f t="shared" ref="U3:U20" si="1180">S3/C3</f>
        <v>#DIV/0!</v>
      </c>
    </row>
    <row r="4">
      <c r="A4" s="9" t="s">
        <v>22</v>
      </c>
      <c r="B4" s="9" t="s">
        <v>23</v>
      </c>
      <c r="C4" s="14">
        <v>0</v>
      </c>
      <c r="D4" s="50">
        <v>1.3029343529557731</v>
      </c>
      <c r="E4" s="14">
        <f t="shared" si="1172"/>
        <v>0</v>
      </c>
      <c r="F4" s="13">
        <v>297497</v>
      </c>
      <c r="G4" s="13">
        <v>0</v>
      </c>
      <c r="H4" s="13">
        <v>0</v>
      </c>
      <c r="I4" s="16">
        <f t="shared" si="1173"/>
        <v>297497</v>
      </c>
      <c r="J4" s="17">
        <f t="shared" si="1174"/>
        <v>0</v>
      </c>
      <c r="K4" s="18">
        <f t="shared" si="1175"/>
        <v>0</v>
      </c>
      <c r="L4" s="19" t="e">
        <f t="shared" si="1176"/>
        <v>#DIV/0!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77"/>
        <v>0</v>
      </c>
      <c r="S4" s="35">
        <f t="shared" si="1178"/>
        <v>297497</v>
      </c>
      <c r="T4" s="35">
        <f t="shared" si="1179"/>
        <v>297497</v>
      </c>
      <c r="U4" s="19" t="e">
        <f t="shared" si="1180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72"/>
        <v>0</v>
      </c>
      <c r="F5" s="13">
        <v>0</v>
      </c>
      <c r="G5" s="13">
        <v>0</v>
      </c>
      <c r="H5" s="13">
        <v>0</v>
      </c>
      <c r="I5" s="16">
        <f t="shared" si="1173"/>
        <v>0</v>
      </c>
      <c r="J5" s="17">
        <f t="shared" si="1174"/>
        <v>0</v>
      </c>
      <c r="K5" s="18">
        <f t="shared" si="1175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77"/>
        <v>0</v>
      </c>
      <c r="S5" s="35">
        <f t="shared" si="1178"/>
        <v>0</v>
      </c>
      <c r="T5" s="35">
        <f t="shared" si="1179"/>
        <v>0</v>
      </c>
      <c r="U5" s="19" t="e">
        <f t="shared" si="1180"/>
        <v>#DIV/0!</v>
      </c>
    </row>
    <row r="6">
      <c r="A6" s="9" t="s">
        <v>26</v>
      </c>
      <c r="B6" s="9" t="s">
        <v>27</v>
      </c>
      <c r="C6" s="14">
        <v>0</v>
      </c>
      <c r="D6" s="11">
        <v>1.1430280588381259</v>
      </c>
      <c r="E6" s="12">
        <f t="shared" si="1172"/>
        <v>0</v>
      </c>
      <c r="F6" s="13">
        <v>0</v>
      </c>
      <c r="G6" s="44">
        <v>0</v>
      </c>
      <c r="H6" s="44">
        <v>0</v>
      </c>
      <c r="I6" s="16">
        <f t="shared" si="1173"/>
        <v>0</v>
      </c>
      <c r="J6" s="17">
        <f t="shared" si="1174"/>
        <v>0</v>
      </c>
      <c r="K6" s="18">
        <f t="shared" si="1175"/>
        <v>0</v>
      </c>
      <c r="L6" s="19" t="e">
        <f t="shared" si="1176"/>
        <v>#DIV/0!</v>
      </c>
      <c r="M6" s="68">
        <v>95000</v>
      </c>
      <c r="N6" s="58">
        <v>158000</v>
      </c>
      <c r="O6" s="34">
        <v>158000</v>
      </c>
      <c r="P6" s="34">
        <v>158000</v>
      </c>
      <c r="Q6" s="34">
        <v>0</v>
      </c>
      <c r="R6" s="34">
        <f t="shared" si="1177"/>
        <v>569000</v>
      </c>
      <c r="S6" s="35">
        <f t="shared" si="1178"/>
        <v>569000</v>
      </c>
      <c r="T6" s="35">
        <f t="shared" si="1179"/>
        <v>569000</v>
      </c>
      <c r="U6" s="19" t="e">
        <f t="shared" si="1180"/>
        <v>#DIV/0!</v>
      </c>
    </row>
    <row r="7">
      <c r="A7" s="9" t="s">
        <v>28</v>
      </c>
      <c r="B7" s="9" t="s">
        <v>29</v>
      </c>
      <c r="C7" s="14">
        <v>0</v>
      </c>
      <c r="D7" s="11">
        <v>0.63422805883812572</v>
      </c>
      <c r="E7" s="12">
        <f t="shared" si="1172"/>
        <v>0</v>
      </c>
      <c r="F7" s="13">
        <v>0</v>
      </c>
      <c r="G7" s="44">
        <v>169613</v>
      </c>
      <c r="H7" s="13">
        <v>0</v>
      </c>
      <c r="I7" s="16">
        <f t="shared" si="1173"/>
        <v>0</v>
      </c>
      <c r="J7" s="17">
        <f t="shared" si="1174"/>
        <v>-169613</v>
      </c>
      <c r="K7" s="18">
        <f t="shared" si="1175"/>
        <v>107573.32374371102</v>
      </c>
      <c r="L7" s="19" t="e">
        <f t="shared" si="1176"/>
        <v>#DIV/0!</v>
      </c>
      <c r="M7" s="68">
        <v>260000</v>
      </c>
      <c r="N7" s="58">
        <v>260000</v>
      </c>
      <c r="O7" s="34">
        <v>0</v>
      </c>
      <c r="P7" s="34">
        <v>0</v>
      </c>
      <c r="Q7" s="34">
        <v>0</v>
      </c>
      <c r="R7" s="34">
        <f t="shared" si="1177"/>
        <v>520000</v>
      </c>
      <c r="S7" s="35">
        <f t="shared" si="1178"/>
        <v>689613</v>
      </c>
      <c r="T7" s="35">
        <f t="shared" si="1179"/>
        <v>689613</v>
      </c>
      <c r="U7" s="19" t="e">
        <f t="shared" si="1180"/>
        <v>#DIV/0!</v>
      </c>
    </row>
    <row r="8">
      <c r="A8" s="9" t="s">
        <v>30</v>
      </c>
      <c r="B8" s="9" t="s">
        <v>31</v>
      </c>
      <c r="C8" s="14">
        <v>0</v>
      </c>
      <c r="D8" s="50">
        <v>0.89352805883812592</v>
      </c>
      <c r="E8" s="14">
        <f t="shared" si="1172"/>
        <v>0</v>
      </c>
      <c r="F8" s="44">
        <v>163223</v>
      </c>
      <c r="G8" s="13">
        <v>350000</v>
      </c>
      <c r="H8" s="44">
        <v>0</v>
      </c>
      <c r="I8" s="16">
        <f t="shared" si="1173"/>
        <v>163223</v>
      </c>
      <c r="J8" s="17">
        <f t="shared" si="1174"/>
        <v>-350000</v>
      </c>
      <c r="K8" s="18">
        <f t="shared" si="1175"/>
        <v>312734.82059334405</v>
      </c>
      <c r="L8" s="19" t="e">
        <f t="shared" si="1176"/>
        <v>#DIV/0!</v>
      </c>
      <c r="M8" s="67">
        <v>260000</v>
      </c>
      <c r="N8" s="58">
        <v>0</v>
      </c>
      <c r="O8" s="34">
        <v>0</v>
      </c>
      <c r="P8" s="34">
        <v>260000</v>
      </c>
      <c r="Q8" s="34">
        <v>0</v>
      </c>
      <c r="R8" s="34">
        <f t="shared" si="1177"/>
        <v>520000</v>
      </c>
      <c r="S8" s="35">
        <f t="shared" si="1178"/>
        <v>1033223</v>
      </c>
      <c r="T8" s="35">
        <f t="shared" si="1179"/>
        <v>1033223</v>
      </c>
      <c r="U8" s="19" t="e">
        <f t="shared" si="1180"/>
        <v>#DIV/0!</v>
      </c>
    </row>
    <row r="9">
      <c r="A9" s="9" t="s">
        <v>32</v>
      </c>
      <c r="B9" s="9" t="s">
        <v>33</v>
      </c>
      <c r="C9" s="14">
        <v>0</v>
      </c>
      <c r="D9" s="11">
        <v>1.0683280588381256</v>
      </c>
      <c r="E9" s="12">
        <f t="shared" si="1172"/>
        <v>0</v>
      </c>
      <c r="F9" s="13">
        <v>0</v>
      </c>
      <c r="G9" s="13">
        <v>0</v>
      </c>
      <c r="H9" s="13">
        <v>0</v>
      </c>
      <c r="I9" s="16">
        <f t="shared" si="1173"/>
        <v>0</v>
      </c>
      <c r="J9" s="17">
        <f t="shared" si="1174"/>
        <v>0</v>
      </c>
      <c r="K9" s="18">
        <f t="shared" si="1175"/>
        <v>0</v>
      </c>
      <c r="L9" s="19" t="e">
        <f t="shared" si="1176"/>
        <v>#DIV/0!</v>
      </c>
      <c r="M9" s="34">
        <v>0</v>
      </c>
      <c r="N9" s="58">
        <v>230000</v>
      </c>
      <c r="O9" s="34">
        <v>0</v>
      </c>
      <c r="P9" s="34">
        <v>0</v>
      </c>
      <c r="Q9" s="34">
        <v>0</v>
      </c>
      <c r="R9" s="34">
        <f t="shared" si="1177"/>
        <v>230000</v>
      </c>
      <c r="S9" s="35">
        <f t="shared" si="1178"/>
        <v>230000</v>
      </c>
      <c r="T9" s="35">
        <f t="shared" si="1179"/>
        <v>230000</v>
      </c>
      <c r="U9" s="19" t="e">
        <f t="shared" si="1180"/>
        <v>#DIV/0!</v>
      </c>
    </row>
    <row r="10">
      <c r="A10" s="9" t="s">
        <v>34</v>
      </c>
      <c r="B10" s="9" t="s">
        <v>35</v>
      </c>
      <c r="C10" s="14">
        <v>0</v>
      </c>
      <c r="D10" s="50">
        <v>2.1696780588381257</v>
      </c>
      <c r="E10" s="14">
        <f t="shared" si="1172"/>
        <v>0</v>
      </c>
      <c r="F10" s="13">
        <v>0</v>
      </c>
      <c r="G10" s="13">
        <v>0</v>
      </c>
      <c r="H10" s="13">
        <v>0</v>
      </c>
      <c r="I10" s="16">
        <f t="shared" si="1173"/>
        <v>0</v>
      </c>
      <c r="J10" s="17">
        <f t="shared" si="1174"/>
        <v>0</v>
      </c>
      <c r="K10" s="18">
        <f t="shared" si="1175"/>
        <v>0</v>
      </c>
      <c r="L10" s="19" t="e">
        <f t="shared" si="1176"/>
        <v>#DIV/0!</v>
      </c>
      <c r="M10" s="34">
        <v>0</v>
      </c>
      <c r="N10" s="58">
        <v>0</v>
      </c>
      <c r="O10" s="34">
        <v>230000</v>
      </c>
      <c r="P10" s="34">
        <v>470000</v>
      </c>
      <c r="Q10" s="34">
        <v>0</v>
      </c>
      <c r="R10" s="34">
        <f t="shared" si="1177"/>
        <v>700000</v>
      </c>
      <c r="S10" s="35">
        <f>G10+I10+R10</f>
        <v>700000</v>
      </c>
      <c r="T10" s="35">
        <f t="shared" si="1179"/>
        <v>700000</v>
      </c>
      <c r="U10" s="19" t="e">
        <f t="shared" si="1180"/>
        <v>#DIV/0!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172"/>
        <v>0</v>
      </c>
      <c r="F11" s="13">
        <v>0</v>
      </c>
      <c r="G11" s="13">
        <v>0</v>
      </c>
      <c r="H11" s="13">
        <v>0</v>
      </c>
      <c r="I11" s="16">
        <f t="shared" si="1173"/>
        <v>0</v>
      </c>
      <c r="J11" s="17">
        <f t="shared" si="1174"/>
        <v>0</v>
      </c>
      <c r="K11" s="18">
        <f t="shared" si="1175"/>
        <v>0</v>
      </c>
      <c r="L11" s="19">
        <v>0</v>
      </c>
      <c r="M11" s="68">
        <v>75000</v>
      </c>
      <c r="N11" s="58">
        <v>112500</v>
      </c>
      <c r="O11" s="34">
        <v>37500</v>
      </c>
      <c r="P11" s="34">
        <v>0</v>
      </c>
      <c r="Q11" s="34">
        <v>0</v>
      </c>
      <c r="R11" s="34">
        <f t="shared" si="1177"/>
        <v>225000</v>
      </c>
      <c r="S11" s="35">
        <f t="shared" si="1178"/>
        <v>225000</v>
      </c>
      <c r="T11" s="35">
        <f t="shared" si="1179"/>
        <v>225000</v>
      </c>
      <c r="U11" s="19" t="e">
        <f t="shared" si="1180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72"/>
        <v>0</v>
      </c>
      <c r="F12" s="13">
        <v>0</v>
      </c>
      <c r="G12" s="13">
        <v>0</v>
      </c>
      <c r="H12" s="13">
        <v>0</v>
      </c>
      <c r="I12" s="16">
        <f t="shared" si="1173"/>
        <v>0</v>
      </c>
      <c r="J12" s="17">
        <f t="shared" si="1174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77"/>
        <v>0</v>
      </c>
      <c r="S12" s="35">
        <f t="shared" si="1178"/>
        <v>0</v>
      </c>
      <c r="T12" s="35">
        <f t="shared" si="1179"/>
        <v>0</v>
      </c>
      <c r="U12" s="19" t="e">
        <f t="shared" si="118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72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74"/>
        <v>0</v>
      </c>
      <c r="K13" s="18">
        <f t="shared" si="117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77"/>
        <v>0</v>
      </c>
      <c r="S13" s="35">
        <f t="shared" si="1178"/>
        <v>0</v>
      </c>
      <c r="T13" s="35">
        <f t="shared" si="1179"/>
        <v>0</v>
      </c>
      <c r="U13" s="19" t="e">
        <f t="shared" si="1180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172"/>
        <v>0</v>
      </c>
      <c r="F14" s="13">
        <v>0</v>
      </c>
      <c r="G14" s="13">
        <v>0</v>
      </c>
      <c r="H14" s="13">
        <v>0</v>
      </c>
      <c r="I14" s="16">
        <f t="shared" si="1173"/>
        <v>0</v>
      </c>
      <c r="J14" s="17">
        <f t="shared" si="1174"/>
        <v>0</v>
      </c>
      <c r="K14" s="18">
        <f t="shared" si="117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77"/>
        <v>0</v>
      </c>
      <c r="S14" s="35">
        <f t="shared" si="1178"/>
        <v>0</v>
      </c>
      <c r="T14" s="35">
        <f t="shared" si="1179"/>
        <v>0</v>
      </c>
      <c r="U14" s="19" t="e">
        <f t="shared" si="1180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1172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174"/>
        <v>0</v>
      </c>
      <c r="K15" s="18">
        <f t="shared" si="117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77"/>
        <v>0</v>
      </c>
      <c r="S15" s="35">
        <f t="shared" si="1178"/>
        <v>0</v>
      </c>
      <c r="T15" s="35">
        <f t="shared" si="1179"/>
        <v>0</v>
      </c>
      <c r="U15" s="19" t="e">
        <f t="shared" si="1180"/>
        <v>#DIV/0!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72"/>
        <v>0</v>
      </c>
      <c r="F16" s="13">
        <v>0</v>
      </c>
      <c r="G16" s="33">
        <v>0</v>
      </c>
      <c r="H16" s="13">
        <v>0</v>
      </c>
      <c r="I16" s="16">
        <f t="shared" si="1173"/>
        <v>0</v>
      </c>
      <c r="J16" s="17">
        <f t="shared" si="1174"/>
        <v>0</v>
      </c>
      <c r="K16" s="18">
        <f t="shared" ref="K16:K18" si="1181">+G16*D16</f>
        <v>0</v>
      </c>
      <c r="L16" s="19" t="e">
        <f t="shared" ref="L16:L21" si="1182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77"/>
        <v>0</v>
      </c>
      <c r="S16" s="35">
        <f t="shared" si="1178"/>
        <v>0</v>
      </c>
      <c r="T16" s="35">
        <f t="shared" si="1179"/>
        <v>0</v>
      </c>
      <c r="U16" s="19" t="e">
        <f t="shared" si="1180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72"/>
        <v>0</v>
      </c>
      <c r="F17" s="13">
        <v>0</v>
      </c>
      <c r="G17" s="33">
        <v>0</v>
      </c>
      <c r="H17" s="13">
        <v>0</v>
      </c>
      <c r="I17" s="16">
        <f t="shared" si="1173"/>
        <v>0</v>
      </c>
      <c r="J17" s="17">
        <f t="shared" si="1174"/>
        <v>0</v>
      </c>
      <c r="K17" s="18">
        <f t="shared" si="1181"/>
        <v>0</v>
      </c>
      <c r="L17" s="19" t="e">
        <f t="shared" si="118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77"/>
        <v>0</v>
      </c>
      <c r="S17" s="35">
        <f t="shared" si="1178"/>
        <v>0</v>
      </c>
      <c r="T17" s="35">
        <f t="shared" si="1179"/>
        <v>0</v>
      </c>
      <c r="U17" s="19" t="e">
        <f t="shared" si="1180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72"/>
        <v>0</v>
      </c>
      <c r="F18" s="13">
        <v>0</v>
      </c>
      <c r="G18" s="33">
        <v>0</v>
      </c>
      <c r="H18" s="13">
        <v>0</v>
      </c>
      <c r="I18" s="16">
        <f t="shared" si="1173"/>
        <v>0</v>
      </c>
      <c r="J18" s="17">
        <f t="shared" si="1174"/>
        <v>0</v>
      </c>
      <c r="K18" s="18">
        <f t="shared" si="1181"/>
        <v>0</v>
      </c>
      <c r="L18" s="19" t="e">
        <f t="shared" si="1182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77"/>
        <v>0</v>
      </c>
      <c r="S18" s="35">
        <f t="shared" si="1178"/>
        <v>0</v>
      </c>
      <c r="T18" s="35">
        <f t="shared" si="1179"/>
        <v>0</v>
      </c>
      <c r="U18" s="19" t="e">
        <f t="shared" si="1180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72"/>
        <v>0</v>
      </c>
      <c r="F19" s="13">
        <v>0</v>
      </c>
      <c r="G19" s="13">
        <v>0</v>
      </c>
      <c r="H19" s="13">
        <v>0</v>
      </c>
      <c r="I19" s="16">
        <f t="shared" si="1173"/>
        <v>0</v>
      </c>
      <c r="J19" s="17">
        <f t="shared" si="1174"/>
        <v>0</v>
      </c>
      <c r="K19" s="18">
        <f t="shared" si="1175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77"/>
        <v>0</v>
      </c>
      <c r="S19" s="35">
        <f t="shared" si="1178"/>
        <v>0</v>
      </c>
      <c r="T19" s="35">
        <f t="shared" si="1179"/>
        <v>0</v>
      </c>
      <c r="U19" s="19" t="e">
        <f t="shared" si="1180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72"/>
        <v>0</v>
      </c>
      <c r="F20" s="13">
        <v>0</v>
      </c>
      <c r="G20" s="13">
        <v>0</v>
      </c>
      <c r="H20" s="13">
        <v>0</v>
      </c>
      <c r="I20" s="16">
        <f t="shared" si="1173"/>
        <v>0</v>
      </c>
      <c r="J20" s="17">
        <f t="shared" si="1174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77"/>
        <v>0</v>
      </c>
      <c r="S20" s="35">
        <f t="shared" si="1178"/>
        <v>0</v>
      </c>
      <c r="T20" s="35">
        <f t="shared" si="1179"/>
        <v>0</v>
      </c>
      <c r="U20" s="19" t="e">
        <f t="shared" si="1180"/>
        <v>#DIV/0!</v>
      </c>
    </row>
    <row r="21" ht="16.5">
      <c r="A21" s="21" t="s">
        <v>50</v>
      </c>
      <c r="B21" s="21"/>
      <c r="C21" s="36">
        <f>SUM(C3:C20)</f>
        <v>0</v>
      </c>
      <c r="D21" s="23"/>
      <c r="E21" s="22">
        <f t="shared" ref="E21:H21" si="1183">SUM(E3:E20)</f>
        <v>0</v>
      </c>
      <c r="F21" s="24">
        <f>SUM(F3:F20)</f>
        <v>460720</v>
      </c>
      <c r="G21" s="24">
        <f t="shared" si="1183"/>
        <v>799276</v>
      </c>
      <c r="H21" s="24">
        <f t="shared" si="1183"/>
        <v>0</v>
      </c>
      <c r="I21" s="25">
        <f>SUM(I3:I20)</f>
        <v>460720</v>
      </c>
      <c r="J21" s="26">
        <f>SUM(J3:J20)</f>
        <v>-799276</v>
      </c>
      <c r="K21" s="26">
        <f>SUM(K3:K20)</f>
        <v>1229199.2694059019</v>
      </c>
      <c r="L21" s="27" t="e">
        <f t="shared" si="1182"/>
        <v>#DIV/0!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77"/>
        <v>1</v>
      </c>
      <c r="S21" s="35">
        <f t="shared" si="1178"/>
        <v>1259997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F25" t="s">
        <v>64</v>
      </c>
      <c r="G25" t="s">
        <v>64</v>
      </c>
    </row>
    <row r="26"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1000B1-00E1-4828-BB81-0085006C007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F0035-007D-4E22-B980-00B60077003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BF00F3-0060-46F3-8D83-000A0064003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6200B7-0009-48E3-A9AE-006F008B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5300AE-005E-401E-AD8B-00AD003C007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200028-0048-42E1-A426-0013006400D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BD005F-00DD-4392-8A4D-00EA003200A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D00AE-0092-44D7-9FFC-00DB00CE006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900040-0099-48BA-9C7E-00EB005B00C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4700FE-00B0-499B-9B78-0088005300F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F0033-0046-44C6-A333-00E700E900E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E0039-0029-45A0-83A0-007B000E001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10" activeCellId="0" sqref="I10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204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184">C3*D3</f>
        <v>1128368.7435578119</v>
      </c>
      <c r="F3" s="13">
        <v>0</v>
      </c>
      <c r="G3" s="44">
        <v>279663</v>
      </c>
      <c r="H3" s="13">
        <v>0</v>
      </c>
      <c r="I3" s="16">
        <f t="shared" ref="I3:I20" si="1185">F3+H3</f>
        <v>0</v>
      </c>
      <c r="J3" s="17">
        <f t="shared" ref="J3:J20" si="1186">C3-G3</f>
        <v>110455</v>
      </c>
      <c r="K3" s="18">
        <f t="shared" ref="K3:K19" si="1187">+G3*D3</f>
        <v>808891.12506884674</v>
      </c>
      <c r="L3" s="19">
        <f t="shared" ref="L3:L9" si="1188">K3/E3</f>
        <v>0.7168677169471801</v>
      </c>
      <c r="M3" s="67">
        <v>0</v>
      </c>
      <c r="N3" s="58">
        <v>18500</v>
      </c>
      <c r="O3" s="34">
        <v>92000</v>
      </c>
      <c r="P3" s="34">
        <v>95000</v>
      </c>
      <c r="Q3" s="34">
        <v>0</v>
      </c>
      <c r="R3" s="34">
        <f t="shared" ref="R3:R21" si="1189">M3+N3+O3+P3+Q3</f>
        <v>205500</v>
      </c>
      <c r="S3" s="35">
        <f t="shared" ref="S3:S21" si="1190">G3+I3+R3</f>
        <v>485163</v>
      </c>
      <c r="T3" s="35">
        <f t="shared" ref="T3:T20" si="1191">S3-C3</f>
        <v>95045</v>
      </c>
      <c r="U3" s="19">
        <f t="shared" ref="U3:U20" si="1192">S3/C3</f>
        <v>1.2436314140849691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184"/>
        <v>977200.76471682987</v>
      </c>
      <c r="F4" s="13">
        <v>297497</v>
      </c>
      <c r="G4" s="13">
        <v>0</v>
      </c>
      <c r="H4" s="13">
        <v>0</v>
      </c>
      <c r="I4" s="16">
        <f t="shared" si="1185"/>
        <v>297497</v>
      </c>
      <c r="J4" s="17">
        <f t="shared" si="1186"/>
        <v>750000</v>
      </c>
      <c r="K4" s="18">
        <f t="shared" si="1187"/>
        <v>0</v>
      </c>
      <c r="L4" s="19">
        <f t="shared" si="1188"/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189"/>
        <v>0</v>
      </c>
      <c r="S4" s="35">
        <f t="shared" si="1190"/>
        <v>297497</v>
      </c>
      <c r="T4" s="35">
        <f t="shared" si="1191"/>
        <v>-452503</v>
      </c>
      <c r="U4" s="19">
        <f t="shared" si="1192"/>
        <v>0.39666266666666666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184"/>
        <v>197921.27837314666</v>
      </c>
      <c r="F5" s="13">
        <v>0</v>
      </c>
      <c r="G5" s="13">
        <v>0</v>
      </c>
      <c r="H5" s="13">
        <v>0</v>
      </c>
      <c r="I5" s="16">
        <f t="shared" si="1185"/>
        <v>0</v>
      </c>
      <c r="J5" s="17">
        <f t="shared" si="1186"/>
        <v>42286</v>
      </c>
      <c r="K5" s="18">
        <f t="shared" si="1187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189"/>
        <v>0</v>
      </c>
      <c r="S5" s="35">
        <f t="shared" si="1190"/>
        <v>0</v>
      </c>
      <c r="T5" s="35">
        <f t="shared" si="1191"/>
        <v>-42286</v>
      </c>
      <c r="U5" s="19">
        <f t="shared" si="1192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184"/>
        <v>534318.75335641147</v>
      </c>
      <c r="F6" s="13">
        <v>0</v>
      </c>
      <c r="G6" s="44">
        <v>0</v>
      </c>
      <c r="H6" s="44">
        <v>0</v>
      </c>
      <c r="I6" s="16">
        <f t="shared" si="1185"/>
        <v>0</v>
      </c>
      <c r="J6" s="17">
        <f t="shared" si="1186"/>
        <v>467459</v>
      </c>
      <c r="K6" s="18">
        <f t="shared" si="1187"/>
        <v>0</v>
      </c>
      <c r="L6" s="19">
        <f t="shared" si="1188"/>
        <v>0</v>
      </c>
      <c r="M6" s="34">
        <v>0</v>
      </c>
      <c r="N6" s="58">
        <v>95000</v>
      </c>
      <c r="O6" s="34">
        <v>158000</v>
      </c>
      <c r="P6" s="34">
        <v>158000</v>
      </c>
      <c r="Q6" s="69">
        <v>63000</v>
      </c>
      <c r="R6" s="34">
        <f t="shared" si="1189"/>
        <v>474000</v>
      </c>
      <c r="S6" s="35">
        <f t="shared" si="1190"/>
        <v>474000</v>
      </c>
      <c r="T6" s="35">
        <f t="shared" si="1191"/>
        <v>6541</v>
      </c>
      <c r="U6" s="19">
        <f t="shared" si="1192"/>
        <v>1.013992671014998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184"/>
        <v>285402.62647715659</v>
      </c>
      <c r="F7" s="13">
        <v>0</v>
      </c>
      <c r="G7" s="44">
        <v>169613</v>
      </c>
      <c r="H7" s="13">
        <v>0</v>
      </c>
      <c r="I7" s="16">
        <f t="shared" si="1185"/>
        <v>0</v>
      </c>
      <c r="J7" s="17">
        <f t="shared" si="1186"/>
        <v>280387</v>
      </c>
      <c r="K7" s="18">
        <f t="shared" si="1187"/>
        <v>107573.32374371102</v>
      </c>
      <c r="L7" s="19">
        <f t="shared" si="1188"/>
        <v>0.3769177777777778</v>
      </c>
      <c r="M7" s="34">
        <v>0</v>
      </c>
      <c r="N7" s="58">
        <v>260000</v>
      </c>
      <c r="O7" s="34">
        <v>260000</v>
      </c>
      <c r="P7" s="34">
        <v>0</v>
      </c>
      <c r="Q7" s="34">
        <v>0</v>
      </c>
      <c r="R7" s="34">
        <f t="shared" si="1189"/>
        <v>520000</v>
      </c>
      <c r="S7" s="35">
        <f t="shared" si="1190"/>
        <v>689613</v>
      </c>
      <c r="T7" s="35">
        <f t="shared" si="1191"/>
        <v>239613</v>
      </c>
      <c r="U7" s="19">
        <f t="shared" si="1192"/>
        <v>1.5324733333333334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184"/>
        <v>402087.62647715665</v>
      </c>
      <c r="F8" s="44">
        <v>163223</v>
      </c>
      <c r="G8" s="13">
        <v>350000</v>
      </c>
      <c r="H8" s="44">
        <v>0</v>
      </c>
      <c r="I8" s="16">
        <f t="shared" si="1185"/>
        <v>163223</v>
      </c>
      <c r="J8" s="17">
        <f t="shared" si="1186"/>
        <v>100000</v>
      </c>
      <c r="K8" s="18">
        <f t="shared" si="1187"/>
        <v>312734.82059334405</v>
      </c>
      <c r="L8" s="19">
        <f t="shared" si="1188"/>
        <v>0.77777777777777779</v>
      </c>
      <c r="M8" s="34">
        <v>0</v>
      </c>
      <c r="N8" s="58">
        <v>0</v>
      </c>
      <c r="O8" s="34">
        <v>0</v>
      </c>
      <c r="P8" s="34">
        <v>260000</v>
      </c>
      <c r="Q8" s="34">
        <v>0</v>
      </c>
      <c r="R8" s="34">
        <f t="shared" si="1189"/>
        <v>260000</v>
      </c>
      <c r="S8" s="35">
        <f t="shared" si="1190"/>
        <v>773223</v>
      </c>
      <c r="T8" s="35">
        <f t="shared" si="1191"/>
        <v>323223</v>
      </c>
      <c r="U8" s="19">
        <f t="shared" si="1192"/>
        <v>1.7182733333333333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184"/>
        <v>228488.66358400413</v>
      </c>
      <c r="F9" s="13">
        <v>0</v>
      </c>
      <c r="G9" s="13">
        <v>0</v>
      </c>
      <c r="H9" s="13">
        <v>0</v>
      </c>
      <c r="I9" s="16">
        <f t="shared" si="1185"/>
        <v>0</v>
      </c>
      <c r="J9" s="17">
        <f t="shared" si="1186"/>
        <v>213875</v>
      </c>
      <c r="K9" s="18">
        <f t="shared" si="1187"/>
        <v>0</v>
      </c>
      <c r="L9" s="19">
        <f t="shared" si="1188"/>
        <v>0</v>
      </c>
      <c r="M9" s="34">
        <v>0</v>
      </c>
      <c r="N9" s="58">
        <v>230000</v>
      </c>
      <c r="O9" s="34">
        <v>0</v>
      </c>
      <c r="P9" s="34">
        <v>0</v>
      </c>
      <c r="Q9" s="34">
        <v>0</v>
      </c>
      <c r="R9" s="34">
        <f t="shared" si="1189"/>
        <v>230000</v>
      </c>
      <c r="S9" s="35">
        <f t="shared" si="1190"/>
        <v>230000</v>
      </c>
      <c r="T9" s="35">
        <f t="shared" si="1191"/>
        <v>16125</v>
      </c>
      <c r="U9" s="19">
        <f t="shared" si="1192"/>
        <v>1.075394506136762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184"/>
        <v>1223670.2193699379</v>
      </c>
      <c r="F10" s="13">
        <v>0</v>
      </c>
      <c r="G10" s="13">
        <v>0</v>
      </c>
      <c r="H10" s="13">
        <v>0</v>
      </c>
      <c r="I10" s="16">
        <f t="shared" si="1185"/>
        <v>0</v>
      </c>
      <c r="J10" s="17">
        <f t="shared" si="1186"/>
        <v>563987</v>
      </c>
      <c r="K10" s="18">
        <f t="shared" si="1187"/>
        <v>0</v>
      </c>
      <c r="L10" s="19">
        <f>K10/E10</f>
        <v>0</v>
      </c>
      <c r="M10" s="34">
        <v>0</v>
      </c>
      <c r="N10" s="58">
        <v>0</v>
      </c>
      <c r="O10" s="34">
        <v>270000</v>
      </c>
      <c r="P10" s="34">
        <v>310000</v>
      </c>
      <c r="Q10" s="34">
        <v>0</v>
      </c>
      <c r="R10" s="34">
        <f t="shared" si="1189"/>
        <v>580000</v>
      </c>
      <c r="S10" s="35">
        <f>G10+I10+R10</f>
        <v>580000</v>
      </c>
      <c r="T10" s="35">
        <f t="shared" si="1191"/>
        <v>16013</v>
      </c>
      <c r="U10" s="19">
        <f t="shared" si="1192"/>
        <v>1.0283924984086512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184"/>
        <v>135151.23701809259</v>
      </c>
      <c r="F11" s="13">
        <v>0</v>
      </c>
      <c r="G11" s="13">
        <v>0</v>
      </c>
      <c r="H11" s="13">
        <v>0</v>
      </c>
      <c r="I11" s="16">
        <f t="shared" si="1185"/>
        <v>0</v>
      </c>
      <c r="J11" s="17">
        <f t="shared" si="1186"/>
        <v>86918</v>
      </c>
      <c r="K11" s="18">
        <f t="shared" si="1187"/>
        <v>0</v>
      </c>
      <c r="L11" s="19">
        <v>0</v>
      </c>
      <c r="M11" s="34">
        <v>0</v>
      </c>
      <c r="N11" s="58">
        <v>148000</v>
      </c>
      <c r="O11" s="34">
        <v>148000</v>
      </c>
      <c r="P11" s="34">
        <v>0</v>
      </c>
      <c r="Q11" s="34">
        <v>0</v>
      </c>
      <c r="R11" s="34">
        <f t="shared" si="1189"/>
        <v>296000</v>
      </c>
      <c r="S11" s="35">
        <f t="shared" si="1190"/>
        <v>296000</v>
      </c>
      <c r="T11" s="35">
        <f t="shared" si="1191"/>
        <v>209082</v>
      </c>
      <c r="U11" s="19">
        <f t="shared" si="1192"/>
        <v>3.4055086403276653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84"/>
        <v>0</v>
      </c>
      <c r="F12" s="13">
        <v>0</v>
      </c>
      <c r="G12" s="13">
        <v>0</v>
      </c>
      <c r="H12" s="13">
        <v>0</v>
      </c>
      <c r="I12" s="16">
        <f t="shared" si="1185"/>
        <v>0</v>
      </c>
      <c r="J12" s="17">
        <f t="shared" si="1186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189"/>
        <v>0</v>
      </c>
      <c r="S12" s="35">
        <f t="shared" si="1190"/>
        <v>0</v>
      </c>
      <c r="T12" s="35">
        <f t="shared" si="1191"/>
        <v>0</v>
      </c>
      <c r="U12" s="19" t="e">
        <f t="shared" si="1192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84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86"/>
        <v>0</v>
      </c>
      <c r="K13" s="18">
        <f t="shared" si="118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189"/>
        <v>0</v>
      </c>
      <c r="S13" s="35">
        <f t="shared" si="1190"/>
        <v>0</v>
      </c>
      <c r="T13" s="35">
        <f t="shared" si="1191"/>
        <v>0</v>
      </c>
      <c r="U13" s="19" t="e">
        <f t="shared" si="1192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184"/>
        <v>245445.56</v>
      </c>
      <c r="F14" s="13">
        <v>0</v>
      </c>
      <c r="G14" s="13">
        <v>0</v>
      </c>
      <c r="H14" s="13">
        <v>0</v>
      </c>
      <c r="I14" s="16">
        <f t="shared" si="1185"/>
        <v>0</v>
      </c>
      <c r="J14" s="17">
        <f t="shared" si="1186"/>
        <v>26506</v>
      </c>
      <c r="K14" s="18">
        <f t="shared" si="118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189"/>
        <v>0</v>
      </c>
      <c r="S14" s="35">
        <f t="shared" si="1190"/>
        <v>0</v>
      </c>
      <c r="T14" s="35">
        <f t="shared" si="1191"/>
        <v>-26506</v>
      </c>
      <c r="U14" s="19">
        <f t="shared" si="1192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184"/>
        <v>150798.87533348153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186"/>
        <v>16870</v>
      </c>
      <c r="K15" s="18">
        <f t="shared" si="118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189"/>
        <v>0</v>
      </c>
      <c r="S15" s="35">
        <f t="shared" si="1190"/>
        <v>0</v>
      </c>
      <c r="T15" s="35">
        <f t="shared" si="1191"/>
        <v>-16870</v>
      </c>
      <c r="U15" s="19">
        <f t="shared" si="1192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84"/>
        <v>0</v>
      </c>
      <c r="F16" s="13">
        <v>0</v>
      </c>
      <c r="G16" s="33">
        <v>0</v>
      </c>
      <c r="H16" s="13">
        <v>0</v>
      </c>
      <c r="I16" s="16">
        <f t="shared" si="1185"/>
        <v>0</v>
      </c>
      <c r="J16" s="17">
        <f t="shared" si="1186"/>
        <v>0</v>
      </c>
      <c r="K16" s="18">
        <f t="shared" ref="K16:K18" si="1193">+G16*D16</f>
        <v>0</v>
      </c>
      <c r="L16" s="19" t="e">
        <f t="shared" ref="L16:L21" si="1194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189"/>
        <v>0</v>
      </c>
      <c r="S16" s="35">
        <f t="shared" si="1190"/>
        <v>0</v>
      </c>
      <c r="T16" s="35">
        <f t="shared" si="1191"/>
        <v>0</v>
      </c>
      <c r="U16" s="19" t="e">
        <f t="shared" si="1192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84"/>
        <v>0</v>
      </c>
      <c r="F17" s="13">
        <v>0</v>
      </c>
      <c r="G17" s="33">
        <v>0</v>
      </c>
      <c r="H17" s="13">
        <v>0</v>
      </c>
      <c r="I17" s="16">
        <f t="shared" si="1185"/>
        <v>0</v>
      </c>
      <c r="J17" s="17">
        <f t="shared" si="1186"/>
        <v>0</v>
      </c>
      <c r="K17" s="18">
        <f t="shared" si="1193"/>
        <v>0</v>
      </c>
      <c r="L17" s="19" t="e">
        <f t="shared" si="1194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189"/>
        <v>0</v>
      </c>
      <c r="S17" s="35">
        <f t="shared" si="1190"/>
        <v>0</v>
      </c>
      <c r="T17" s="35">
        <f t="shared" si="1191"/>
        <v>0</v>
      </c>
      <c r="U17" s="19" t="e">
        <f t="shared" si="1192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84"/>
        <v>0</v>
      </c>
      <c r="F18" s="13">
        <v>0</v>
      </c>
      <c r="G18" s="33">
        <v>0</v>
      </c>
      <c r="H18" s="13">
        <v>0</v>
      </c>
      <c r="I18" s="16">
        <f t="shared" si="1185"/>
        <v>0</v>
      </c>
      <c r="J18" s="17">
        <f t="shared" si="1186"/>
        <v>0</v>
      </c>
      <c r="K18" s="18">
        <f t="shared" si="1193"/>
        <v>0</v>
      </c>
      <c r="L18" s="19" t="e">
        <f t="shared" si="1194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189"/>
        <v>0</v>
      </c>
      <c r="S18" s="35">
        <f t="shared" si="1190"/>
        <v>0</v>
      </c>
      <c r="T18" s="35">
        <f t="shared" si="1191"/>
        <v>0</v>
      </c>
      <c r="U18" s="19" t="e">
        <f t="shared" si="1192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84"/>
        <v>0</v>
      </c>
      <c r="F19" s="13">
        <v>0</v>
      </c>
      <c r="G19" s="13">
        <v>0</v>
      </c>
      <c r="H19" s="13">
        <v>0</v>
      </c>
      <c r="I19" s="16">
        <f t="shared" si="1185"/>
        <v>0</v>
      </c>
      <c r="J19" s="17">
        <f t="shared" si="1186"/>
        <v>0</v>
      </c>
      <c r="K19" s="18">
        <f t="shared" si="1187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189"/>
        <v>0</v>
      </c>
      <c r="S19" s="35">
        <f t="shared" si="1190"/>
        <v>0</v>
      </c>
      <c r="T19" s="35">
        <f t="shared" si="1191"/>
        <v>0</v>
      </c>
      <c r="U19" s="19" t="e">
        <f t="shared" si="1192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84"/>
        <v>0</v>
      </c>
      <c r="F20" s="13">
        <v>0</v>
      </c>
      <c r="G20" s="13">
        <v>0</v>
      </c>
      <c r="H20" s="13">
        <v>0</v>
      </c>
      <c r="I20" s="16">
        <f t="shared" si="1185"/>
        <v>0</v>
      </c>
      <c r="J20" s="17">
        <f t="shared" si="1186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189"/>
        <v>0</v>
      </c>
      <c r="S20" s="35">
        <f t="shared" si="1190"/>
        <v>0</v>
      </c>
      <c r="T20" s="35">
        <f t="shared" si="1191"/>
        <v>0</v>
      </c>
      <c r="U20" s="19" t="e">
        <f t="shared" si="1192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195">SUM(E3:E20)</f>
        <v>5508854.3482640292</v>
      </c>
      <c r="F21" s="24">
        <f>SUM(F3:F20)</f>
        <v>460720</v>
      </c>
      <c r="G21" s="24">
        <f t="shared" si="1195"/>
        <v>799276</v>
      </c>
      <c r="H21" s="24">
        <f t="shared" si="1195"/>
        <v>0</v>
      </c>
      <c r="I21" s="25">
        <f>SUM(I3:I20)</f>
        <v>460720</v>
      </c>
      <c r="J21" s="26">
        <f>SUM(J3:J20)</f>
        <v>2658743</v>
      </c>
      <c r="K21" s="26">
        <f>SUM(K3:K20)</f>
        <v>1229199.2694059019</v>
      </c>
      <c r="L21" s="27">
        <f t="shared" si="1194"/>
        <v>0.2231315608831175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189"/>
        <v>1</v>
      </c>
      <c r="S21" s="35">
        <f t="shared" si="1190"/>
        <v>1259997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F25" t="s">
        <v>64</v>
      </c>
      <c r="G25" t="s">
        <v>64</v>
      </c>
    </row>
    <row r="26">
      <c r="E26" t="s">
        <v>64</v>
      </c>
      <c r="G26" t="s">
        <v>64</v>
      </c>
    </row>
    <row r="27">
      <c r="E27" t="s">
        <v>64</v>
      </c>
      <c r="G27" t="s">
        <v>64</v>
      </c>
    </row>
    <row r="28">
      <c r="D28" t="s">
        <v>64</v>
      </c>
      <c r="G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BB00CF-009B-4CBE-9F86-005B0024008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EB00D0-0098-4C08-BC98-009A005700E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110077-0093-47FD-8171-006000B7008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A100B0-0036-4D1C-9F9B-00FD00F300A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9400D4-00AF-4BA6-962C-00E0000B005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8800FA-00ED-4606-A774-001D006E000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8F00B4-0047-4FEE-B0F3-00D0005A00A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100F8-0081-4CE7-B656-00D100B1003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8F00C6-002E-4188-B34F-005A00D9008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75002A-0098-48D0-99DF-009E00E3009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7C0070-00CC-4442-A1A1-001800FA00F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4E00A5-00CC-44C2-B782-00D30041007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7" activeCellId="0" sqref="F7:G7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205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196">C3*D3</f>
        <v>1128368.7435578119</v>
      </c>
      <c r="F3" s="13">
        <v>18417</v>
      </c>
      <c r="G3" s="44">
        <v>279663</v>
      </c>
      <c r="H3" s="13">
        <v>0</v>
      </c>
      <c r="I3" s="16">
        <f t="shared" ref="I3:I20" si="1197">F3+H3</f>
        <v>18417</v>
      </c>
      <c r="J3" s="17">
        <f t="shared" ref="J3:J20" si="1198">C3-G3</f>
        <v>110455</v>
      </c>
      <c r="K3" s="18">
        <f t="shared" ref="K3:K19" si="1199">+G3*D3</f>
        <v>808891.12506884674</v>
      </c>
      <c r="L3" s="19">
        <f t="shared" ref="L3:L9" si="1200">K3/E3</f>
        <v>0.7168677169471801</v>
      </c>
      <c r="M3" s="67">
        <v>0</v>
      </c>
      <c r="N3" s="58">
        <v>0</v>
      </c>
      <c r="O3" s="34">
        <v>74000</v>
      </c>
      <c r="P3" s="34">
        <v>95000</v>
      </c>
      <c r="Q3" s="34">
        <v>0</v>
      </c>
      <c r="R3" s="34">
        <f t="shared" ref="R3:R21" si="1201">M3+N3+O3+P3+Q3</f>
        <v>169000</v>
      </c>
      <c r="S3" s="35">
        <f t="shared" ref="S3:S21" si="1202">G3+I3+R3</f>
        <v>467080</v>
      </c>
      <c r="T3" s="35">
        <f t="shared" ref="T3:T20" si="1203">S3-C3</f>
        <v>76962</v>
      </c>
      <c r="U3" s="19">
        <f t="shared" ref="U3:U20" si="1204">S3/C3</f>
        <v>1.1972787720638371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196"/>
        <v>977200.76471682987</v>
      </c>
      <c r="F4" s="13">
        <v>293206</v>
      </c>
      <c r="G4" s="13">
        <v>297495</v>
      </c>
      <c r="H4" s="13">
        <v>0</v>
      </c>
      <c r="I4" s="16">
        <f t="shared" si="1197"/>
        <v>293206</v>
      </c>
      <c r="J4" s="17">
        <f t="shared" si="1198"/>
        <v>452505</v>
      </c>
      <c r="K4" s="18">
        <f t="shared" si="1199"/>
        <v>387616.45533257769</v>
      </c>
      <c r="L4" s="19">
        <f t="shared" si="1200"/>
        <v>0.39665999999999996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01"/>
        <v>0</v>
      </c>
      <c r="S4" s="35">
        <f t="shared" si="1202"/>
        <v>590701</v>
      </c>
      <c r="T4" s="35">
        <f t="shared" si="1203"/>
        <v>-159299</v>
      </c>
      <c r="U4" s="19">
        <f t="shared" si="1204"/>
        <v>0.78760133333333338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196"/>
        <v>197921.27837314666</v>
      </c>
      <c r="F5" s="13">
        <v>0</v>
      </c>
      <c r="G5" s="13">
        <v>0</v>
      </c>
      <c r="H5" s="13">
        <v>0</v>
      </c>
      <c r="I5" s="16">
        <f t="shared" si="1197"/>
        <v>0</v>
      </c>
      <c r="J5" s="17">
        <f t="shared" si="1198"/>
        <v>42286</v>
      </c>
      <c r="K5" s="18">
        <f t="shared" si="1199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01"/>
        <v>0</v>
      </c>
      <c r="S5" s="35">
        <f t="shared" si="1202"/>
        <v>0</v>
      </c>
      <c r="T5" s="35">
        <f t="shared" si="1203"/>
        <v>-42286</v>
      </c>
      <c r="U5" s="19">
        <f t="shared" si="1204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196"/>
        <v>534318.75335641147</v>
      </c>
      <c r="F6" s="13">
        <v>0</v>
      </c>
      <c r="G6" s="44">
        <v>0</v>
      </c>
      <c r="H6" s="44">
        <v>0</v>
      </c>
      <c r="I6" s="16">
        <f t="shared" si="1197"/>
        <v>0</v>
      </c>
      <c r="J6" s="17">
        <f t="shared" si="1198"/>
        <v>467459</v>
      </c>
      <c r="K6" s="18">
        <f t="shared" si="1199"/>
        <v>0</v>
      </c>
      <c r="L6" s="19">
        <f t="shared" si="1200"/>
        <v>0</v>
      </c>
      <c r="M6" s="34">
        <v>0</v>
      </c>
      <c r="N6" s="58">
        <v>0</v>
      </c>
      <c r="O6" s="34">
        <v>220000</v>
      </c>
      <c r="P6" s="34">
        <v>189000</v>
      </c>
      <c r="Q6" s="69">
        <v>63000</v>
      </c>
      <c r="R6" s="34">
        <f t="shared" si="1201"/>
        <v>472000</v>
      </c>
      <c r="S6" s="35">
        <f t="shared" si="1202"/>
        <v>472000</v>
      </c>
      <c r="T6" s="35">
        <f t="shared" si="1203"/>
        <v>4541</v>
      </c>
      <c r="U6" s="19">
        <f t="shared" si="1204"/>
        <v>1.0097142209263272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196"/>
        <v>285402.62647715659</v>
      </c>
      <c r="F7" s="13">
        <v>263862</v>
      </c>
      <c r="G7" s="44">
        <v>169613</v>
      </c>
      <c r="H7" s="13">
        <v>0</v>
      </c>
      <c r="I7" s="16">
        <f t="shared" si="1197"/>
        <v>263862</v>
      </c>
      <c r="J7" s="17">
        <f t="shared" si="1198"/>
        <v>280387</v>
      </c>
      <c r="K7" s="18">
        <f t="shared" si="1199"/>
        <v>107573.32374371102</v>
      </c>
      <c r="L7" s="19">
        <f t="shared" si="1200"/>
        <v>0.3769177777777778</v>
      </c>
      <c r="M7" s="34">
        <v>0</v>
      </c>
      <c r="N7" s="58">
        <v>0</v>
      </c>
      <c r="O7" s="34">
        <v>260000</v>
      </c>
      <c r="P7" s="34">
        <v>0</v>
      </c>
      <c r="Q7" s="34">
        <v>0</v>
      </c>
      <c r="R7" s="34">
        <f t="shared" si="1201"/>
        <v>260000</v>
      </c>
      <c r="S7" s="35">
        <f t="shared" si="1202"/>
        <v>693475</v>
      </c>
      <c r="T7" s="35">
        <f t="shared" si="1203"/>
        <v>243475</v>
      </c>
      <c r="U7" s="19">
        <f t="shared" si="1204"/>
        <v>1.5410555555555556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196"/>
        <v>402087.62647715665</v>
      </c>
      <c r="F8" s="44">
        <v>63223</v>
      </c>
      <c r="G8" s="13">
        <v>350000</v>
      </c>
      <c r="H8" s="44">
        <v>100000</v>
      </c>
      <c r="I8" s="16">
        <f t="shared" si="1197"/>
        <v>163223</v>
      </c>
      <c r="J8" s="17">
        <f t="shared" si="1198"/>
        <v>100000</v>
      </c>
      <c r="K8" s="18">
        <f t="shared" si="1199"/>
        <v>312734.82059334405</v>
      </c>
      <c r="L8" s="19">
        <f t="shared" si="1200"/>
        <v>0.77777777777777779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01"/>
        <v>440000</v>
      </c>
      <c r="S8" s="35">
        <f t="shared" si="1202"/>
        <v>953223</v>
      </c>
      <c r="T8" s="35">
        <f t="shared" si="1203"/>
        <v>503223</v>
      </c>
      <c r="U8" s="19">
        <f t="shared" si="1204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196"/>
        <v>228488.66358400413</v>
      </c>
      <c r="F9" s="13">
        <v>226601</v>
      </c>
      <c r="G9" s="13">
        <v>0</v>
      </c>
      <c r="H9" s="13">
        <v>0</v>
      </c>
      <c r="I9" s="16">
        <f t="shared" si="1197"/>
        <v>226601</v>
      </c>
      <c r="J9" s="17">
        <f t="shared" si="1198"/>
        <v>213875</v>
      </c>
      <c r="K9" s="18">
        <f t="shared" si="1199"/>
        <v>0</v>
      </c>
      <c r="L9" s="19">
        <f t="shared" si="1200"/>
        <v>0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01"/>
        <v>0</v>
      </c>
      <c r="S9" s="35">
        <f t="shared" si="1202"/>
        <v>226601</v>
      </c>
      <c r="T9" s="35">
        <f t="shared" si="1203"/>
        <v>12726</v>
      </c>
      <c r="U9" s="19">
        <f t="shared" si="1204"/>
        <v>1.0595020455873758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196"/>
        <v>1223670.2193699379</v>
      </c>
      <c r="F10" s="13">
        <v>0</v>
      </c>
      <c r="G10" s="13">
        <v>0</v>
      </c>
      <c r="H10" s="13">
        <v>0</v>
      </c>
      <c r="I10" s="16">
        <f t="shared" si="1197"/>
        <v>0</v>
      </c>
      <c r="J10" s="17">
        <f t="shared" si="1198"/>
        <v>563987</v>
      </c>
      <c r="K10" s="18">
        <f t="shared" si="1199"/>
        <v>0</v>
      </c>
      <c r="L10" s="19">
        <f>K10/E10</f>
        <v>0</v>
      </c>
      <c r="M10" s="34">
        <v>0</v>
      </c>
      <c r="N10" s="58">
        <v>0</v>
      </c>
      <c r="O10" s="34">
        <v>270000</v>
      </c>
      <c r="P10" s="34">
        <v>310000</v>
      </c>
      <c r="Q10" s="34">
        <v>0</v>
      </c>
      <c r="R10" s="34">
        <f t="shared" si="1201"/>
        <v>580000</v>
      </c>
      <c r="S10" s="35">
        <f>G10+I10+R10</f>
        <v>580000</v>
      </c>
      <c r="T10" s="35">
        <f t="shared" si="1203"/>
        <v>16013</v>
      </c>
      <c r="U10" s="19">
        <f t="shared" si="1204"/>
        <v>1.0283924984086512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196"/>
        <v>135151.23701809259</v>
      </c>
      <c r="F11" s="13">
        <v>185482</v>
      </c>
      <c r="G11" s="13">
        <v>0</v>
      </c>
      <c r="H11" s="13">
        <v>0</v>
      </c>
      <c r="I11" s="16">
        <f t="shared" si="1197"/>
        <v>185482</v>
      </c>
      <c r="J11" s="17">
        <f t="shared" si="1198"/>
        <v>86918</v>
      </c>
      <c r="K11" s="18">
        <f t="shared" si="1199"/>
        <v>0</v>
      </c>
      <c r="L11" s="19">
        <v>0</v>
      </c>
      <c r="M11" s="34">
        <v>0</v>
      </c>
      <c r="N11" s="58">
        <v>0</v>
      </c>
      <c r="O11" s="34">
        <v>222000</v>
      </c>
      <c r="P11" s="34">
        <v>0</v>
      </c>
      <c r="Q11" s="34">
        <v>0</v>
      </c>
      <c r="R11" s="34">
        <f t="shared" si="1201"/>
        <v>222000</v>
      </c>
      <c r="S11" s="35">
        <f t="shared" si="1202"/>
        <v>407482</v>
      </c>
      <c r="T11" s="35">
        <f t="shared" si="1203"/>
        <v>320564</v>
      </c>
      <c r="U11" s="19">
        <f t="shared" si="1204"/>
        <v>4.6881198370878296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96"/>
        <v>0</v>
      </c>
      <c r="F12" s="13">
        <v>0</v>
      </c>
      <c r="G12" s="13">
        <v>0</v>
      </c>
      <c r="H12" s="13">
        <v>0</v>
      </c>
      <c r="I12" s="16">
        <f t="shared" si="1197"/>
        <v>0</v>
      </c>
      <c r="J12" s="17">
        <f t="shared" si="1198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01"/>
        <v>0</v>
      </c>
      <c r="S12" s="35">
        <f t="shared" si="1202"/>
        <v>0</v>
      </c>
      <c r="T12" s="35">
        <f t="shared" si="1203"/>
        <v>0</v>
      </c>
      <c r="U12" s="19" t="e">
        <f t="shared" si="1204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96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198"/>
        <v>0</v>
      </c>
      <c r="K13" s="18">
        <f t="shared" si="119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01"/>
        <v>0</v>
      </c>
      <c r="S13" s="35">
        <f t="shared" si="1202"/>
        <v>0</v>
      </c>
      <c r="T13" s="35">
        <f t="shared" si="1203"/>
        <v>0</v>
      </c>
      <c r="U13" s="19" t="e">
        <f t="shared" si="1204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196"/>
        <v>245445.56</v>
      </c>
      <c r="F14" s="13">
        <v>0</v>
      </c>
      <c r="G14" s="13">
        <v>0</v>
      </c>
      <c r="H14" s="13">
        <v>0</v>
      </c>
      <c r="I14" s="16">
        <f t="shared" si="1197"/>
        <v>0</v>
      </c>
      <c r="J14" s="17">
        <f t="shared" si="1198"/>
        <v>26506</v>
      </c>
      <c r="K14" s="18">
        <f t="shared" si="119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01"/>
        <v>0</v>
      </c>
      <c r="S14" s="35">
        <f t="shared" si="1202"/>
        <v>0</v>
      </c>
      <c r="T14" s="35">
        <f t="shared" si="1203"/>
        <v>-26506</v>
      </c>
      <c r="U14" s="19">
        <f t="shared" si="1204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196"/>
        <v>150798.87533348153</v>
      </c>
      <c r="F15" s="13">
        <v>26636</v>
      </c>
      <c r="G15" s="13">
        <v>0</v>
      </c>
      <c r="H15" s="13">
        <v>0</v>
      </c>
      <c r="I15" s="16">
        <f>F15+H15</f>
        <v>26636</v>
      </c>
      <c r="J15" s="17">
        <f t="shared" si="1198"/>
        <v>16870</v>
      </c>
      <c r="K15" s="18">
        <f t="shared" si="1199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01"/>
        <v>0</v>
      </c>
      <c r="S15" s="35">
        <f t="shared" si="1202"/>
        <v>26636</v>
      </c>
      <c r="T15" s="35">
        <f t="shared" si="1203"/>
        <v>9766</v>
      </c>
      <c r="U15" s="19">
        <f t="shared" si="1204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196"/>
        <v>0</v>
      </c>
      <c r="F16" s="13">
        <v>0</v>
      </c>
      <c r="G16" s="33">
        <v>0</v>
      </c>
      <c r="H16" s="13">
        <v>0</v>
      </c>
      <c r="I16" s="16">
        <f t="shared" si="1197"/>
        <v>0</v>
      </c>
      <c r="J16" s="17">
        <f t="shared" si="1198"/>
        <v>0</v>
      </c>
      <c r="K16" s="18">
        <f t="shared" ref="K16:K18" si="1205">+G16*D16</f>
        <v>0</v>
      </c>
      <c r="L16" s="19" t="e">
        <f t="shared" ref="L16:L21" si="1206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01"/>
        <v>0</v>
      </c>
      <c r="S16" s="35">
        <f t="shared" si="1202"/>
        <v>0</v>
      </c>
      <c r="T16" s="35">
        <f t="shared" si="1203"/>
        <v>0</v>
      </c>
      <c r="U16" s="19" t="e">
        <f t="shared" si="1204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196"/>
        <v>0</v>
      </c>
      <c r="F17" s="13">
        <v>0</v>
      </c>
      <c r="G17" s="33">
        <v>0</v>
      </c>
      <c r="H17" s="13">
        <v>0</v>
      </c>
      <c r="I17" s="16">
        <f t="shared" si="1197"/>
        <v>0</v>
      </c>
      <c r="J17" s="17">
        <f t="shared" si="1198"/>
        <v>0</v>
      </c>
      <c r="K17" s="18">
        <f t="shared" si="1205"/>
        <v>0</v>
      </c>
      <c r="L17" s="19" t="e">
        <f t="shared" si="1206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01"/>
        <v>0</v>
      </c>
      <c r="S17" s="35">
        <f t="shared" si="1202"/>
        <v>0</v>
      </c>
      <c r="T17" s="35">
        <f t="shared" si="1203"/>
        <v>0</v>
      </c>
      <c r="U17" s="19" t="e">
        <f t="shared" si="1204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196"/>
        <v>0</v>
      </c>
      <c r="F18" s="13">
        <v>0</v>
      </c>
      <c r="G18" s="33">
        <v>0</v>
      </c>
      <c r="H18" s="13">
        <v>0</v>
      </c>
      <c r="I18" s="16">
        <f t="shared" si="1197"/>
        <v>0</v>
      </c>
      <c r="J18" s="17">
        <f t="shared" si="1198"/>
        <v>0</v>
      </c>
      <c r="K18" s="18">
        <f t="shared" si="1205"/>
        <v>0</v>
      </c>
      <c r="L18" s="19" t="e">
        <f t="shared" si="1206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01"/>
        <v>0</v>
      </c>
      <c r="S18" s="35">
        <f t="shared" si="1202"/>
        <v>0</v>
      </c>
      <c r="T18" s="35">
        <f t="shared" si="1203"/>
        <v>0</v>
      </c>
      <c r="U18" s="19" t="e">
        <f t="shared" si="1204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196"/>
        <v>0</v>
      </c>
      <c r="F19" s="13">
        <v>0</v>
      </c>
      <c r="G19" s="13">
        <v>0</v>
      </c>
      <c r="H19" s="13">
        <v>0</v>
      </c>
      <c r="I19" s="16">
        <f t="shared" si="1197"/>
        <v>0</v>
      </c>
      <c r="J19" s="17">
        <f t="shared" si="1198"/>
        <v>0</v>
      </c>
      <c r="K19" s="18">
        <f t="shared" si="1199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01"/>
        <v>0</v>
      </c>
      <c r="S19" s="35">
        <f t="shared" si="1202"/>
        <v>0</v>
      </c>
      <c r="T19" s="35">
        <f t="shared" si="1203"/>
        <v>0</v>
      </c>
      <c r="U19" s="19" t="e">
        <f t="shared" si="1204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196"/>
        <v>0</v>
      </c>
      <c r="F20" s="13">
        <v>0</v>
      </c>
      <c r="G20" s="13">
        <v>0</v>
      </c>
      <c r="H20" s="13">
        <v>0</v>
      </c>
      <c r="I20" s="16">
        <f t="shared" si="1197"/>
        <v>0</v>
      </c>
      <c r="J20" s="17">
        <f t="shared" si="1198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01"/>
        <v>0</v>
      </c>
      <c r="S20" s="35">
        <f t="shared" si="1202"/>
        <v>0</v>
      </c>
      <c r="T20" s="35">
        <f t="shared" si="1203"/>
        <v>0</v>
      </c>
      <c r="U20" s="19" t="e">
        <f t="shared" si="1204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07">SUM(E3:E20)</f>
        <v>5508854.3482640292</v>
      </c>
      <c r="F21" s="24">
        <f>SUM(F3:F20)</f>
        <v>1077427</v>
      </c>
      <c r="G21" s="24">
        <f t="shared" si="1207"/>
        <v>1096771</v>
      </c>
      <c r="H21" s="24">
        <f t="shared" si="1207"/>
        <v>100000</v>
      </c>
      <c r="I21" s="25">
        <f>SUM(I3:I20)</f>
        <v>1177427</v>
      </c>
      <c r="J21" s="26">
        <f>SUM(J3:J20)</f>
        <v>2361248</v>
      </c>
      <c r="K21" s="26">
        <f>SUM(K3:K20)</f>
        <v>1616815.7247384794</v>
      </c>
      <c r="L21" s="27">
        <f t="shared" si="1206"/>
        <v>0.29349400483749882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01"/>
        <v>1</v>
      </c>
      <c r="S21" s="35">
        <f t="shared" si="1202"/>
        <v>2274199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F25" t="s">
        <v>64</v>
      </c>
      <c r="G25" t="s">
        <v>64</v>
      </c>
    </row>
    <row r="26">
      <c r="E26" t="s">
        <v>64</v>
      </c>
      <c r="G26" t="s">
        <v>64</v>
      </c>
    </row>
    <row r="27">
      <c r="E27" t="s">
        <v>64</v>
      </c>
      <c r="G27" t="s">
        <v>64</v>
      </c>
    </row>
    <row r="28">
      <c r="D28" t="s">
        <v>64</v>
      </c>
      <c r="G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900BD-0046-482D-8C5B-008000FF00A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E7006F-0096-4EF4-B089-006C005B002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D0004F-0038-4A53-9C84-00C80087009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94008B-00DA-4AEF-BC7B-00340023007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7B00D0-007E-4952-B343-00C1000B00D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6400B5-00E5-46D3-9058-0075003C00D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2F0090-0086-44B5-83DB-0037007D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78002C-00F7-449F-A6B4-006C00C500A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600D0-0050-436C-8CF9-007F00EE000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9700C3-00C9-492A-B351-00140045008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A002B-00E7-4681-8E67-005700FA004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100C4-00EF-4C8E-AA54-00C3009700A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1" activeCellId="0" sqref="A1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206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08">C3*D3</f>
        <v>1128368.7435578119</v>
      </c>
      <c r="F3" s="13">
        <v>0</v>
      </c>
      <c r="G3" s="44">
        <v>279663</v>
      </c>
      <c r="H3" s="13">
        <v>36835</v>
      </c>
      <c r="I3" s="16">
        <f t="shared" ref="I3:I20" si="1209">F3+H3</f>
        <v>36835</v>
      </c>
      <c r="J3" s="17">
        <f t="shared" ref="J3:J20" si="1210">C3-G3</f>
        <v>110455</v>
      </c>
      <c r="K3" s="18">
        <f t="shared" ref="K3:K19" si="1211">+G3*D3</f>
        <v>808891.12506884674</v>
      </c>
      <c r="L3" s="19">
        <f t="shared" ref="L3:L9" si="1212">K3/E3</f>
        <v>0.7168677169471801</v>
      </c>
      <c r="M3" s="67">
        <v>0</v>
      </c>
      <c r="N3" s="58">
        <v>0</v>
      </c>
      <c r="O3" s="34">
        <v>74000</v>
      </c>
      <c r="P3" s="34">
        <v>95000</v>
      </c>
      <c r="Q3" s="34">
        <v>0</v>
      </c>
      <c r="R3" s="34">
        <f t="shared" ref="R3:R21" si="1213">M3+N3+O3+P3+Q3</f>
        <v>169000</v>
      </c>
      <c r="S3" s="35">
        <f t="shared" ref="S3:S21" si="1214">G3+I3+R3</f>
        <v>485498</v>
      </c>
      <c r="T3" s="35">
        <f t="shared" ref="T3:T20" si="1215">S3-C3</f>
        <v>95380</v>
      </c>
      <c r="U3" s="19">
        <f t="shared" ref="U3:U20" si="1216">S3/C3</f>
        <v>1.2444901286277485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08"/>
        <v>977200.76471682987</v>
      </c>
      <c r="F4" s="13">
        <v>293206</v>
      </c>
      <c r="G4" s="13">
        <v>297495</v>
      </c>
      <c r="H4" s="13">
        <v>0</v>
      </c>
      <c r="I4" s="16">
        <f t="shared" si="1209"/>
        <v>293206</v>
      </c>
      <c r="J4" s="17">
        <f t="shared" si="1210"/>
        <v>452505</v>
      </c>
      <c r="K4" s="18">
        <f t="shared" si="1211"/>
        <v>387616.45533257769</v>
      </c>
      <c r="L4" s="19">
        <f t="shared" si="1212"/>
        <v>0.39665999999999996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13"/>
        <v>0</v>
      </c>
      <c r="S4" s="35">
        <f t="shared" si="1214"/>
        <v>590701</v>
      </c>
      <c r="T4" s="35">
        <f t="shared" si="1215"/>
        <v>-159299</v>
      </c>
      <c r="U4" s="19">
        <f t="shared" si="1216"/>
        <v>0.78760133333333338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08"/>
        <v>197921.27837314666</v>
      </c>
      <c r="F5" s="13">
        <v>0</v>
      </c>
      <c r="G5" s="13">
        <v>0</v>
      </c>
      <c r="H5" s="13">
        <v>0</v>
      </c>
      <c r="I5" s="16">
        <f t="shared" si="1209"/>
        <v>0</v>
      </c>
      <c r="J5" s="17">
        <f t="shared" si="1210"/>
        <v>42286</v>
      </c>
      <c r="K5" s="18">
        <f t="shared" si="1211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13"/>
        <v>0</v>
      </c>
      <c r="S5" s="35">
        <f t="shared" si="1214"/>
        <v>0</v>
      </c>
      <c r="T5" s="35">
        <f t="shared" si="1215"/>
        <v>-42286</v>
      </c>
      <c r="U5" s="19">
        <f t="shared" si="1216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08"/>
        <v>534318.75335641147</v>
      </c>
      <c r="F6" s="13">
        <v>0</v>
      </c>
      <c r="G6" s="44">
        <v>0</v>
      </c>
      <c r="H6" s="44">
        <v>0</v>
      </c>
      <c r="I6" s="16">
        <f t="shared" si="1209"/>
        <v>0</v>
      </c>
      <c r="J6" s="17">
        <f t="shared" si="1210"/>
        <v>467459</v>
      </c>
      <c r="K6" s="18">
        <f t="shared" si="1211"/>
        <v>0</v>
      </c>
      <c r="L6" s="19">
        <f t="shared" si="1212"/>
        <v>0</v>
      </c>
      <c r="M6" s="34">
        <v>0</v>
      </c>
      <c r="N6" s="58">
        <v>0</v>
      </c>
      <c r="O6" s="34">
        <v>220000</v>
      </c>
      <c r="P6" s="34">
        <v>189000</v>
      </c>
      <c r="Q6" s="69">
        <v>63000</v>
      </c>
      <c r="R6" s="34">
        <f t="shared" si="1213"/>
        <v>472000</v>
      </c>
      <c r="S6" s="35">
        <f t="shared" si="1214"/>
        <v>472000</v>
      </c>
      <c r="T6" s="35">
        <f t="shared" si="1215"/>
        <v>4541</v>
      </c>
      <c r="U6" s="19">
        <f t="shared" si="1216"/>
        <v>1.0097142209263272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08"/>
        <v>285402.62647715659</v>
      </c>
      <c r="F7" s="13">
        <v>0</v>
      </c>
      <c r="G7" s="44">
        <v>169613</v>
      </c>
      <c r="H7" s="13">
        <v>263862</v>
      </c>
      <c r="I7" s="16">
        <f t="shared" si="1209"/>
        <v>263862</v>
      </c>
      <c r="J7" s="17">
        <f t="shared" si="1210"/>
        <v>280387</v>
      </c>
      <c r="K7" s="18">
        <f t="shared" si="1211"/>
        <v>107573.32374371102</v>
      </c>
      <c r="L7" s="19">
        <f t="shared" si="1212"/>
        <v>0.3769177777777778</v>
      </c>
      <c r="M7" s="34">
        <v>0</v>
      </c>
      <c r="N7" s="58">
        <v>0</v>
      </c>
      <c r="O7" s="34">
        <v>264000</v>
      </c>
      <c r="P7" s="34">
        <v>0</v>
      </c>
      <c r="Q7" s="34">
        <v>0</v>
      </c>
      <c r="R7" s="34">
        <f t="shared" si="1213"/>
        <v>264000</v>
      </c>
      <c r="S7" s="35">
        <f t="shared" si="1214"/>
        <v>697475</v>
      </c>
      <c r="T7" s="35">
        <f t="shared" si="1215"/>
        <v>247475</v>
      </c>
      <c r="U7" s="19">
        <f t="shared" si="1216"/>
        <v>1.5499444444444443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08"/>
        <v>402087.62647715665</v>
      </c>
      <c r="F8" s="44">
        <v>63223</v>
      </c>
      <c r="G8" s="13">
        <v>450000</v>
      </c>
      <c r="H8" s="44">
        <v>0</v>
      </c>
      <c r="I8" s="16">
        <f t="shared" si="1209"/>
        <v>63223</v>
      </c>
      <c r="J8" s="17">
        <f t="shared" si="1210"/>
        <v>0</v>
      </c>
      <c r="K8" s="18">
        <f t="shared" si="1211"/>
        <v>402087.62647715665</v>
      </c>
      <c r="L8" s="19">
        <f t="shared" si="1212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13"/>
        <v>440000</v>
      </c>
      <c r="S8" s="35">
        <f t="shared" si="1214"/>
        <v>953223</v>
      </c>
      <c r="T8" s="35">
        <f t="shared" si="1215"/>
        <v>503223</v>
      </c>
      <c r="U8" s="19">
        <f t="shared" si="1216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08"/>
        <v>228488.66358400413</v>
      </c>
      <c r="F9" s="13">
        <v>12677</v>
      </c>
      <c r="G9" s="13">
        <v>0</v>
      </c>
      <c r="H9" s="13">
        <v>213875</v>
      </c>
      <c r="I9" s="16">
        <f t="shared" si="1209"/>
        <v>226552</v>
      </c>
      <c r="J9" s="17">
        <f t="shared" si="1210"/>
        <v>213875</v>
      </c>
      <c r="K9" s="18">
        <f t="shared" si="1211"/>
        <v>0</v>
      </c>
      <c r="L9" s="19">
        <f t="shared" si="1212"/>
        <v>0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13"/>
        <v>0</v>
      </c>
      <c r="S9" s="35">
        <f t="shared" si="1214"/>
        <v>226552</v>
      </c>
      <c r="T9" s="35">
        <f t="shared" si="1215"/>
        <v>12677</v>
      </c>
      <c r="U9" s="19">
        <f t="shared" si="1216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08"/>
        <v>1223670.2193699379</v>
      </c>
      <c r="F10" s="13">
        <v>0</v>
      </c>
      <c r="G10" s="13">
        <v>0</v>
      </c>
      <c r="H10" s="13">
        <v>0</v>
      </c>
      <c r="I10" s="16">
        <f t="shared" si="1209"/>
        <v>0</v>
      </c>
      <c r="J10" s="17">
        <f t="shared" si="1210"/>
        <v>563987</v>
      </c>
      <c r="K10" s="18">
        <f t="shared" si="1211"/>
        <v>0</v>
      </c>
      <c r="L10" s="19">
        <f>K10/E10</f>
        <v>0</v>
      </c>
      <c r="M10" s="34">
        <v>0</v>
      </c>
      <c r="N10" s="58">
        <v>0</v>
      </c>
      <c r="O10" s="34">
        <v>273000</v>
      </c>
      <c r="P10" s="34">
        <v>310000</v>
      </c>
      <c r="Q10" s="34">
        <v>0</v>
      </c>
      <c r="R10" s="34">
        <f t="shared" si="1213"/>
        <v>583000</v>
      </c>
      <c r="S10" s="35">
        <f>G10+I10+R10</f>
        <v>583000</v>
      </c>
      <c r="T10" s="35">
        <f t="shared" si="1215"/>
        <v>19013</v>
      </c>
      <c r="U10" s="19">
        <f t="shared" si="1216"/>
        <v>1.0337117699521443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08"/>
        <v>135151.23701809259</v>
      </c>
      <c r="F11" s="13">
        <v>135586</v>
      </c>
      <c r="G11" s="13">
        <v>0</v>
      </c>
      <c r="H11" s="13">
        <v>86918</v>
      </c>
      <c r="I11" s="16">
        <f t="shared" si="1209"/>
        <v>222504</v>
      </c>
      <c r="J11" s="17">
        <f t="shared" si="1210"/>
        <v>86918</v>
      </c>
      <c r="K11" s="18">
        <f>+G11*N13</f>
        <v>0</v>
      </c>
      <c r="L11" s="19">
        <v>0</v>
      </c>
      <c r="M11" s="34">
        <v>0</v>
      </c>
      <c r="N11" s="58">
        <v>0</v>
      </c>
      <c r="O11" s="34">
        <v>222000</v>
      </c>
      <c r="P11" s="34">
        <v>0</v>
      </c>
      <c r="Q11" s="34">
        <v>0</v>
      </c>
      <c r="R11" s="34">
        <f t="shared" si="1213"/>
        <v>222000</v>
      </c>
      <c r="S11" s="35">
        <f t="shared" si="1214"/>
        <v>444504</v>
      </c>
      <c r="T11" s="35">
        <f t="shared" si="1215"/>
        <v>357586</v>
      </c>
      <c r="U11" s="19">
        <f t="shared" si="1216"/>
        <v>5.1140615292574614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08"/>
        <v>0</v>
      </c>
      <c r="F12" s="13">
        <v>0</v>
      </c>
      <c r="G12" s="13">
        <v>0</v>
      </c>
      <c r="H12" s="13">
        <v>0</v>
      </c>
      <c r="I12" s="16">
        <f t="shared" si="1209"/>
        <v>0</v>
      </c>
      <c r="J12" s="17">
        <f t="shared" si="1210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13"/>
        <v>0</v>
      </c>
      <c r="S12" s="35">
        <f t="shared" si="1214"/>
        <v>0</v>
      </c>
      <c r="T12" s="35">
        <f t="shared" si="1215"/>
        <v>0</v>
      </c>
      <c r="U12" s="19" t="e">
        <f t="shared" si="121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08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10"/>
        <v>0</v>
      </c>
      <c r="K13" s="18">
        <f t="shared" si="121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13"/>
        <v>0</v>
      </c>
      <c r="S13" s="35">
        <f t="shared" si="1214"/>
        <v>0</v>
      </c>
      <c r="T13" s="35">
        <f t="shared" si="1215"/>
        <v>0</v>
      </c>
      <c r="U13" s="19" t="e">
        <f t="shared" si="1216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08"/>
        <v>245445.56</v>
      </c>
      <c r="F14" s="13">
        <v>0</v>
      </c>
      <c r="G14" s="13">
        <v>0</v>
      </c>
      <c r="H14" s="13">
        <v>0</v>
      </c>
      <c r="I14" s="16">
        <f t="shared" si="1209"/>
        <v>0</v>
      </c>
      <c r="J14" s="17">
        <f t="shared" si="1210"/>
        <v>26506</v>
      </c>
      <c r="K14" s="18">
        <f t="shared" si="121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13"/>
        <v>0</v>
      </c>
      <c r="S14" s="35">
        <f t="shared" si="1214"/>
        <v>0</v>
      </c>
      <c r="T14" s="35">
        <f t="shared" si="1215"/>
        <v>-26506</v>
      </c>
      <c r="U14" s="19">
        <f t="shared" si="1216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08"/>
        <v>150798.87533348153</v>
      </c>
      <c r="F15" s="13">
        <v>26636</v>
      </c>
      <c r="G15" s="13">
        <v>0</v>
      </c>
      <c r="H15" s="13">
        <v>0</v>
      </c>
      <c r="I15" s="16">
        <f>F15+H15</f>
        <v>26636</v>
      </c>
      <c r="J15" s="17">
        <f t="shared" si="1210"/>
        <v>16870</v>
      </c>
      <c r="K15" s="18">
        <f t="shared" si="1211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13"/>
        <v>0</v>
      </c>
      <c r="S15" s="35">
        <f t="shared" si="1214"/>
        <v>26636</v>
      </c>
      <c r="T15" s="35">
        <f t="shared" si="1215"/>
        <v>9766</v>
      </c>
      <c r="U15" s="19">
        <f t="shared" si="1216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08"/>
        <v>0</v>
      </c>
      <c r="F16" s="13">
        <v>0</v>
      </c>
      <c r="G16" s="33">
        <v>0</v>
      </c>
      <c r="H16" s="13">
        <v>0</v>
      </c>
      <c r="I16" s="16">
        <f t="shared" si="1209"/>
        <v>0</v>
      </c>
      <c r="J16" s="17">
        <f t="shared" si="1210"/>
        <v>0</v>
      </c>
      <c r="K16" s="18">
        <f t="shared" ref="K16:K18" si="1217">+G16*D16</f>
        <v>0</v>
      </c>
      <c r="L16" s="19" t="e">
        <f t="shared" ref="L16:L21" si="1218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13"/>
        <v>0</v>
      </c>
      <c r="S16" s="35">
        <f t="shared" si="1214"/>
        <v>0</v>
      </c>
      <c r="T16" s="35">
        <f t="shared" si="1215"/>
        <v>0</v>
      </c>
      <c r="U16" s="19" t="e">
        <f t="shared" si="1216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08"/>
        <v>0</v>
      </c>
      <c r="F17" s="13">
        <v>0</v>
      </c>
      <c r="G17" s="33">
        <v>0</v>
      </c>
      <c r="H17" s="13">
        <v>0</v>
      </c>
      <c r="I17" s="16">
        <f t="shared" si="1209"/>
        <v>0</v>
      </c>
      <c r="J17" s="17">
        <f t="shared" si="1210"/>
        <v>0</v>
      </c>
      <c r="K17" s="18">
        <f t="shared" si="1217"/>
        <v>0</v>
      </c>
      <c r="L17" s="19" t="e">
        <f t="shared" si="121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13"/>
        <v>0</v>
      </c>
      <c r="S17" s="35">
        <f t="shared" si="1214"/>
        <v>0</v>
      </c>
      <c r="T17" s="35">
        <f t="shared" si="1215"/>
        <v>0</v>
      </c>
      <c r="U17" s="19" t="e">
        <f t="shared" si="1216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08"/>
        <v>0</v>
      </c>
      <c r="F18" s="13">
        <v>0</v>
      </c>
      <c r="G18" s="33">
        <v>0</v>
      </c>
      <c r="H18" s="13">
        <v>0</v>
      </c>
      <c r="I18" s="16">
        <f t="shared" si="1209"/>
        <v>0</v>
      </c>
      <c r="J18" s="17">
        <f t="shared" si="1210"/>
        <v>0</v>
      </c>
      <c r="K18" s="18">
        <f t="shared" si="1217"/>
        <v>0</v>
      </c>
      <c r="L18" s="19" t="e">
        <f t="shared" si="1218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13"/>
        <v>0</v>
      </c>
      <c r="S18" s="35">
        <f t="shared" si="1214"/>
        <v>0</v>
      </c>
      <c r="T18" s="35">
        <f t="shared" si="1215"/>
        <v>0</v>
      </c>
      <c r="U18" s="19" t="e">
        <f t="shared" si="1216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08"/>
        <v>0</v>
      </c>
      <c r="F19" s="13">
        <v>0</v>
      </c>
      <c r="G19" s="13">
        <v>0</v>
      </c>
      <c r="H19" s="13">
        <v>0</v>
      </c>
      <c r="I19" s="16">
        <f t="shared" si="1209"/>
        <v>0</v>
      </c>
      <c r="J19" s="17">
        <f t="shared" si="1210"/>
        <v>0</v>
      </c>
      <c r="K19" s="18">
        <f t="shared" si="1211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13"/>
        <v>0</v>
      </c>
      <c r="S19" s="35">
        <f t="shared" si="1214"/>
        <v>0</v>
      </c>
      <c r="T19" s="35">
        <f t="shared" si="1215"/>
        <v>0</v>
      </c>
      <c r="U19" s="19" t="e">
        <f t="shared" si="1216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08"/>
        <v>0</v>
      </c>
      <c r="F20" s="13">
        <v>0</v>
      </c>
      <c r="G20" s="13">
        <v>0</v>
      </c>
      <c r="H20" s="13">
        <v>0</v>
      </c>
      <c r="I20" s="16">
        <f t="shared" si="1209"/>
        <v>0</v>
      </c>
      <c r="J20" s="17">
        <f t="shared" si="1210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13"/>
        <v>0</v>
      </c>
      <c r="S20" s="35">
        <f t="shared" si="1214"/>
        <v>0</v>
      </c>
      <c r="T20" s="35">
        <f t="shared" si="1215"/>
        <v>0</v>
      </c>
      <c r="U20" s="19" t="e">
        <f t="shared" si="1216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19">SUM(E3:E20)</f>
        <v>5508854.3482640292</v>
      </c>
      <c r="F21" s="24">
        <f>SUM(F3:F20)</f>
        <v>531328</v>
      </c>
      <c r="G21" s="24">
        <f t="shared" si="1219"/>
        <v>1196771</v>
      </c>
      <c r="H21" s="24">
        <f t="shared" si="1219"/>
        <v>601490</v>
      </c>
      <c r="I21" s="25">
        <f>SUM(I3:I20)</f>
        <v>1132818</v>
      </c>
      <c r="J21" s="26">
        <f>SUM(J3:J20)</f>
        <v>2261248</v>
      </c>
      <c r="K21" s="26">
        <f>SUM(K3:K20)</f>
        <v>1706168.5306222918</v>
      </c>
      <c r="L21" s="27">
        <f t="shared" si="1218"/>
        <v>0.30971385750286645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13"/>
        <v>1</v>
      </c>
      <c r="S21" s="35">
        <f t="shared" si="1214"/>
        <v>2329590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00090-00B5-4393-85A5-00E5004300D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B500BC-0043-4A6E-9419-007F00A500F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A700E9-00DC-4CFB-913B-00B10013003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790093-00B7-419B-8331-00F300AC007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2900AE-0053-4E2E-80FC-00C3007900F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AE001C-000B-4B70-B5A9-004F002D00F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1D00C1-0055-4CA9-B1C3-006C00CD001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60016-00B3-4D6B-A45F-002000B4000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250084-00A2-412C-9783-00F400D9002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FE00EE-00A8-41DF-B811-008C00D300C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B1003C-00D9-43B0-A932-0018005A007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3C005F-0064-460F-B70E-004E005C008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23" activeCellId="0" sqref="I23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67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98">C3*D3</f>
        <v>1870761.2046759115</v>
      </c>
      <c r="F3" s="13">
        <v>111536</v>
      </c>
      <c r="G3" s="43">
        <v>522045</v>
      </c>
      <c r="H3" s="13">
        <v>0</v>
      </c>
      <c r="I3" s="16">
        <f t="shared" ref="I3:I17" si="99">F3+H3</f>
        <v>111536</v>
      </c>
      <c r="J3" s="17">
        <f t="shared" ref="J3:J17" si="100">C3-G3</f>
        <v>124745</v>
      </c>
      <c r="K3" s="18">
        <f t="shared" ref="K3:K17" si="101">+G3*D3</f>
        <v>1509951.5037261494</v>
      </c>
      <c r="L3" s="19">
        <f t="shared" ref="L3:L11" si="102">K3/E3</f>
        <v>0.80713214490019947</v>
      </c>
      <c r="M3" s="33">
        <v>0</v>
      </c>
      <c r="N3" s="33">
        <v>0</v>
      </c>
      <c r="O3" s="33">
        <v>0</v>
      </c>
      <c r="P3" s="33">
        <v>0</v>
      </c>
      <c r="Q3" s="40">
        <v>259000</v>
      </c>
      <c r="R3" s="34">
        <f t="shared" ref="R3:R18" si="103">M3+N3+O3+P3+Q3</f>
        <v>259000</v>
      </c>
      <c r="S3" s="35">
        <f t="shared" ref="S3:S18" si="104">G3+I3+R3</f>
        <v>892581</v>
      </c>
      <c r="T3" s="35">
        <f t="shared" ref="T3:T17" si="105">S3-C3</f>
        <v>245791</v>
      </c>
      <c r="U3" s="19">
        <f t="shared" ref="U3:U17" si="106">S3/C3</f>
        <v>1.3800166978462871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98"/>
        <v>390880.30588673195</v>
      </c>
      <c r="F4" s="13">
        <v>142793</v>
      </c>
      <c r="G4" s="13">
        <v>299987</v>
      </c>
      <c r="H4" s="13">
        <v>0</v>
      </c>
      <c r="I4" s="16">
        <f t="shared" si="99"/>
        <v>142793</v>
      </c>
      <c r="J4" s="17">
        <f t="shared" si="100"/>
        <v>13</v>
      </c>
      <c r="K4" s="18">
        <f t="shared" si="101"/>
        <v>390863.3677401435</v>
      </c>
      <c r="L4" s="19">
        <f t="shared" si="10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03"/>
        <v>0</v>
      </c>
      <c r="S4" s="35">
        <f t="shared" si="104"/>
        <v>442780</v>
      </c>
      <c r="T4" s="35">
        <f t="shared" si="105"/>
        <v>142780</v>
      </c>
      <c r="U4" s="19">
        <f t="shared" si="10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8"/>
        <v>0</v>
      </c>
      <c r="F5" s="13">
        <v>0</v>
      </c>
      <c r="G5" s="13">
        <v>0</v>
      </c>
      <c r="H5" s="13">
        <v>0</v>
      </c>
      <c r="I5" s="16">
        <f t="shared" si="99"/>
        <v>0</v>
      </c>
      <c r="J5" s="17">
        <f t="shared" si="100"/>
        <v>0</v>
      </c>
      <c r="K5" s="18">
        <f t="shared" si="10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03"/>
        <v>0</v>
      </c>
      <c r="S5" s="35">
        <f t="shared" si="104"/>
        <v>0</v>
      </c>
      <c r="T5" s="35">
        <f t="shared" si="105"/>
        <v>0</v>
      </c>
      <c r="U5" s="19" t="e">
        <f t="shared" si="10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98"/>
        <v>644777.55587835144</v>
      </c>
      <c r="F6" s="13">
        <v>125632</v>
      </c>
      <c r="G6" s="43">
        <v>601076</v>
      </c>
      <c r="H6" s="43">
        <v>0</v>
      </c>
      <c r="I6" s="16">
        <f t="shared" si="99"/>
        <v>125632</v>
      </c>
      <c r="J6" s="17">
        <f t="shared" si="100"/>
        <v>-36980</v>
      </c>
      <c r="K6" s="18">
        <f t="shared" si="101"/>
        <v>687046.73349418538</v>
      </c>
      <c r="L6" s="19">
        <f t="shared" si="102"/>
        <v>1.0655562173814386</v>
      </c>
      <c r="M6" s="33">
        <v>0</v>
      </c>
      <c r="N6" s="33">
        <v>0</v>
      </c>
      <c r="O6" s="33">
        <v>0</v>
      </c>
      <c r="P6" s="33">
        <v>0</v>
      </c>
      <c r="Q6" s="33">
        <v>315000</v>
      </c>
      <c r="R6" s="34">
        <f t="shared" si="103"/>
        <v>315000</v>
      </c>
      <c r="S6" s="35">
        <f t="shared" si="104"/>
        <v>1041708</v>
      </c>
      <c r="T6" s="35">
        <f t="shared" si="105"/>
        <v>477612</v>
      </c>
      <c r="U6" s="19">
        <f t="shared" si="106"/>
        <v>1.8466856705241661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98"/>
        <v>221472.43814627349</v>
      </c>
      <c r="F7" s="13">
        <v>0</v>
      </c>
      <c r="G7" s="13">
        <v>0</v>
      </c>
      <c r="H7" s="13">
        <v>342865</v>
      </c>
      <c r="I7" s="16">
        <f t="shared" si="99"/>
        <v>342865</v>
      </c>
      <c r="J7" s="17">
        <f t="shared" si="100"/>
        <v>349200</v>
      </c>
      <c r="K7" s="18">
        <f t="shared" si="101"/>
        <v>0</v>
      </c>
      <c r="L7" s="19">
        <f t="shared" si="102"/>
        <v>0</v>
      </c>
      <c r="M7" s="33">
        <v>0</v>
      </c>
      <c r="N7" s="33">
        <v>0</v>
      </c>
      <c r="O7" s="33">
        <v>0</v>
      </c>
      <c r="P7" s="33">
        <v>0</v>
      </c>
      <c r="Q7" s="33">
        <v>435000</v>
      </c>
      <c r="R7" s="34">
        <f t="shared" si="103"/>
        <v>435000</v>
      </c>
      <c r="S7" s="35">
        <f t="shared" si="104"/>
        <v>777865</v>
      </c>
      <c r="T7" s="35">
        <f t="shared" si="105"/>
        <v>428665</v>
      </c>
      <c r="U7" s="19">
        <f t="shared" si="106"/>
        <v>2.2275630011454752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98"/>
        <v>585037.49652426294</v>
      </c>
      <c r="F8" s="13">
        <v>0</v>
      </c>
      <c r="G8" s="13">
        <v>481535</v>
      </c>
      <c r="H8" s="13">
        <v>299868</v>
      </c>
      <c r="I8" s="16">
        <f t="shared" si="99"/>
        <v>299868</v>
      </c>
      <c r="J8" s="17">
        <f t="shared" si="100"/>
        <v>173215</v>
      </c>
      <c r="K8" s="18">
        <f t="shared" si="101"/>
        <v>430265.03381261695</v>
      </c>
      <c r="L8" s="19">
        <f t="shared" si="102"/>
        <v>0.73544864452080949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4">
        <f t="shared" si="103"/>
        <v>0</v>
      </c>
      <c r="S8" s="35">
        <f t="shared" si="104"/>
        <v>781403</v>
      </c>
      <c r="T8" s="35">
        <f t="shared" si="105"/>
        <v>126653</v>
      </c>
      <c r="U8" s="19">
        <f t="shared" si="106"/>
        <v>1.1934371897670866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98"/>
        <v>216656.93033237188</v>
      </c>
      <c r="F9" s="13">
        <v>0</v>
      </c>
      <c r="G9" s="13">
        <v>168000</v>
      </c>
      <c r="H9" s="13">
        <v>63850</v>
      </c>
      <c r="I9" s="16">
        <f t="shared" si="99"/>
        <v>63850</v>
      </c>
      <c r="J9" s="17">
        <f t="shared" si="100"/>
        <v>34800</v>
      </c>
      <c r="K9" s="18">
        <f t="shared" si="101"/>
        <v>179479.11388480512</v>
      </c>
      <c r="L9" s="19">
        <f t="shared" si="102"/>
        <v>0.82840236686390534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4">
        <f t="shared" si="103"/>
        <v>0</v>
      </c>
      <c r="S9" s="35">
        <f t="shared" si="104"/>
        <v>231850</v>
      </c>
      <c r="T9" s="35">
        <f t="shared" si="105"/>
        <v>29050</v>
      </c>
      <c r="U9" s="19">
        <f t="shared" si="106"/>
        <v>1.1432445759368837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98"/>
        <v>505114.07016586867</v>
      </c>
      <c r="F10" s="13">
        <v>0</v>
      </c>
      <c r="G10" s="13">
        <v>233346</v>
      </c>
      <c r="H10" s="13">
        <v>0</v>
      </c>
      <c r="I10" s="16">
        <f t="shared" si="99"/>
        <v>0</v>
      </c>
      <c r="J10" s="17">
        <f t="shared" si="100"/>
        <v>-540</v>
      </c>
      <c r="K10" s="18">
        <f t="shared" si="101"/>
        <v>506285.6963176413</v>
      </c>
      <c r="L10" s="19">
        <f t="shared" si="102"/>
        <v>1.0023195278472206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103"/>
        <v>6</v>
      </c>
      <c r="S10" s="35">
        <f t="shared" si="104"/>
        <v>233352</v>
      </c>
      <c r="T10" s="35">
        <f t="shared" si="105"/>
        <v>546</v>
      </c>
      <c r="U10" s="19">
        <f t="shared" si="10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98"/>
        <v>58121.655911310321</v>
      </c>
      <c r="F11" s="13">
        <v>0</v>
      </c>
      <c r="G11" s="13">
        <v>37379</v>
      </c>
      <c r="H11" s="13">
        <v>0</v>
      </c>
      <c r="I11" s="16">
        <f t="shared" si="99"/>
        <v>0</v>
      </c>
      <c r="J11" s="17">
        <f t="shared" si="100"/>
        <v>0</v>
      </c>
      <c r="K11" s="18">
        <f t="shared" si="101"/>
        <v>58121.655911310321</v>
      </c>
      <c r="L11" s="19">
        <f t="shared" si="10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03"/>
        <v>0</v>
      </c>
      <c r="S11" s="35">
        <f t="shared" si="104"/>
        <v>37379</v>
      </c>
      <c r="T11" s="35">
        <f t="shared" si="105"/>
        <v>0</v>
      </c>
      <c r="U11" s="19">
        <f t="shared" si="10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8"/>
        <v>0</v>
      </c>
      <c r="F12" s="13"/>
      <c r="G12" s="13">
        <v>0</v>
      </c>
      <c r="H12" s="13">
        <v>0</v>
      </c>
      <c r="I12" s="16">
        <f t="shared" si="99"/>
        <v>0</v>
      </c>
      <c r="J12" s="17">
        <f t="shared" si="100"/>
        <v>0</v>
      </c>
      <c r="K12" s="18">
        <f t="shared" si="10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03"/>
        <v>0</v>
      </c>
      <c r="S12" s="35">
        <f t="shared" si="104"/>
        <v>0</v>
      </c>
      <c r="T12" s="35">
        <f t="shared" si="105"/>
        <v>0</v>
      </c>
      <c r="U12" s="19" t="e">
        <f t="shared" si="10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98"/>
        <v>0</v>
      </c>
      <c r="F13" s="13"/>
      <c r="G13" s="13">
        <v>0</v>
      </c>
      <c r="H13" s="13">
        <v>0</v>
      </c>
      <c r="I13" s="16">
        <f t="shared" si="99"/>
        <v>0</v>
      </c>
      <c r="J13" s="17">
        <f t="shared" si="100"/>
        <v>0</v>
      </c>
      <c r="K13" s="18">
        <f t="shared" si="10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03"/>
        <v>0</v>
      </c>
      <c r="S13" s="35">
        <f t="shared" si="104"/>
        <v>0</v>
      </c>
      <c r="T13" s="35">
        <f t="shared" si="105"/>
        <v>0</v>
      </c>
      <c r="U13" s="19" t="e">
        <f t="shared" si="10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98"/>
        <v>0</v>
      </c>
      <c r="F14" s="13"/>
      <c r="G14" s="13">
        <v>0</v>
      </c>
      <c r="H14" s="13">
        <v>0</v>
      </c>
      <c r="I14" s="16">
        <f t="shared" si="99"/>
        <v>0</v>
      </c>
      <c r="J14" s="17">
        <f t="shared" si="100"/>
        <v>0</v>
      </c>
      <c r="K14" s="18">
        <f t="shared" si="10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03"/>
        <v>0</v>
      </c>
      <c r="S14" s="35">
        <f t="shared" si="104"/>
        <v>0</v>
      </c>
      <c r="T14" s="35">
        <f t="shared" si="105"/>
        <v>0</v>
      </c>
      <c r="U14" s="19" t="e">
        <f t="shared" si="10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98"/>
        <v>0</v>
      </c>
      <c r="F15" s="13"/>
      <c r="G15" s="13">
        <v>0</v>
      </c>
      <c r="H15" s="13">
        <v>0</v>
      </c>
      <c r="I15" s="16">
        <f t="shared" si="99"/>
        <v>0</v>
      </c>
      <c r="J15" s="17">
        <f t="shared" si="100"/>
        <v>0</v>
      </c>
      <c r="K15" s="18">
        <f t="shared" si="10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03"/>
        <v>0</v>
      </c>
      <c r="S15" s="35">
        <f t="shared" si="104"/>
        <v>0</v>
      </c>
      <c r="T15" s="35">
        <f t="shared" si="105"/>
        <v>0</v>
      </c>
      <c r="U15" s="19" t="e">
        <f t="shared" si="10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98"/>
        <v>0</v>
      </c>
      <c r="F16" s="13"/>
      <c r="G16" s="13">
        <v>0</v>
      </c>
      <c r="H16" s="13">
        <v>0</v>
      </c>
      <c r="I16" s="16">
        <f t="shared" si="99"/>
        <v>0</v>
      </c>
      <c r="J16" s="17">
        <f t="shared" si="100"/>
        <v>0</v>
      </c>
      <c r="K16" s="18">
        <f t="shared" si="10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03"/>
        <v>0</v>
      </c>
      <c r="S16" s="35">
        <f t="shared" si="104"/>
        <v>0</v>
      </c>
      <c r="T16" s="35">
        <f t="shared" si="105"/>
        <v>0</v>
      </c>
      <c r="U16" s="19" t="e">
        <f t="shared" si="10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98"/>
        <v>3629.0452579287512</v>
      </c>
      <c r="F17" s="13">
        <v>50000</v>
      </c>
      <c r="G17" s="13">
        <v>787</v>
      </c>
      <c r="H17" s="13">
        <v>0</v>
      </c>
      <c r="I17" s="16">
        <f t="shared" si="99"/>
        <v>50000</v>
      </c>
      <c r="J17" s="17">
        <f t="shared" si="100"/>
        <v>400</v>
      </c>
      <c r="K17" s="18">
        <f t="shared" si="101"/>
        <v>2406.1150951894924</v>
      </c>
      <c r="L17" s="19">
        <f t="shared" ref="L17:L18" si="10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03"/>
        <v>0</v>
      </c>
      <c r="S17" s="35">
        <f t="shared" si="104"/>
        <v>50787</v>
      </c>
      <c r="T17" s="35">
        <f t="shared" si="105"/>
        <v>49600</v>
      </c>
      <c r="U17" s="19">
        <f t="shared" si="10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2344155</v>
      </c>
      <c r="H18" s="24">
        <f>SUM(H3:H17)</f>
        <v>706583</v>
      </c>
      <c r="I18" s="25">
        <f>SUM(I3:I17)</f>
        <v>1136544</v>
      </c>
      <c r="J18" s="26">
        <f>SUM(J3:J17)</f>
        <v>644853</v>
      </c>
      <c r="K18" s="26">
        <f>SUM(K3:K17)</f>
        <v>3764419.219982041</v>
      </c>
      <c r="L18" s="27">
        <f t="shared" si="107"/>
        <v>0.83719792983729546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03"/>
        <v>0</v>
      </c>
      <c r="S18" s="35">
        <f t="shared" si="104"/>
        <v>3480699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B600DA-00F0-4187-B589-00C000B10045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3D00DB-00D1-4A0A-ADFB-009100CD007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FA00D2-00E5-4F17-AE2A-00D000C8007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4A002C-007F-4805-A1F1-0002003A00E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55006E-0064-4ADD-A514-008A00EC003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4C0079-00EA-41D1-91AE-000F0000003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1800C4-0024-4B2F-94E2-0051004A00B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12" activeCellId="0" sqref="G12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207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20">C3*D3</f>
        <v>1128368.7435578119</v>
      </c>
      <c r="F3" s="13">
        <v>55805</v>
      </c>
      <c r="G3" s="44">
        <v>279663</v>
      </c>
      <c r="H3" s="13">
        <v>36835</v>
      </c>
      <c r="I3" s="16">
        <f t="shared" ref="I3:I20" si="1221">F3+H3</f>
        <v>92640</v>
      </c>
      <c r="J3" s="17">
        <f t="shared" ref="J3:J20" si="1222">C3-G3</f>
        <v>110455</v>
      </c>
      <c r="K3" s="18">
        <f t="shared" ref="K3:K19" si="1223">+G3*D3</f>
        <v>808891.12506884674</v>
      </c>
      <c r="L3" s="19">
        <f t="shared" ref="L3:L9" si="1224">K3/E3</f>
        <v>0.7168677169471801</v>
      </c>
      <c r="M3" s="67">
        <v>0</v>
      </c>
      <c r="N3" s="58">
        <v>0</v>
      </c>
      <c r="O3" s="34">
        <v>74000</v>
      </c>
      <c r="P3" s="34">
        <v>95000</v>
      </c>
      <c r="Q3" s="34">
        <v>0</v>
      </c>
      <c r="R3" s="34">
        <f t="shared" ref="R3:R21" si="1225">M3+N3+O3+P3+Q3</f>
        <v>169000</v>
      </c>
      <c r="S3" s="35">
        <f t="shared" ref="S3:S21" si="1226">G3+I3+R3</f>
        <v>541303</v>
      </c>
      <c r="T3" s="35">
        <f t="shared" ref="T3:T20" si="1227">S3-C3</f>
        <v>151185</v>
      </c>
      <c r="U3" s="19">
        <f t="shared" ref="U3:U20" si="1228">S3/C3</f>
        <v>1.3875365914928304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20"/>
        <v>977200.76471682987</v>
      </c>
      <c r="F4" s="13">
        <v>293206</v>
      </c>
      <c r="G4" s="13">
        <v>297495</v>
      </c>
      <c r="H4" s="13">
        <v>0</v>
      </c>
      <c r="I4" s="16">
        <f t="shared" si="1221"/>
        <v>293206</v>
      </c>
      <c r="J4" s="17">
        <f t="shared" si="1222"/>
        <v>452505</v>
      </c>
      <c r="K4" s="18">
        <f t="shared" si="1223"/>
        <v>387616.45533257769</v>
      </c>
      <c r="L4" s="19">
        <f t="shared" si="1224"/>
        <v>0.39665999999999996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25"/>
        <v>0</v>
      </c>
      <c r="S4" s="35">
        <f t="shared" si="1226"/>
        <v>590701</v>
      </c>
      <c r="T4" s="35">
        <f t="shared" si="1227"/>
        <v>-159299</v>
      </c>
      <c r="U4" s="19">
        <f t="shared" si="1228"/>
        <v>0.78760133333333338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20"/>
        <v>197921.27837314666</v>
      </c>
      <c r="F5" s="13">
        <v>0</v>
      </c>
      <c r="G5" s="13">
        <v>0</v>
      </c>
      <c r="H5" s="13">
        <v>0</v>
      </c>
      <c r="I5" s="16">
        <f t="shared" si="1221"/>
        <v>0</v>
      </c>
      <c r="J5" s="17">
        <f t="shared" si="1222"/>
        <v>42286</v>
      </c>
      <c r="K5" s="18">
        <f t="shared" si="1223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25"/>
        <v>0</v>
      </c>
      <c r="S5" s="35">
        <f t="shared" si="1226"/>
        <v>0</v>
      </c>
      <c r="T5" s="35">
        <f t="shared" si="1227"/>
        <v>-42286</v>
      </c>
      <c r="U5" s="19">
        <f t="shared" si="1228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20"/>
        <v>534318.75335641147</v>
      </c>
      <c r="F6" s="13">
        <v>0</v>
      </c>
      <c r="G6" s="44">
        <v>0</v>
      </c>
      <c r="H6" s="44">
        <v>0</v>
      </c>
      <c r="I6" s="16">
        <f t="shared" si="1221"/>
        <v>0</v>
      </c>
      <c r="J6" s="17">
        <f t="shared" si="1222"/>
        <v>467459</v>
      </c>
      <c r="K6" s="18">
        <f t="shared" si="1223"/>
        <v>0</v>
      </c>
      <c r="L6" s="19">
        <f t="shared" si="1224"/>
        <v>0</v>
      </c>
      <c r="M6" s="34">
        <v>0</v>
      </c>
      <c r="N6" s="58">
        <v>0</v>
      </c>
      <c r="O6" s="34">
        <v>220000</v>
      </c>
      <c r="P6" s="34">
        <v>189000</v>
      </c>
      <c r="Q6" s="69">
        <v>63000</v>
      </c>
      <c r="R6" s="34">
        <f t="shared" si="1225"/>
        <v>472000</v>
      </c>
      <c r="S6" s="35">
        <f t="shared" si="1226"/>
        <v>472000</v>
      </c>
      <c r="T6" s="35">
        <f t="shared" si="1227"/>
        <v>4541</v>
      </c>
      <c r="U6" s="19">
        <f t="shared" si="1228"/>
        <v>1.0097142209263272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20"/>
        <v>285402.62647715659</v>
      </c>
      <c r="F7" s="13">
        <v>0</v>
      </c>
      <c r="G7" s="44">
        <v>169613</v>
      </c>
      <c r="H7" s="13">
        <v>263862</v>
      </c>
      <c r="I7" s="16">
        <f t="shared" si="1221"/>
        <v>263862</v>
      </c>
      <c r="J7" s="17">
        <f t="shared" si="1222"/>
        <v>280387</v>
      </c>
      <c r="K7" s="18">
        <f t="shared" si="1223"/>
        <v>107573.32374371102</v>
      </c>
      <c r="L7" s="19">
        <f t="shared" si="1224"/>
        <v>0.3769177777777778</v>
      </c>
      <c r="M7" s="34">
        <v>0</v>
      </c>
      <c r="N7" s="58">
        <v>0</v>
      </c>
      <c r="O7" s="34">
        <v>264000</v>
      </c>
      <c r="P7" s="34">
        <v>0</v>
      </c>
      <c r="Q7" s="34">
        <v>0</v>
      </c>
      <c r="R7" s="34">
        <f t="shared" si="1225"/>
        <v>264000</v>
      </c>
      <c r="S7" s="35">
        <f t="shared" si="1226"/>
        <v>697475</v>
      </c>
      <c r="T7" s="35">
        <f t="shared" si="1227"/>
        <v>247475</v>
      </c>
      <c r="U7" s="19">
        <f t="shared" si="1228"/>
        <v>1.5499444444444443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20"/>
        <v>402087.62647715665</v>
      </c>
      <c r="F8" s="44">
        <v>63223</v>
      </c>
      <c r="G8" s="13">
        <v>450000</v>
      </c>
      <c r="H8" s="44">
        <v>0</v>
      </c>
      <c r="I8" s="16">
        <f t="shared" si="1221"/>
        <v>63223</v>
      </c>
      <c r="J8" s="17">
        <f t="shared" si="1222"/>
        <v>0</v>
      </c>
      <c r="K8" s="18">
        <f t="shared" si="1223"/>
        <v>402087.62647715665</v>
      </c>
      <c r="L8" s="19">
        <f t="shared" si="1224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25"/>
        <v>440000</v>
      </c>
      <c r="S8" s="35">
        <f t="shared" si="1226"/>
        <v>953223</v>
      </c>
      <c r="T8" s="35">
        <f t="shared" si="1227"/>
        <v>503223</v>
      </c>
      <c r="U8" s="19">
        <f t="shared" si="1228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20"/>
        <v>228488.66358400413</v>
      </c>
      <c r="F9" s="13">
        <v>12677</v>
      </c>
      <c r="G9" s="13">
        <v>213875</v>
      </c>
      <c r="H9" s="13">
        <v>0</v>
      </c>
      <c r="I9" s="16">
        <f t="shared" si="1221"/>
        <v>12677</v>
      </c>
      <c r="J9" s="17">
        <f t="shared" si="1222"/>
        <v>0</v>
      </c>
      <c r="K9" s="18">
        <f t="shared" si="1223"/>
        <v>228488.66358400413</v>
      </c>
      <c r="L9" s="19">
        <f t="shared" si="1224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25"/>
        <v>0</v>
      </c>
      <c r="S9" s="35">
        <f t="shared" si="1226"/>
        <v>226552</v>
      </c>
      <c r="T9" s="35">
        <f t="shared" si="1227"/>
        <v>12677</v>
      </c>
      <c r="U9" s="19">
        <f t="shared" si="1228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20"/>
        <v>1223670.2193699379</v>
      </c>
      <c r="F10" s="13">
        <v>0</v>
      </c>
      <c r="G10" s="13">
        <v>0</v>
      </c>
      <c r="H10" s="13">
        <v>0</v>
      </c>
      <c r="I10" s="16">
        <f t="shared" si="1221"/>
        <v>0</v>
      </c>
      <c r="J10" s="17">
        <f t="shared" si="1222"/>
        <v>563987</v>
      </c>
      <c r="K10" s="18">
        <f t="shared" si="1223"/>
        <v>0</v>
      </c>
      <c r="L10" s="19">
        <f>K10/E10</f>
        <v>0</v>
      </c>
      <c r="M10" s="34">
        <v>0</v>
      </c>
      <c r="N10" s="58">
        <v>0</v>
      </c>
      <c r="O10" s="34">
        <v>273000</v>
      </c>
      <c r="P10" s="34">
        <v>310000</v>
      </c>
      <c r="Q10" s="34">
        <v>0</v>
      </c>
      <c r="R10" s="34">
        <f t="shared" si="1225"/>
        <v>583000</v>
      </c>
      <c r="S10" s="35">
        <f>G10+I10+R10</f>
        <v>583000</v>
      </c>
      <c r="T10" s="35">
        <f t="shared" si="1227"/>
        <v>19013</v>
      </c>
      <c r="U10" s="19">
        <f t="shared" si="1228"/>
        <v>1.0337117699521443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20"/>
        <v>135151.23701809259</v>
      </c>
      <c r="F11" s="13">
        <v>135586</v>
      </c>
      <c r="G11" s="13">
        <v>0</v>
      </c>
      <c r="H11" s="13">
        <v>86918</v>
      </c>
      <c r="I11" s="16">
        <f t="shared" si="1221"/>
        <v>222504</v>
      </c>
      <c r="J11" s="17">
        <f t="shared" si="1222"/>
        <v>86918</v>
      </c>
      <c r="K11" s="18">
        <f>+G11*N13</f>
        <v>0</v>
      </c>
      <c r="L11" s="19">
        <v>0</v>
      </c>
      <c r="M11" s="34">
        <v>0</v>
      </c>
      <c r="N11" s="58">
        <v>0</v>
      </c>
      <c r="O11" s="34">
        <v>222000</v>
      </c>
      <c r="P11" s="34">
        <v>0</v>
      </c>
      <c r="Q11" s="34">
        <v>0</v>
      </c>
      <c r="R11" s="34">
        <f t="shared" si="1225"/>
        <v>222000</v>
      </c>
      <c r="S11" s="35">
        <f t="shared" si="1226"/>
        <v>444504</v>
      </c>
      <c r="T11" s="35">
        <f t="shared" si="1227"/>
        <v>357586</v>
      </c>
      <c r="U11" s="19">
        <f t="shared" si="1228"/>
        <v>5.1140615292574614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20"/>
        <v>0</v>
      </c>
      <c r="F12" s="13">
        <v>0</v>
      </c>
      <c r="G12" s="13">
        <v>0</v>
      </c>
      <c r="H12" s="13">
        <v>0</v>
      </c>
      <c r="I12" s="16">
        <f t="shared" si="1221"/>
        <v>0</v>
      </c>
      <c r="J12" s="17">
        <f t="shared" si="1222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25"/>
        <v>0</v>
      </c>
      <c r="S12" s="35">
        <f t="shared" si="1226"/>
        <v>0</v>
      </c>
      <c r="T12" s="35">
        <f t="shared" si="1227"/>
        <v>0</v>
      </c>
      <c r="U12" s="19" t="e">
        <f t="shared" si="122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20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22"/>
        <v>0</v>
      </c>
      <c r="K13" s="18">
        <f t="shared" si="122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25"/>
        <v>0</v>
      </c>
      <c r="S13" s="35">
        <f t="shared" si="1226"/>
        <v>0</v>
      </c>
      <c r="T13" s="35">
        <f t="shared" si="1227"/>
        <v>0</v>
      </c>
      <c r="U13" s="19" t="e">
        <f t="shared" si="1228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20"/>
        <v>245445.56</v>
      </c>
      <c r="F14" s="13">
        <v>0</v>
      </c>
      <c r="G14" s="13">
        <v>0</v>
      </c>
      <c r="H14" s="13">
        <v>0</v>
      </c>
      <c r="I14" s="16">
        <f t="shared" si="1221"/>
        <v>0</v>
      </c>
      <c r="J14" s="17">
        <f t="shared" si="1222"/>
        <v>26506</v>
      </c>
      <c r="K14" s="18">
        <f t="shared" si="122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25"/>
        <v>0</v>
      </c>
      <c r="S14" s="35">
        <f t="shared" si="1226"/>
        <v>0</v>
      </c>
      <c r="T14" s="35">
        <f t="shared" si="1227"/>
        <v>-26506</v>
      </c>
      <c r="U14" s="19">
        <f t="shared" si="1228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20"/>
        <v>150798.87533348153</v>
      </c>
      <c r="F15" s="13">
        <v>26636</v>
      </c>
      <c r="G15" s="13">
        <v>0</v>
      </c>
      <c r="H15" s="13">
        <v>0</v>
      </c>
      <c r="I15" s="16">
        <f>F15+H15</f>
        <v>26636</v>
      </c>
      <c r="J15" s="17">
        <f t="shared" si="1222"/>
        <v>16870</v>
      </c>
      <c r="K15" s="18">
        <f t="shared" si="122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25"/>
        <v>0</v>
      </c>
      <c r="S15" s="35">
        <f t="shared" si="1226"/>
        <v>26636</v>
      </c>
      <c r="T15" s="35">
        <f t="shared" si="1227"/>
        <v>9766</v>
      </c>
      <c r="U15" s="19">
        <f t="shared" si="1228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20"/>
        <v>0</v>
      </c>
      <c r="F16" s="13">
        <v>0</v>
      </c>
      <c r="G16" s="33">
        <v>0</v>
      </c>
      <c r="H16" s="13">
        <v>0</v>
      </c>
      <c r="I16" s="16">
        <f t="shared" si="1221"/>
        <v>0</v>
      </c>
      <c r="J16" s="17">
        <f t="shared" si="1222"/>
        <v>0</v>
      </c>
      <c r="K16" s="18">
        <f t="shared" ref="K16:K18" si="1229">+G16*D16</f>
        <v>0</v>
      </c>
      <c r="L16" s="19" t="e">
        <f t="shared" ref="L16:L21" si="1230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25"/>
        <v>0</v>
      </c>
      <c r="S16" s="35">
        <f t="shared" si="1226"/>
        <v>0</v>
      </c>
      <c r="T16" s="35">
        <f t="shared" si="1227"/>
        <v>0</v>
      </c>
      <c r="U16" s="19" t="e">
        <f t="shared" si="1228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20"/>
        <v>0</v>
      </c>
      <c r="F17" s="13">
        <v>0</v>
      </c>
      <c r="G17" s="33">
        <v>0</v>
      </c>
      <c r="H17" s="13">
        <v>0</v>
      </c>
      <c r="I17" s="16">
        <f t="shared" si="1221"/>
        <v>0</v>
      </c>
      <c r="J17" s="17">
        <f t="shared" si="1222"/>
        <v>0</v>
      </c>
      <c r="K17" s="18">
        <f t="shared" si="1229"/>
        <v>0</v>
      </c>
      <c r="L17" s="19" t="e">
        <f t="shared" si="123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25"/>
        <v>0</v>
      </c>
      <c r="S17" s="35">
        <f t="shared" si="1226"/>
        <v>0</v>
      </c>
      <c r="T17" s="35">
        <f t="shared" si="1227"/>
        <v>0</v>
      </c>
      <c r="U17" s="19" t="e">
        <f t="shared" si="1228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20"/>
        <v>0</v>
      </c>
      <c r="F18" s="13">
        <v>0</v>
      </c>
      <c r="G18" s="33">
        <v>0</v>
      </c>
      <c r="H18" s="13">
        <v>0</v>
      </c>
      <c r="I18" s="16">
        <f t="shared" si="1221"/>
        <v>0</v>
      </c>
      <c r="J18" s="17">
        <f t="shared" si="1222"/>
        <v>0</v>
      </c>
      <c r="K18" s="18">
        <f t="shared" si="1229"/>
        <v>0</v>
      </c>
      <c r="L18" s="19" t="e">
        <f t="shared" si="1230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25"/>
        <v>0</v>
      </c>
      <c r="S18" s="35">
        <f t="shared" si="1226"/>
        <v>0</v>
      </c>
      <c r="T18" s="35">
        <f t="shared" si="1227"/>
        <v>0</v>
      </c>
      <c r="U18" s="19" t="e">
        <f t="shared" si="1228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20"/>
        <v>0</v>
      </c>
      <c r="F19" s="13">
        <v>0</v>
      </c>
      <c r="G19" s="13">
        <v>0</v>
      </c>
      <c r="H19" s="13">
        <v>0</v>
      </c>
      <c r="I19" s="16">
        <f t="shared" si="1221"/>
        <v>0</v>
      </c>
      <c r="J19" s="17">
        <f t="shared" si="1222"/>
        <v>0</v>
      </c>
      <c r="K19" s="18">
        <f t="shared" si="1223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25"/>
        <v>0</v>
      </c>
      <c r="S19" s="35">
        <f t="shared" si="1226"/>
        <v>0</v>
      </c>
      <c r="T19" s="35">
        <f t="shared" si="1227"/>
        <v>0</v>
      </c>
      <c r="U19" s="19" t="e">
        <f t="shared" si="1228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20"/>
        <v>0</v>
      </c>
      <c r="F20" s="13">
        <v>0</v>
      </c>
      <c r="G20" s="13">
        <v>0</v>
      </c>
      <c r="H20" s="13">
        <v>0</v>
      </c>
      <c r="I20" s="16">
        <f t="shared" si="1221"/>
        <v>0</v>
      </c>
      <c r="J20" s="17">
        <f t="shared" si="1222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25"/>
        <v>0</v>
      </c>
      <c r="S20" s="35">
        <f t="shared" si="1226"/>
        <v>0</v>
      </c>
      <c r="T20" s="35">
        <f t="shared" si="1227"/>
        <v>0</v>
      </c>
      <c r="U20" s="19" t="e">
        <f t="shared" si="1228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31">SUM(E3:E20)</f>
        <v>5508854.3482640292</v>
      </c>
      <c r="F21" s="24">
        <f>SUM(F3:F20)</f>
        <v>587133</v>
      </c>
      <c r="G21" s="24">
        <f t="shared" si="1231"/>
        <v>1410646</v>
      </c>
      <c r="H21" s="24">
        <f t="shared" si="1231"/>
        <v>387615</v>
      </c>
      <c r="I21" s="25">
        <f>SUM(I3:I20)</f>
        <v>974748</v>
      </c>
      <c r="J21" s="26">
        <f>SUM(J3:J20)</f>
        <v>2047373</v>
      </c>
      <c r="K21" s="26">
        <f>SUM(K3:K20)</f>
        <v>1934657.194206296</v>
      </c>
      <c r="L21" s="27">
        <f t="shared" si="1230"/>
        <v>0.35119047843694623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25"/>
        <v>1</v>
      </c>
      <c r="S21" s="35">
        <f t="shared" si="1226"/>
        <v>2385395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5008F-001B-46F5-A14C-00970053003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3800CC-00F3-42C3-B5B5-0005001B00E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4B00AF-0092-4EBD-B596-005600E4004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9F003A-00A4-4062-8564-004500FD00E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DB00B2-0098-40EC-B9C8-000900D100F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F800AE-0075-4AAA-9DDA-00A900B700B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860062-00A4-4797-8385-00F50005005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400A3-00BE-4E4C-81EF-008400A700A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F90057-00E4-4345-AFB5-003100AD008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CF003E-001E-4076-8B1D-006F0000009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7A0040-0049-4AD8-B9AF-00E60033002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110080-0021-4882-A1E7-007E00C400F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11" activeCellId="0" sqref="A11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208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32">C3*D3</f>
        <v>1128368.7435578119</v>
      </c>
      <c r="F3" s="13">
        <v>55805</v>
      </c>
      <c r="G3" s="44">
        <v>279663</v>
      </c>
      <c r="H3" s="13">
        <v>36835</v>
      </c>
      <c r="I3" s="16">
        <f t="shared" ref="I3:I20" si="1233">F3+H3</f>
        <v>92640</v>
      </c>
      <c r="J3" s="17">
        <f t="shared" ref="J3:J20" si="1234">C3-G3</f>
        <v>110455</v>
      </c>
      <c r="K3" s="18">
        <f t="shared" ref="K3:K19" si="1235">+G3*D3</f>
        <v>808891.12506884674</v>
      </c>
      <c r="L3" s="19">
        <f t="shared" ref="L3:L9" si="1236">K3/E3</f>
        <v>0.7168677169471801</v>
      </c>
      <c r="M3" s="67">
        <v>0</v>
      </c>
      <c r="N3" s="58">
        <v>0</v>
      </c>
      <c r="O3" s="34">
        <v>74000</v>
      </c>
      <c r="P3" s="34">
        <v>95000</v>
      </c>
      <c r="Q3" s="34">
        <v>0</v>
      </c>
      <c r="R3" s="34">
        <f t="shared" ref="R3:R21" si="1237">M3+N3+O3+P3+Q3</f>
        <v>169000</v>
      </c>
      <c r="S3" s="35">
        <f t="shared" ref="S3:S21" si="1238">G3+I3+R3</f>
        <v>541303</v>
      </c>
      <c r="T3" s="35">
        <f t="shared" ref="T3:T20" si="1239">S3-C3</f>
        <v>151185</v>
      </c>
      <c r="U3" s="19">
        <f t="shared" ref="U3:U20" si="1240">S3/C3</f>
        <v>1.3875365914928304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32"/>
        <v>977200.76471682987</v>
      </c>
      <c r="F4" s="13">
        <v>293206</v>
      </c>
      <c r="G4" s="13">
        <v>297495</v>
      </c>
      <c r="H4" s="13">
        <v>0</v>
      </c>
      <c r="I4" s="16">
        <f t="shared" si="1233"/>
        <v>293206</v>
      </c>
      <c r="J4" s="17">
        <f t="shared" si="1234"/>
        <v>452505</v>
      </c>
      <c r="K4" s="18">
        <f t="shared" si="1235"/>
        <v>387616.45533257769</v>
      </c>
      <c r="L4" s="19">
        <f t="shared" si="1236"/>
        <v>0.39665999999999996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37"/>
        <v>0</v>
      </c>
      <c r="S4" s="35">
        <f t="shared" si="1238"/>
        <v>590701</v>
      </c>
      <c r="T4" s="35">
        <f t="shared" si="1239"/>
        <v>-159299</v>
      </c>
      <c r="U4" s="19">
        <f t="shared" si="1240"/>
        <v>0.78760133333333338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32"/>
        <v>197921.27837314666</v>
      </c>
      <c r="F5" s="13">
        <v>0</v>
      </c>
      <c r="G5" s="13">
        <v>0</v>
      </c>
      <c r="H5" s="13">
        <v>0</v>
      </c>
      <c r="I5" s="16">
        <f t="shared" si="1233"/>
        <v>0</v>
      </c>
      <c r="J5" s="17">
        <f t="shared" si="1234"/>
        <v>42286</v>
      </c>
      <c r="K5" s="18">
        <f t="shared" si="1235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37"/>
        <v>0</v>
      </c>
      <c r="S5" s="35">
        <f t="shared" si="1238"/>
        <v>0</v>
      </c>
      <c r="T5" s="35">
        <f t="shared" si="1239"/>
        <v>-42286</v>
      </c>
      <c r="U5" s="19">
        <f t="shared" si="1240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32"/>
        <v>534318.75335641147</v>
      </c>
      <c r="F6" s="13">
        <v>0</v>
      </c>
      <c r="G6" s="44">
        <v>0</v>
      </c>
      <c r="H6" s="44">
        <v>0</v>
      </c>
      <c r="I6" s="16">
        <f t="shared" si="1233"/>
        <v>0</v>
      </c>
      <c r="J6" s="17">
        <f t="shared" si="1234"/>
        <v>467459</v>
      </c>
      <c r="K6" s="18">
        <f t="shared" si="1235"/>
        <v>0</v>
      </c>
      <c r="L6" s="19">
        <f t="shared" si="1236"/>
        <v>0</v>
      </c>
      <c r="M6" s="34">
        <v>0</v>
      </c>
      <c r="N6" s="58">
        <v>0</v>
      </c>
      <c r="O6" s="34">
        <v>220000</v>
      </c>
      <c r="P6" s="34">
        <v>189000</v>
      </c>
      <c r="Q6" s="69">
        <v>63000</v>
      </c>
      <c r="R6" s="34">
        <f t="shared" si="1237"/>
        <v>472000</v>
      </c>
      <c r="S6" s="35">
        <f t="shared" si="1238"/>
        <v>472000</v>
      </c>
      <c r="T6" s="35">
        <f t="shared" si="1239"/>
        <v>4541</v>
      </c>
      <c r="U6" s="19">
        <f t="shared" si="1240"/>
        <v>1.0097142209263272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32"/>
        <v>285402.62647715659</v>
      </c>
      <c r="F7" s="13">
        <v>265931</v>
      </c>
      <c r="G7" s="44">
        <v>385613</v>
      </c>
      <c r="H7" s="13">
        <v>47862</v>
      </c>
      <c r="I7" s="16">
        <f t="shared" si="1233"/>
        <v>313793</v>
      </c>
      <c r="J7" s="17">
        <f t="shared" si="1234"/>
        <v>64387</v>
      </c>
      <c r="K7" s="18">
        <f t="shared" si="1235"/>
        <v>244566.58445274617</v>
      </c>
      <c r="L7" s="19">
        <f t="shared" si="1236"/>
        <v>0.85691777777777778</v>
      </c>
      <c r="M7" s="34">
        <v>0</v>
      </c>
      <c r="N7" s="58">
        <v>0</v>
      </c>
      <c r="O7" s="34">
        <v>264000</v>
      </c>
      <c r="P7" s="34">
        <v>0</v>
      </c>
      <c r="Q7" s="34">
        <v>0</v>
      </c>
      <c r="R7" s="34">
        <f t="shared" si="1237"/>
        <v>264000</v>
      </c>
      <c r="S7" s="35">
        <f t="shared" si="1238"/>
        <v>963406</v>
      </c>
      <c r="T7" s="35">
        <f t="shared" si="1239"/>
        <v>513406</v>
      </c>
      <c r="U7" s="19">
        <f t="shared" si="1240"/>
        <v>2.140902222222222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32"/>
        <v>402087.62647715665</v>
      </c>
      <c r="F8" s="44">
        <v>63223</v>
      </c>
      <c r="G8" s="13">
        <v>450000</v>
      </c>
      <c r="H8" s="44">
        <v>0</v>
      </c>
      <c r="I8" s="16">
        <f t="shared" si="1233"/>
        <v>63223</v>
      </c>
      <c r="J8" s="17">
        <f t="shared" si="1234"/>
        <v>0</v>
      </c>
      <c r="K8" s="18">
        <f t="shared" si="1235"/>
        <v>402087.62647715665</v>
      </c>
      <c r="L8" s="19">
        <f t="shared" si="1236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37"/>
        <v>440000</v>
      </c>
      <c r="S8" s="35">
        <f t="shared" si="1238"/>
        <v>953223</v>
      </c>
      <c r="T8" s="35">
        <f t="shared" si="1239"/>
        <v>503223</v>
      </c>
      <c r="U8" s="19">
        <f t="shared" si="1240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32"/>
        <v>228488.66358400413</v>
      </c>
      <c r="F9" s="13">
        <v>12677</v>
      </c>
      <c r="G9" s="13">
        <v>213875</v>
      </c>
      <c r="H9" s="13">
        <v>0</v>
      </c>
      <c r="I9" s="16">
        <f t="shared" si="1233"/>
        <v>12677</v>
      </c>
      <c r="J9" s="17">
        <f t="shared" si="1234"/>
        <v>0</v>
      </c>
      <c r="K9" s="18">
        <f t="shared" si="1235"/>
        <v>228488.66358400413</v>
      </c>
      <c r="L9" s="19">
        <f t="shared" si="1236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37"/>
        <v>0</v>
      </c>
      <c r="S9" s="35">
        <f t="shared" si="1238"/>
        <v>226552</v>
      </c>
      <c r="T9" s="35">
        <f t="shared" si="1239"/>
        <v>12677</v>
      </c>
      <c r="U9" s="19">
        <f t="shared" si="1240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32"/>
        <v>1223670.2193699379</v>
      </c>
      <c r="F10" s="13">
        <v>0</v>
      </c>
      <c r="G10" s="13">
        <v>0</v>
      </c>
      <c r="H10" s="13">
        <v>0</v>
      </c>
      <c r="I10" s="16">
        <f t="shared" si="1233"/>
        <v>0</v>
      </c>
      <c r="J10" s="17">
        <f t="shared" si="1234"/>
        <v>563987</v>
      </c>
      <c r="K10" s="18">
        <f t="shared" si="1235"/>
        <v>0</v>
      </c>
      <c r="L10" s="19">
        <f>K10/E10</f>
        <v>0</v>
      </c>
      <c r="M10" s="34">
        <v>0</v>
      </c>
      <c r="N10" s="58">
        <v>0</v>
      </c>
      <c r="O10" s="34">
        <v>273000</v>
      </c>
      <c r="P10" s="34">
        <v>310000</v>
      </c>
      <c r="Q10" s="34">
        <v>0</v>
      </c>
      <c r="R10" s="34">
        <f t="shared" si="1237"/>
        <v>583000</v>
      </c>
      <c r="S10" s="35">
        <f>G10+I10+R10</f>
        <v>583000</v>
      </c>
      <c r="T10" s="35">
        <f t="shared" si="1239"/>
        <v>19013</v>
      </c>
      <c r="U10" s="19">
        <f t="shared" si="1240"/>
        <v>1.0337117699521443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32"/>
        <v>135151.23701809259</v>
      </c>
      <c r="F11" s="13">
        <v>135586</v>
      </c>
      <c r="G11" s="13">
        <v>0</v>
      </c>
      <c r="H11" s="13">
        <v>86918</v>
      </c>
      <c r="I11" s="16">
        <f t="shared" si="1233"/>
        <v>222504</v>
      </c>
      <c r="J11" s="17">
        <f t="shared" si="1234"/>
        <v>86918</v>
      </c>
      <c r="K11" s="18">
        <f>+G11*N13</f>
        <v>0</v>
      </c>
      <c r="L11" s="19">
        <v>0</v>
      </c>
      <c r="M11" s="34">
        <v>0</v>
      </c>
      <c r="N11" s="58">
        <v>0</v>
      </c>
      <c r="O11" s="34">
        <v>222000</v>
      </c>
      <c r="P11" s="34">
        <v>0</v>
      </c>
      <c r="Q11" s="34">
        <v>0</v>
      </c>
      <c r="R11" s="34">
        <f t="shared" si="1237"/>
        <v>222000</v>
      </c>
      <c r="S11" s="35">
        <f t="shared" si="1238"/>
        <v>444504</v>
      </c>
      <c r="T11" s="35">
        <f t="shared" si="1239"/>
        <v>357586</v>
      </c>
      <c r="U11" s="19">
        <f t="shared" si="1240"/>
        <v>5.1140615292574614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32"/>
        <v>0</v>
      </c>
      <c r="F12" s="13">
        <v>0</v>
      </c>
      <c r="G12" s="13">
        <v>0</v>
      </c>
      <c r="H12" s="13">
        <v>0</v>
      </c>
      <c r="I12" s="16">
        <f t="shared" si="1233"/>
        <v>0</v>
      </c>
      <c r="J12" s="17">
        <f t="shared" si="1234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37"/>
        <v>0</v>
      </c>
      <c r="S12" s="35">
        <f t="shared" si="1238"/>
        <v>0</v>
      </c>
      <c r="T12" s="35">
        <f t="shared" si="1239"/>
        <v>0</v>
      </c>
      <c r="U12" s="19" t="e">
        <f t="shared" si="124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32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34"/>
        <v>0</v>
      </c>
      <c r="K13" s="18">
        <f t="shared" si="123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37"/>
        <v>0</v>
      </c>
      <c r="S13" s="35">
        <f t="shared" si="1238"/>
        <v>0</v>
      </c>
      <c r="T13" s="35">
        <f t="shared" si="1239"/>
        <v>0</v>
      </c>
      <c r="U13" s="19" t="e">
        <f t="shared" si="1240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32"/>
        <v>245445.56</v>
      </c>
      <c r="F14" s="13">
        <v>0</v>
      </c>
      <c r="G14" s="13">
        <v>0</v>
      </c>
      <c r="H14" s="13">
        <v>0</v>
      </c>
      <c r="I14" s="16">
        <f t="shared" si="1233"/>
        <v>0</v>
      </c>
      <c r="J14" s="17">
        <f t="shared" si="1234"/>
        <v>26506</v>
      </c>
      <c r="K14" s="18">
        <f t="shared" si="123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37"/>
        <v>0</v>
      </c>
      <c r="S14" s="35">
        <f t="shared" si="1238"/>
        <v>0</v>
      </c>
      <c r="T14" s="35">
        <f t="shared" si="1239"/>
        <v>-26506</v>
      </c>
      <c r="U14" s="19">
        <f t="shared" si="1240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32"/>
        <v>150798.87533348153</v>
      </c>
      <c r="F15" s="13">
        <v>26636</v>
      </c>
      <c r="G15" s="13">
        <v>0</v>
      </c>
      <c r="H15" s="13">
        <v>0</v>
      </c>
      <c r="I15" s="16">
        <f>F15+H15</f>
        <v>26636</v>
      </c>
      <c r="J15" s="17">
        <f t="shared" si="1234"/>
        <v>16870</v>
      </c>
      <c r="K15" s="18">
        <f t="shared" si="123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37"/>
        <v>0</v>
      </c>
      <c r="S15" s="35">
        <f t="shared" si="1238"/>
        <v>26636</v>
      </c>
      <c r="T15" s="35">
        <f t="shared" si="1239"/>
        <v>9766</v>
      </c>
      <c r="U15" s="19">
        <f t="shared" si="1240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32"/>
        <v>0</v>
      </c>
      <c r="F16" s="13">
        <v>0</v>
      </c>
      <c r="G16" s="33">
        <v>0</v>
      </c>
      <c r="H16" s="13">
        <v>0</v>
      </c>
      <c r="I16" s="16">
        <f t="shared" si="1233"/>
        <v>0</v>
      </c>
      <c r="J16" s="17">
        <f t="shared" si="1234"/>
        <v>0</v>
      </c>
      <c r="K16" s="18">
        <f t="shared" ref="K16:K18" si="1241">+G16*D16</f>
        <v>0</v>
      </c>
      <c r="L16" s="19" t="e">
        <f t="shared" ref="L16:L21" si="1242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37"/>
        <v>0</v>
      </c>
      <c r="S16" s="35">
        <f t="shared" si="1238"/>
        <v>0</v>
      </c>
      <c r="T16" s="35">
        <f t="shared" si="1239"/>
        <v>0</v>
      </c>
      <c r="U16" s="19" t="e">
        <f t="shared" si="1240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32"/>
        <v>0</v>
      </c>
      <c r="F17" s="13">
        <v>0</v>
      </c>
      <c r="G17" s="33">
        <v>0</v>
      </c>
      <c r="H17" s="13">
        <v>0</v>
      </c>
      <c r="I17" s="16">
        <f t="shared" si="1233"/>
        <v>0</v>
      </c>
      <c r="J17" s="17">
        <f t="shared" si="1234"/>
        <v>0</v>
      </c>
      <c r="K17" s="18">
        <f t="shared" si="1241"/>
        <v>0</v>
      </c>
      <c r="L17" s="19" t="e">
        <f t="shared" si="124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37"/>
        <v>0</v>
      </c>
      <c r="S17" s="35">
        <f t="shared" si="1238"/>
        <v>0</v>
      </c>
      <c r="T17" s="35">
        <f t="shared" si="1239"/>
        <v>0</v>
      </c>
      <c r="U17" s="19" t="e">
        <f t="shared" si="1240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32"/>
        <v>0</v>
      </c>
      <c r="F18" s="13">
        <v>0</v>
      </c>
      <c r="G18" s="33">
        <v>0</v>
      </c>
      <c r="H18" s="13">
        <v>0</v>
      </c>
      <c r="I18" s="16">
        <f t="shared" si="1233"/>
        <v>0</v>
      </c>
      <c r="J18" s="17">
        <f t="shared" si="1234"/>
        <v>0</v>
      </c>
      <c r="K18" s="18">
        <f t="shared" si="1241"/>
        <v>0</v>
      </c>
      <c r="L18" s="19" t="e">
        <f t="shared" si="1242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37"/>
        <v>0</v>
      </c>
      <c r="S18" s="35">
        <f t="shared" si="1238"/>
        <v>0</v>
      </c>
      <c r="T18" s="35">
        <f t="shared" si="1239"/>
        <v>0</v>
      </c>
      <c r="U18" s="19" t="e">
        <f t="shared" si="1240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32"/>
        <v>0</v>
      </c>
      <c r="F19" s="13">
        <v>0</v>
      </c>
      <c r="G19" s="13">
        <v>0</v>
      </c>
      <c r="H19" s="13">
        <v>0</v>
      </c>
      <c r="I19" s="16">
        <f t="shared" si="1233"/>
        <v>0</v>
      </c>
      <c r="J19" s="17">
        <f t="shared" si="1234"/>
        <v>0</v>
      </c>
      <c r="K19" s="18">
        <f t="shared" si="1235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37"/>
        <v>0</v>
      </c>
      <c r="S19" s="35">
        <f t="shared" si="1238"/>
        <v>0</v>
      </c>
      <c r="T19" s="35">
        <f t="shared" si="1239"/>
        <v>0</v>
      </c>
      <c r="U19" s="19" t="e">
        <f t="shared" si="1240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32"/>
        <v>0</v>
      </c>
      <c r="F20" s="13">
        <v>0</v>
      </c>
      <c r="G20" s="13">
        <v>0</v>
      </c>
      <c r="H20" s="13">
        <v>0</v>
      </c>
      <c r="I20" s="16">
        <f t="shared" si="1233"/>
        <v>0</v>
      </c>
      <c r="J20" s="17">
        <f t="shared" si="1234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37"/>
        <v>0</v>
      </c>
      <c r="S20" s="35">
        <f t="shared" si="1238"/>
        <v>0</v>
      </c>
      <c r="T20" s="35">
        <f t="shared" si="1239"/>
        <v>0</v>
      </c>
      <c r="U20" s="19" t="e">
        <f t="shared" si="1240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43">SUM(E3:E20)</f>
        <v>5508854.3482640292</v>
      </c>
      <c r="F21" s="24">
        <f>SUM(F3:F20)</f>
        <v>853064</v>
      </c>
      <c r="G21" s="24">
        <f t="shared" si="1243"/>
        <v>1626646</v>
      </c>
      <c r="H21" s="24">
        <f t="shared" si="1243"/>
        <v>171615</v>
      </c>
      <c r="I21" s="25">
        <f>SUM(I3:I20)</f>
        <v>1024679</v>
      </c>
      <c r="J21" s="26">
        <f>SUM(J3:J20)</f>
        <v>1831373</v>
      </c>
      <c r="K21" s="26">
        <f>SUM(K3:K20)</f>
        <v>2071650.4549153312</v>
      </c>
      <c r="L21" s="27">
        <f t="shared" si="1242"/>
        <v>0.37605830975875365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37"/>
        <v>1</v>
      </c>
      <c r="S21" s="35">
        <f t="shared" si="1238"/>
        <v>2651326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31000D-00E4-4896-A25D-008D00B200C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BD002A-00B5-4B9A-8F90-0077007C00E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4A003B-00B8-4A59-B26F-0078001000E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A90011-0007-4ADA-9AEB-008600B9007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660080-00CA-4D82-9896-00BD009E00B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96009E-00EB-4DAD-ABCA-00C100F8004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4C009F-0092-41CF-9A22-0057001600F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E500CF-005C-472C-845B-004B0025004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9C00E3-00B5-4B56-B02E-0034008C00F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A00F1-001C-4A8F-BB9A-007D00A400A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6004D-007E-4BDB-B823-00DF0048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000B6-001B-42F5-8BB4-004C009900A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24" activeCellId="0" sqref="H2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209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44">C3*D3</f>
        <v>1128368.7435578119</v>
      </c>
      <c r="F3" s="13">
        <v>55805</v>
      </c>
      <c r="G3" s="44">
        <v>316498</v>
      </c>
      <c r="H3" s="13">
        <v>0</v>
      </c>
      <c r="I3" s="16">
        <f t="shared" ref="I3:I20" si="1245">F3+H3</f>
        <v>55805</v>
      </c>
      <c r="J3" s="17">
        <f t="shared" ref="J3:J20" si="1246">C3-G3</f>
        <v>73620</v>
      </c>
      <c r="K3" s="18">
        <f t="shared" ref="K3:K19" si="1247">+G3*D3</f>
        <v>915431.8708661492</v>
      </c>
      <c r="L3" s="19">
        <f t="shared" ref="L3:L9" si="1248">K3/E3</f>
        <v>0.81128786674800968</v>
      </c>
      <c r="M3" s="67">
        <v>0</v>
      </c>
      <c r="N3" s="58">
        <v>0</v>
      </c>
      <c r="O3" s="34">
        <v>0</v>
      </c>
      <c r="P3" s="34">
        <v>55500</v>
      </c>
      <c r="Q3" s="69">
        <v>55500</v>
      </c>
      <c r="R3" s="34">
        <f t="shared" ref="R3:R21" si="1249">M3+N3+O3+P3+Q3</f>
        <v>111000</v>
      </c>
      <c r="S3" s="35">
        <f t="shared" ref="S3:S21" si="1250">G3+I3+R3</f>
        <v>483303</v>
      </c>
      <c r="T3" s="35">
        <f t="shared" ref="T3:T20" si="1251">S3-C3</f>
        <v>93185</v>
      </c>
      <c r="U3" s="19">
        <f t="shared" ref="U3:U20" si="1252">S3/C3</f>
        <v>1.2388636258772987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44"/>
        <v>977200.76471682987</v>
      </c>
      <c r="F4" s="13">
        <v>222914</v>
      </c>
      <c r="G4" s="13">
        <v>297495</v>
      </c>
      <c r="H4" s="13">
        <v>70292</v>
      </c>
      <c r="I4" s="16">
        <f t="shared" si="1245"/>
        <v>293206</v>
      </c>
      <c r="J4" s="17">
        <f t="shared" si="1246"/>
        <v>452505</v>
      </c>
      <c r="K4" s="18">
        <f t="shared" si="1247"/>
        <v>387616.45533257769</v>
      </c>
      <c r="L4" s="19">
        <f t="shared" si="1248"/>
        <v>0.39665999999999996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49"/>
        <v>0</v>
      </c>
      <c r="S4" s="35">
        <f t="shared" si="1250"/>
        <v>590701</v>
      </c>
      <c r="T4" s="35">
        <f t="shared" si="1251"/>
        <v>-159299</v>
      </c>
      <c r="U4" s="19">
        <f t="shared" si="1252"/>
        <v>0.78760133333333338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44"/>
        <v>197921.27837314666</v>
      </c>
      <c r="F5" s="13">
        <v>0</v>
      </c>
      <c r="G5" s="13">
        <v>0</v>
      </c>
      <c r="H5" s="13">
        <v>0</v>
      </c>
      <c r="I5" s="16">
        <f t="shared" si="1245"/>
        <v>0</v>
      </c>
      <c r="J5" s="17">
        <f t="shared" si="1246"/>
        <v>42286</v>
      </c>
      <c r="K5" s="18">
        <f t="shared" si="1247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49"/>
        <v>0</v>
      </c>
      <c r="S5" s="35">
        <f t="shared" si="1250"/>
        <v>0</v>
      </c>
      <c r="T5" s="35">
        <f t="shared" si="1251"/>
        <v>-42286</v>
      </c>
      <c r="U5" s="19">
        <f t="shared" si="1252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44"/>
        <v>534318.75335641147</v>
      </c>
      <c r="F6" s="13">
        <v>0</v>
      </c>
      <c r="G6" s="44">
        <v>0</v>
      </c>
      <c r="H6" s="44">
        <v>0</v>
      </c>
      <c r="I6" s="16">
        <f t="shared" si="1245"/>
        <v>0</v>
      </c>
      <c r="J6" s="17">
        <f t="shared" si="1246"/>
        <v>467459</v>
      </c>
      <c r="K6" s="18">
        <f t="shared" si="1247"/>
        <v>0</v>
      </c>
      <c r="L6" s="19">
        <f t="shared" si="1248"/>
        <v>0</v>
      </c>
      <c r="M6" s="34">
        <v>0</v>
      </c>
      <c r="N6" s="58">
        <v>0</v>
      </c>
      <c r="O6" s="34">
        <v>126000</v>
      </c>
      <c r="P6" s="34">
        <v>346000</v>
      </c>
      <c r="Q6" s="34">
        <v>0</v>
      </c>
      <c r="R6" s="34">
        <f t="shared" si="1249"/>
        <v>472000</v>
      </c>
      <c r="S6" s="35">
        <f t="shared" si="1250"/>
        <v>472000</v>
      </c>
      <c r="T6" s="35">
        <f t="shared" si="1251"/>
        <v>4541</v>
      </c>
      <c r="U6" s="19">
        <f t="shared" si="1252"/>
        <v>1.0097142209263272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44"/>
        <v>285402.62647715659</v>
      </c>
      <c r="F7" s="13">
        <v>265931</v>
      </c>
      <c r="G7" s="44">
        <v>433475</v>
      </c>
      <c r="H7" s="13">
        <v>0</v>
      </c>
      <c r="I7" s="16">
        <f t="shared" si="1245"/>
        <v>265931</v>
      </c>
      <c r="J7" s="17">
        <f t="shared" si="1246"/>
        <v>16525</v>
      </c>
      <c r="K7" s="18">
        <f t="shared" si="1247"/>
        <v>274922.00780485652</v>
      </c>
      <c r="L7" s="19">
        <f t="shared" si="1248"/>
        <v>0.96327777777777768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1249"/>
        <v>0</v>
      </c>
      <c r="S7" s="35">
        <f t="shared" si="1250"/>
        <v>699406</v>
      </c>
      <c r="T7" s="35">
        <f t="shared" si="1251"/>
        <v>249406</v>
      </c>
      <c r="U7" s="19">
        <f t="shared" si="1252"/>
        <v>1.5542355555555556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44"/>
        <v>402087.62647715665</v>
      </c>
      <c r="F8" s="44">
        <v>63223</v>
      </c>
      <c r="G8" s="13">
        <v>450000</v>
      </c>
      <c r="H8" s="44">
        <v>0</v>
      </c>
      <c r="I8" s="16">
        <f t="shared" si="1245"/>
        <v>63223</v>
      </c>
      <c r="J8" s="17">
        <f t="shared" si="1246"/>
        <v>0</v>
      </c>
      <c r="K8" s="18">
        <f t="shared" si="1247"/>
        <v>402087.62647715665</v>
      </c>
      <c r="L8" s="19">
        <f t="shared" si="1248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49"/>
        <v>440000</v>
      </c>
      <c r="S8" s="35">
        <f t="shared" si="1250"/>
        <v>953223</v>
      </c>
      <c r="T8" s="35">
        <f t="shared" si="1251"/>
        <v>503223</v>
      </c>
      <c r="U8" s="19">
        <f t="shared" si="1252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44"/>
        <v>228488.66358400413</v>
      </c>
      <c r="F9" s="13">
        <v>12677</v>
      </c>
      <c r="G9" s="13">
        <v>213875</v>
      </c>
      <c r="H9" s="13">
        <v>0</v>
      </c>
      <c r="I9" s="16">
        <f t="shared" si="1245"/>
        <v>12677</v>
      </c>
      <c r="J9" s="17">
        <f t="shared" si="1246"/>
        <v>0</v>
      </c>
      <c r="K9" s="18">
        <f t="shared" si="1247"/>
        <v>228488.66358400413</v>
      </c>
      <c r="L9" s="19">
        <f t="shared" si="1248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49"/>
        <v>0</v>
      </c>
      <c r="S9" s="35">
        <f t="shared" si="1250"/>
        <v>226552</v>
      </c>
      <c r="T9" s="35">
        <f t="shared" si="1251"/>
        <v>12677</v>
      </c>
      <c r="U9" s="19">
        <f t="shared" si="1252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44"/>
        <v>1223670.2193699379</v>
      </c>
      <c r="F10" s="13">
        <v>0</v>
      </c>
      <c r="G10" s="13">
        <v>39000</v>
      </c>
      <c r="H10" s="13">
        <v>0</v>
      </c>
      <c r="I10" s="16">
        <f t="shared" si="1245"/>
        <v>0</v>
      </c>
      <c r="J10" s="17">
        <f t="shared" si="1246"/>
        <v>524987</v>
      </c>
      <c r="K10" s="18">
        <f t="shared" si="1247"/>
        <v>84617.444294686909</v>
      </c>
      <c r="L10" s="19">
        <f>K10/E10</f>
        <v>0.069150530065409319</v>
      </c>
      <c r="M10" s="34">
        <v>0</v>
      </c>
      <c r="N10" s="58">
        <v>0</v>
      </c>
      <c r="O10" s="34">
        <v>0</v>
      </c>
      <c r="P10" s="34">
        <v>39000</v>
      </c>
      <c r="Q10" s="34">
        <v>0</v>
      </c>
      <c r="R10" s="34">
        <f t="shared" si="1249"/>
        <v>39000</v>
      </c>
      <c r="S10" s="35">
        <f>G10+I10+R10</f>
        <v>78000</v>
      </c>
      <c r="T10" s="35">
        <f t="shared" si="1251"/>
        <v>-485987</v>
      </c>
      <c r="U10" s="19">
        <f t="shared" si="1252"/>
        <v>0.13830106013081861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44"/>
        <v>135151.23701809259</v>
      </c>
      <c r="F11" s="13">
        <v>135586</v>
      </c>
      <c r="G11" s="13">
        <v>86918</v>
      </c>
      <c r="H11" s="13">
        <v>0</v>
      </c>
      <c r="I11" s="16">
        <f t="shared" si="1245"/>
        <v>135586</v>
      </c>
      <c r="J11" s="17">
        <f t="shared" si="1246"/>
        <v>0</v>
      </c>
      <c r="K11" s="18">
        <f>D11*G11</f>
        <v>135151.23701809259</v>
      </c>
      <c r="L11" s="19">
        <v>0</v>
      </c>
      <c r="M11" s="34">
        <v>0</v>
      </c>
      <c r="N11" s="58">
        <v>0</v>
      </c>
      <c r="O11" s="34">
        <v>222000</v>
      </c>
      <c r="P11" s="34">
        <v>0</v>
      </c>
      <c r="Q11" s="34">
        <v>0</v>
      </c>
      <c r="R11" s="34">
        <f t="shared" si="1249"/>
        <v>222000</v>
      </c>
      <c r="S11" s="35">
        <f t="shared" si="1250"/>
        <v>444504</v>
      </c>
      <c r="T11" s="35">
        <f t="shared" si="1251"/>
        <v>357586</v>
      </c>
      <c r="U11" s="19">
        <f t="shared" si="1252"/>
        <v>5.1140615292574614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44"/>
        <v>0</v>
      </c>
      <c r="F12" s="13">
        <v>0</v>
      </c>
      <c r="G12" s="13">
        <v>0</v>
      </c>
      <c r="H12" s="13">
        <v>0</v>
      </c>
      <c r="I12" s="16">
        <f t="shared" si="1245"/>
        <v>0</v>
      </c>
      <c r="J12" s="17">
        <f t="shared" si="1246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49"/>
        <v>0</v>
      </c>
      <c r="S12" s="35">
        <f t="shared" si="1250"/>
        <v>0</v>
      </c>
      <c r="T12" s="35">
        <f t="shared" si="1251"/>
        <v>0</v>
      </c>
      <c r="U12" s="19" t="e">
        <f t="shared" si="1252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44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46"/>
        <v>0</v>
      </c>
      <c r="K13" s="18">
        <f t="shared" si="124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49"/>
        <v>0</v>
      </c>
      <c r="S13" s="35">
        <f t="shared" si="1250"/>
        <v>0</v>
      </c>
      <c r="T13" s="35">
        <f t="shared" si="1251"/>
        <v>0</v>
      </c>
      <c r="U13" s="19" t="e">
        <f t="shared" si="1252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44"/>
        <v>245445.56</v>
      </c>
      <c r="F14" s="13">
        <v>0</v>
      </c>
      <c r="G14" s="13">
        <v>0</v>
      </c>
      <c r="H14" s="13">
        <v>0</v>
      </c>
      <c r="I14" s="16">
        <f t="shared" si="1245"/>
        <v>0</v>
      </c>
      <c r="J14" s="17">
        <f t="shared" si="1246"/>
        <v>26506</v>
      </c>
      <c r="K14" s="18">
        <f t="shared" si="124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49"/>
        <v>0</v>
      </c>
      <c r="S14" s="35">
        <f t="shared" si="1250"/>
        <v>0</v>
      </c>
      <c r="T14" s="35">
        <f t="shared" si="1251"/>
        <v>-26506</v>
      </c>
      <c r="U14" s="19">
        <f t="shared" si="1252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44"/>
        <v>150798.87533348153</v>
      </c>
      <c r="F15" s="13">
        <v>0</v>
      </c>
      <c r="G15" s="13">
        <v>0</v>
      </c>
      <c r="H15" s="13">
        <v>26636</v>
      </c>
      <c r="I15" s="16">
        <f>F15+H15</f>
        <v>26636</v>
      </c>
      <c r="J15" s="17">
        <f t="shared" si="1246"/>
        <v>16870</v>
      </c>
      <c r="K15" s="18">
        <f t="shared" si="124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49"/>
        <v>0</v>
      </c>
      <c r="S15" s="35">
        <f t="shared" si="1250"/>
        <v>26636</v>
      </c>
      <c r="T15" s="35">
        <f t="shared" si="1251"/>
        <v>9766</v>
      </c>
      <c r="U15" s="19">
        <f t="shared" si="1252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44"/>
        <v>0</v>
      </c>
      <c r="F16" s="13">
        <v>0</v>
      </c>
      <c r="G16" s="33">
        <v>0</v>
      </c>
      <c r="H16" s="13">
        <v>0</v>
      </c>
      <c r="I16" s="16">
        <f t="shared" si="1245"/>
        <v>0</v>
      </c>
      <c r="J16" s="17">
        <f t="shared" si="1246"/>
        <v>0</v>
      </c>
      <c r="K16" s="18">
        <f t="shared" ref="K16:K18" si="1253">+G16*D16</f>
        <v>0</v>
      </c>
      <c r="L16" s="19" t="e">
        <f t="shared" ref="L16:L21" si="1254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49"/>
        <v>0</v>
      </c>
      <c r="S16" s="35">
        <f t="shared" si="1250"/>
        <v>0</v>
      </c>
      <c r="T16" s="35">
        <f t="shared" si="1251"/>
        <v>0</v>
      </c>
      <c r="U16" s="19" t="e">
        <f t="shared" si="1252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44"/>
        <v>0</v>
      </c>
      <c r="F17" s="13">
        <v>0</v>
      </c>
      <c r="G17" s="33">
        <v>0</v>
      </c>
      <c r="H17" s="13">
        <v>0</v>
      </c>
      <c r="I17" s="16">
        <f t="shared" si="1245"/>
        <v>0</v>
      </c>
      <c r="J17" s="17">
        <f t="shared" si="1246"/>
        <v>0</v>
      </c>
      <c r="K17" s="18">
        <f t="shared" si="1253"/>
        <v>0</v>
      </c>
      <c r="L17" s="19" t="e">
        <f t="shared" si="1254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49"/>
        <v>0</v>
      </c>
      <c r="S17" s="35">
        <f t="shared" si="1250"/>
        <v>0</v>
      </c>
      <c r="T17" s="35">
        <f t="shared" si="1251"/>
        <v>0</v>
      </c>
      <c r="U17" s="19" t="e">
        <f t="shared" si="1252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44"/>
        <v>0</v>
      </c>
      <c r="F18" s="13">
        <v>0</v>
      </c>
      <c r="G18" s="33">
        <v>0</v>
      </c>
      <c r="H18" s="13">
        <v>0</v>
      </c>
      <c r="I18" s="16">
        <f t="shared" si="1245"/>
        <v>0</v>
      </c>
      <c r="J18" s="17">
        <f t="shared" si="1246"/>
        <v>0</v>
      </c>
      <c r="K18" s="18">
        <f t="shared" si="1253"/>
        <v>0</v>
      </c>
      <c r="L18" s="19" t="e">
        <f t="shared" si="1254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49"/>
        <v>0</v>
      </c>
      <c r="S18" s="35">
        <f t="shared" si="1250"/>
        <v>0</v>
      </c>
      <c r="T18" s="35">
        <f t="shared" si="1251"/>
        <v>0</v>
      </c>
      <c r="U18" s="19" t="e">
        <f t="shared" si="1252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44"/>
        <v>0</v>
      </c>
      <c r="F19" s="13">
        <v>0</v>
      </c>
      <c r="G19" s="13">
        <v>0</v>
      </c>
      <c r="H19" s="13">
        <v>0</v>
      </c>
      <c r="I19" s="16">
        <f t="shared" si="1245"/>
        <v>0</v>
      </c>
      <c r="J19" s="17">
        <f t="shared" si="1246"/>
        <v>0</v>
      </c>
      <c r="K19" s="18">
        <f t="shared" si="1247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49"/>
        <v>0</v>
      </c>
      <c r="S19" s="35">
        <f t="shared" si="1250"/>
        <v>0</v>
      </c>
      <c r="T19" s="35">
        <f t="shared" si="1251"/>
        <v>0</v>
      </c>
      <c r="U19" s="19" t="e">
        <f t="shared" si="1252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44"/>
        <v>0</v>
      </c>
      <c r="F20" s="13">
        <v>0</v>
      </c>
      <c r="G20" s="13">
        <v>0</v>
      </c>
      <c r="H20" s="13">
        <v>0</v>
      </c>
      <c r="I20" s="16">
        <f t="shared" si="1245"/>
        <v>0</v>
      </c>
      <c r="J20" s="17">
        <f t="shared" si="1246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49"/>
        <v>0</v>
      </c>
      <c r="S20" s="35">
        <f t="shared" si="1250"/>
        <v>0</v>
      </c>
      <c r="T20" s="35">
        <f t="shared" si="1251"/>
        <v>0</v>
      </c>
      <c r="U20" s="19" t="e">
        <f t="shared" si="1252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55">SUM(E3:E20)</f>
        <v>5508854.3482640292</v>
      </c>
      <c r="F21" s="24">
        <f>SUM(F3:F20)</f>
        <v>756136</v>
      </c>
      <c r="G21" s="24">
        <f t="shared" si="1255"/>
        <v>1837261</v>
      </c>
      <c r="H21" s="24">
        <f t="shared" si="1255"/>
        <v>96928</v>
      </c>
      <c r="I21" s="25">
        <f>SUM(I3:I20)</f>
        <v>853064</v>
      </c>
      <c r="J21" s="26">
        <f>SUM(J3:J20)</f>
        <v>1620758</v>
      </c>
      <c r="K21" s="26">
        <f>SUM(K3:K20)</f>
        <v>2428315.3053775239</v>
      </c>
      <c r="L21" s="27">
        <f t="shared" si="1254"/>
        <v>0.44080223434165466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49"/>
        <v>1</v>
      </c>
      <c r="S21" s="35">
        <f t="shared" si="1250"/>
        <v>2690326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4C009A-004F-449F-A372-006C00EA00A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66000D-0098-4D33-835E-00A7001700F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0F00E2-00B5-496B-AA45-006700EC00E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F10033-0095-444A-A8BF-00DF002E004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E3006C-0089-4AEF-9961-00EF00A0008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8B003A-0072-4BAB-92A0-0065001300A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A400D9-0029-4C56-9A4A-004700A1005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CE0093-001B-414E-A7DC-00E800B8005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AB008E-0059-400B-91BE-00ED008200B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C500A3-00B9-4A66-AFBA-007F00F3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A0056-0068-4213-9570-008F00EA005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15003C-009F-4F59-830C-000C003E002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5" activeCellId="0" sqref="J25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210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56">C3*D3</f>
        <v>1128368.7435578119</v>
      </c>
      <c r="F3" s="13">
        <v>0</v>
      </c>
      <c r="G3" s="44">
        <v>372303</v>
      </c>
      <c r="H3" s="13">
        <v>0</v>
      </c>
      <c r="I3" s="16">
        <f t="shared" ref="I3:I20" si="1257">F3+H3</f>
        <v>0</v>
      </c>
      <c r="J3" s="17">
        <f t="shared" ref="J3:J20" si="1258">C3-G3</f>
        <v>17815</v>
      </c>
      <c r="K3" s="18">
        <f t="shared" ref="K3:K19" si="1259">+G3*D3</f>
        <v>1076841.0284396107</v>
      </c>
      <c r="L3" s="19">
        <f t="shared" ref="L3:L9" si="1260">K3/E3</f>
        <v>0.95433432961309139</v>
      </c>
      <c r="M3" s="67">
        <v>0</v>
      </c>
      <c r="N3" s="58">
        <v>0</v>
      </c>
      <c r="O3" s="34">
        <v>0</v>
      </c>
      <c r="P3" s="34">
        <v>55500</v>
      </c>
      <c r="Q3" s="69">
        <v>55500</v>
      </c>
      <c r="R3" s="34">
        <f t="shared" ref="R3:R21" si="1261">M3+N3+O3+P3+Q3</f>
        <v>111000</v>
      </c>
      <c r="S3" s="35">
        <f t="shared" ref="S3:S21" si="1262">G3+I3+R3</f>
        <v>483303</v>
      </c>
      <c r="T3" s="35">
        <f t="shared" ref="T3:T20" si="1263">S3-C3</f>
        <v>93185</v>
      </c>
      <c r="U3" s="19">
        <f t="shared" ref="U3:U20" si="1264">S3/C3</f>
        <v>1.2388636258772987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56"/>
        <v>977200.76471682987</v>
      </c>
      <c r="F4" s="13">
        <v>0</v>
      </c>
      <c r="G4" s="13">
        <v>367787</v>
      </c>
      <c r="H4" s="13">
        <v>222911</v>
      </c>
      <c r="I4" s="16">
        <f t="shared" si="1257"/>
        <v>222911</v>
      </c>
      <c r="J4" s="17">
        <f t="shared" si="1258"/>
        <v>382213</v>
      </c>
      <c r="K4" s="18">
        <f t="shared" si="1259"/>
        <v>479202.31687054492</v>
      </c>
      <c r="L4" s="19">
        <f t="shared" si="1260"/>
        <v>0.49038266666666663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61"/>
        <v>0</v>
      </c>
      <c r="S4" s="35">
        <f t="shared" si="1262"/>
        <v>590698</v>
      </c>
      <c r="T4" s="35">
        <f t="shared" si="1263"/>
        <v>-159302</v>
      </c>
      <c r="U4" s="19">
        <f t="shared" si="1264"/>
        <v>0.78759733333333337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56"/>
        <v>197921.27837314666</v>
      </c>
      <c r="F5" s="13">
        <v>0</v>
      </c>
      <c r="G5" s="13">
        <v>0</v>
      </c>
      <c r="H5" s="13">
        <v>0</v>
      </c>
      <c r="I5" s="16">
        <f t="shared" si="1257"/>
        <v>0</v>
      </c>
      <c r="J5" s="17">
        <f t="shared" si="1258"/>
        <v>42286</v>
      </c>
      <c r="K5" s="18">
        <f t="shared" si="1259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61"/>
        <v>0</v>
      </c>
      <c r="S5" s="35">
        <f t="shared" si="1262"/>
        <v>0</v>
      </c>
      <c r="T5" s="35">
        <f t="shared" si="1263"/>
        <v>-42286</v>
      </c>
      <c r="U5" s="19">
        <f t="shared" si="1264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56"/>
        <v>534318.75335641147</v>
      </c>
      <c r="F6" s="13">
        <v>0</v>
      </c>
      <c r="G6" s="44">
        <v>0</v>
      </c>
      <c r="H6" s="44">
        <v>125924</v>
      </c>
      <c r="I6" s="16">
        <f t="shared" si="1257"/>
        <v>125924</v>
      </c>
      <c r="J6" s="17">
        <f t="shared" si="1258"/>
        <v>467459</v>
      </c>
      <c r="K6" s="18">
        <f t="shared" si="1259"/>
        <v>0</v>
      </c>
      <c r="L6" s="19">
        <f t="shared" si="1260"/>
        <v>0</v>
      </c>
      <c r="M6" s="34">
        <v>0</v>
      </c>
      <c r="N6" s="58">
        <v>0</v>
      </c>
      <c r="O6" s="34">
        <v>126000</v>
      </c>
      <c r="P6" s="34">
        <v>346000</v>
      </c>
      <c r="Q6" s="34">
        <v>0</v>
      </c>
      <c r="R6" s="34">
        <f t="shared" si="1261"/>
        <v>472000</v>
      </c>
      <c r="S6" s="35">
        <f t="shared" si="1262"/>
        <v>597924</v>
      </c>
      <c r="T6" s="35">
        <f t="shared" si="1263"/>
        <v>130465</v>
      </c>
      <c r="U6" s="19">
        <f t="shared" si="1264"/>
        <v>1.2790939954092231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56"/>
        <v>285402.62647715659</v>
      </c>
      <c r="F7" s="13">
        <v>249406</v>
      </c>
      <c r="G7" s="44">
        <v>450000</v>
      </c>
      <c r="H7" s="13">
        <v>0</v>
      </c>
      <c r="I7" s="16">
        <f t="shared" si="1257"/>
        <v>249406</v>
      </c>
      <c r="J7" s="17">
        <f t="shared" si="1258"/>
        <v>0</v>
      </c>
      <c r="K7" s="18">
        <f t="shared" si="1259"/>
        <v>285402.62647715659</v>
      </c>
      <c r="L7" s="19">
        <f t="shared" si="1260"/>
        <v>1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1261"/>
        <v>0</v>
      </c>
      <c r="S7" s="35">
        <f t="shared" si="1262"/>
        <v>699406</v>
      </c>
      <c r="T7" s="35">
        <f t="shared" si="1263"/>
        <v>249406</v>
      </c>
      <c r="U7" s="19">
        <f t="shared" si="1264"/>
        <v>1.5542355555555556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56"/>
        <v>402087.62647715665</v>
      </c>
      <c r="F8" s="44">
        <v>63223</v>
      </c>
      <c r="G8" s="13">
        <v>450000</v>
      </c>
      <c r="H8" s="44">
        <v>0</v>
      </c>
      <c r="I8" s="16">
        <f t="shared" si="1257"/>
        <v>63223</v>
      </c>
      <c r="J8" s="17">
        <f t="shared" si="1258"/>
        <v>0</v>
      </c>
      <c r="K8" s="18">
        <f t="shared" si="1259"/>
        <v>402087.62647715665</v>
      </c>
      <c r="L8" s="19">
        <f t="shared" si="1260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61"/>
        <v>440000</v>
      </c>
      <c r="S8" s="35">
        <f t="shared" si="1262"/>
        <v>953223</v>
      </c>
      <c r="T8" s="35">
        <f t="shared" si="1263"/>
        <v>503223</v>
      </c>
      <c r="U8" s="19">
        <f t="shared" si="1264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56"/>
        <v>228488.66358400413</v>
      </c>
      <c r="F9" s="13">
        <v>12677</v>
      </c>
      <c r="G9" s="13">
        <v>213875</v>
      </c>
      <c r="H9" s="13">
        <v>0</v>
      </c>
      <c r="I9" s="16">
        <f t="shared" si="1257"/>
        <v>12677</v>
      </c>
      <c r="J9" s="17">
        <f t="shared" si="1258"/>
        <v>0</v>
      </c>
      <c r="K9" s="18">
        <f t="shared" si="1259"/>
        <v>228488.66358400413</v>
      </c>
      <c r="L9" s="19">
        <f t="shared" si="1260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61"/>
        <v>0</v>
      </c>
      <c r="S9" s="35">
        <f t="shared" si="1262"/>
        <v>226552</v>
      </c>
      <c r="T9" s="35">
        <f t="shared" si="1263"/>
        <v>12677</v>
      </c>
      <c r="U9" s="19">
        <f t="shared" si="1264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56"/>
        <v>1223670.2193699379</v>
      </c>
      <c r="F10" s="13">
        <v>0</v>
      </c>
      <c r="G10" s="13">
        <v>0</v>
      </c>
      <c r="H10" s="13">
        <v>0</v>
      </c>
      <c r="I10" s="16">
        <f t="shared" si="1257"/>
        <v>0</v>
      </c>
      <c r="J10" s="17">
        <f t="shared" si="1258"/>
        <v>563987</v>
      </c>
      <c r="K10" s="18">
        <f t="shared" si="1259"/>
        <v>0</v>
      </c>
      <c r="L10" s="19">
        <f>K10/E10</f>
        <v>0</v>
      </c>
      <c r="M10" s="34">
        <v>0</v>
      </c>
      <c r="N10" s="58">
        <v>0</v>
      </c>
      <c r="O10" s="34">
        <v>0</v>
      </c>
      <c r="P10" s="34">
        <v>39000</v>
      </c>
      <c r="Q10" s="34">
        <v>0</v>
      </c>
      <c r="R10" s="34">
        <f t="shared" si="1261"/>
        <v>39000</v>
      </c>
      <c r="S10" s="35">
        <f>G10+I10+R10</f>
        <v>39000</v>
      </c>
      <c r="T10" s="35">
        <f t="shared" si="1263"/>
        <v>-524987</v>
      </c>
      <c r="U10" s="19">
        <f t="shared" si="1264"/>
        <v>0.069150530065409305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56"/>
        <v>135151.23701809259</v>
      </c>
      <c r="F11" s="13">
        <v>135586</v>
      </c>
      <c r="G11" s="13">
        <v>86918</v>
      </c>
      <c r="H11" s="13">
        <v>0</v>
      </c>
      <c r="I11" s="16">
        <f t="shared" si="1257"/>
        <v>135586</v>
      </c>
      <c r="J11" s="17">
        <f t="shared" si="1258"/>
        <v>0</v>
      </c>
      <c r="K11" s="18">
        <f>D11*G11</f>
        <v>135151.23701809259</v>
      </c>
      <c r="L11" s="19">
        <v>0</v>
      </c>
      <c r="M11" s="34">
        <v>0</v>
      </c>
      <c r="N11" s="58">
        <v>0</v>
      </c>
      <c r="O11" s="34">
        <v>222000</v>
      </c>
      <c r="P11" s="34">
        <v>0</v>
      </c>
      <c r="Q11" s="34">
        <v>0</v>
      </c>
      <c r="R11" s="34">
        <f t="shared" si="1261"/>
        <v>222000</v>
      </c>
      <c r="S11" s="35">
        <f t="shared" si="1262"/>
        <v>444504</v>
      </c>
      <c r="T11" s="35">
        <f t="shared" si="1263"/>
        <v>357586</v>
      </c>
      <c r="U11" s="19">
        <f t="shared" si="1264"/>
        <v>5.1140615292574614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56"/>
        <v>0</v>
      </c>
      <c r="F12" s="13">
        <v>0</v>
      </c>
      <c r="G12" s="13">
        <v>0</v>
      </c>
      <c r="H12" s="13">
        <v>0</v>
      </c>
      <c r="I12" s="16">
        <f t="shared" si="1257"/>
        <v>0</v>
      </c>
      <c r="J12" s="17">
        <f t="shared" si="1258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61"/>
        <v>0</v>
      </c>
      <c r="S12" s="35">
        <f t="shared" si="1262"/>
        <v>0</v>
      </c>
      <c r="T12" s="35">
        <f t="shared" si="1263"/>
        <v>0</v>
      </c>
      <c r="U12" s="19" t="e">
        <f t="shared" si="1264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56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58"/>
        <v>0</v>
      </c>
      <c r="K13" s="18">
        <f t="shared" si="125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61"/>
        <v>0</v>
      </c>
      <c r="S13" s="35">
        <f t="shared" si="1262"/>
        <v>0</v>
      </c>
      <c r="T13" s="35">
        <f t="shared" si="1263"/>
        <v>0</v>
      </c>
      <c r="U13" s="19" t="e">
        <f t="shared" si="1264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56"/>
        <v>245445.56</v>
      </c>
      <c r="F14" s="13">
        <v>0</v>
      </c>
      <c r="G14" s="13">
        <v>0</v>
      </c>
      <c r="H14" s="13">
        <v>0</v>
      </c>
      <c r="I14" s="16">
        <f t="shared" si="1257"/>
        <v>0</v>
      </c>
      <c r="J14" s="17">
        <f t="shared" si="1258"/>
        <v>26506</v>
      </c>
      <c r="K14" s="18">
        <f t="shared" si="125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61"/>
        <v>0</v>
      </c>
      <c r="S14" s="35">
        <f t="shared" si="1262"/>
        <v>0</v>
      </c>
      <c r="T14" s="35">
        <f t="shared" si="1263"/>
        <v>-26506</v>
      </c>
      <c r="U14" s="19">
        <f t="shared" si="1264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56"/>
        <v>150798.87533348153</v>
      </c>
      <c r="F15" s="13">
        <v>0</v>
      </c>
      <c r="G15" s="13">
        <v>26636</v>
      </c>
      <c r="H15" s="13">
        <v>0</v>
      </c>
      <c r="I15" s="16">
        <f>F15+H15</f>
        <v>0</v>
      </c>
      <c r="J15" s="17">
        <f t="shared" si="1258"/>
        <v>-9766</v>
      </c>
      <c r="K15" s="18">
        <f t="shared" si="1259"/>
        <v>238095.95989227112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61"/>
        <v>0</v>
      </c>
      <c r="S15" s="35">
        <f t="shared" si="1262"/>
        <v>26636</v>
      </c>
      <c r="T15" s="35">
        <f t="shared" si="1263"/>
        <v>9766</v>
      </c>
      <c r="U15" s="19">
        <f t="shared" si="1264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56"/>
        <v>0</v>
      </c>
      <c r="F16" s="13">
        <v>0</v>
      </c>
      <c r="G16" s="33">
        <v>0</v>
      </c>
      <c r="H16" s="13">
        <v>0</v>
      </c>
      <c r="I16" s="16">
        <f t="shared" si="1257"/>
        <v>0</v>
      </c>
      <c r="J16" s="17">
        <f t="shared" si="1258"/>
        <v>0</v>
      </c>
      <c r="K16" s="18">
        <f t="shared" ref="K16:K18" si="1265">+G16*D16</f>
        <v>0</v>
      </c>
      <c r="L16" s="19" t="e">
        <f t="shared" ref="L16:L21" si="1266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61"/>
        <v>0</v>
      </c>
      <c r="S16" s="35">
        <f t="shared" si="1262"/>
        <v>0</v>
      </c>
      <c r="T16" s="35">
        <f t="shared" si="1263"/>
        <v>0</v>
      </c>
      <c r="U16" s="19" t="e">
        <f t="shared" si="1264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56"/>
        <v>0</v>
      </c>
      <c r="F17" s="13">
        <v>0</v>
      </c>
      <c r="G17" s="33">
        <v>0</v>
      </c>
      <c r="H17" s="13">
        <v>0</v>
      </c>
      <c r="I17" s="16">
        <f t="shared" si="1257"/>
        <v>0</v>
      </c>
      <c r="J17" s="17">
        <f t="shared" si="1258"/>
        <v>0</v>
      </c>
      <c r="K17" s="18">
        <f t="shared" si="1265"/>
        <v>0</v>
      </c>
      <c r="L17" s="19" t="e">
        <f t="shared" si="1266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61"/>
        <v>0</v>
      </c>
      <c r="S17" s="35">
        <f t="shared" si="1262"/>
        <v>0</v>
      </c>
      <c r="T17" s="35">
        <f t="shared" si="1263"/>
        <v>0</v>
      </c>
      <c r="U17" s="19" t="e">
        <f t="shared" si="1264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56"/>
        <v>0</v>
      </c>
      <c r="F18" s="13">
        <v>0</v>
      </c>
      <c r="G18" s="33">
        <v>0</v>
      </c>
      <c r="H18" s="13">
        <v>0</v>
      </c>
      <c r="I18" s="16">
        <f t="shared" si="1257"/>
        <v>0</v>
      </c>
      <c r="J18" s="17">
        <f t="shared" si="1258"/>
        <v>0</v>
      </c>
      <c r="K18" s="18">
        <f t="shared" si="1265"/>
        <v>0</v>
      </c>
      <c r="L18" s="19" t="e">
        <f t="shared" si="1266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61"/>
        <v>0</v>
      </c>
      <c r="S18" s="35">
        <f t="shared" si="1262"/>
        <v>0</v>
      </c>
      <c r="T18" s="35">
        <f t="shared" si="1263"/>
        <v>0</v>
      </c>
      <c r="U18" s="19" t="e">
        <f t="shared" si="1264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56"/>
        <v>0</v>
      </c>
      <c r="F19" s="13">
        <v>0</v>
      </c>
      <c r="G19" s="13">
        <v>0</v>
      </c>
      <c r="H19" s="13">
        <v>0</v>
      </c>
      <c r="I19" s="16">
        <f t="shared" si="1257"/>
        <v>0</v>
      </c>
      <c r="J19" s="17">
        <f t="shared" si="1258"/>
        <v>0</v>
      </c>
      <c r="K19" s="18">
        <f t="shared" si="1259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61"/>
        <v>0</v>
      </c>
      <c r="S19" s="35">
        <f t="shared" si="1262"/>
        <v>0</v>
      </c>
      <c r="T19" s="35">
        <f t="shared" si="1263"/>
        <v>0</v>
      </c>
      <c r="U19" s="19" t="e">
        <f t="shared" si="1264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56"/>
        <v>0</v>
      </c>
      <c r="F20" s="13">
        <v>0</v>
      </c>
      <c r="G20" s="13">
        <v>0</v>
      </c>
      <c r="H20" s="13">
        <v>0</v>
      </c>
      <c r="I20" s="16">
        <f t="shared" si="1257"/>
        <v>0</v>
      </c>
      <c r="J20" s="17">
        <f t="shared" si="1258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61"/>
        <v>0</v>
      </c>
      <c r="S20" s="35">
        <f t="shared" si="1262"/>
        <v>0</v>
      </c>
      <c r="T20" s="35">
        <f t="shared" si="1263"/>
        <v>0</v>
      </c>
      <c r="U20" s="19" t="e">
        <f t="shared" si="1264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67">SUM(E3:E20)</f>
        <v>5508854.3482640292</v>
      </c>
      <c r="F21" s="24">
        <f>SUM(F3:F20)</f>
        <v>460892</v>
      </c>
      <c r="G21" s="24">
        <f t="shared" si="1267"/>
        <v>1967519</v>
      </c>
      <c r="H21" s="24">
        <f t="shared" si="1267"/>
        <v>348835</v>
      </c>
      <c r="I21" s="25">
        <f>SUM(I3:I20)</f>
        <v>809727</v>
      </c>
      <c r="J21" s="26">
        <f>SUM(J3:J20)</f>
        <v>1490500</v>
      </c>
      <c r="K21" s="26">
        <f>SUM(K3:K20)</f>
        <v>2845269.4587588366</v>
      </c>
      <c r="L21" s="27">
        <f t="shared" si="1266"/>
        <v>0.51649023170406538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61"/>
        <v>1</v>
      </c>
      <c r="S21" s="35">
        <f t="shared" si="1262"/>
        <v>2777247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F000D7-004E-4783-8F8B-00C0002A002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6B006C-00AA-4810-818C-00070057004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840012-0073-4663-8B04-001D00FB009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DE001F-002F-4ABD-8B42-00F2001E00B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6F00CC-00E1-452D-AACD-000A00DF005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1300B4-0083-4A7E-9BFC-001600D4003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F50066-00CC-4E44-B06E-00BA00D1007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E00085-001F-4D87-913D-0000005800E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A9009B-0089-4071-B144-00BD008F00F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B300EF-00A7-4F35-9465-00F200B2005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000B2-00FB-4576-8897-009500A9007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D100BC-008D-48D2-8E57-000800B2005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4" activeCellId="0" sqref="J2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211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68">C3*D3</f>
        <v>1128368.7435578119</v>
      </c>
      <c r="F3" s="13">
        <v>0</v>
      </c>
      <c r="G3" s="44">
        <v>372303</v>
      </c>
      <c r="H3" s="13">
        <v>0</v>
      </c>
      <c r="I3" s="16">
        <f t="shared" ref="I3:I20" si="1269">F3+H3</f>
        <v>0</v>
      </c>
      <c r="J3" s="17">
        <f t="shared" ref="J3:J20" si="1270">C3-G3</f>
        <v>17815</v>
      </c>
      <c r="K3" s="18">
        <f t="shared" ref="K3:K19" si="1271">+G3*D3</f>
        <v>1076841.0284396107</v>
      </c>
      <c r="L3" s="19">
        <f t="shared" ref="L3:L9" si="1272">K3/E3</f>
        <v>0.95433432961309139</v>
      </c>
      <c r="M3" s="67">
        <v>0</v>
      </c>
      <c r="N3" s="58">
        <v>0</v>
      </c>
      <c r="O3" s="34">
        <v>0</v>
      </c>
      <c r="P3" s="34">
        <v>55500</v>
      </c>
      <c r="Q3" s="69">
        <v>55500</v>
      </c>
      <c r="R3" s="34">
        <f t="shared" ref="R3:R21" si="1273">M3+N3+O3+P3+Q3</f>
        <v>111000</v>
      </c>
      <c r="S3" s="35">
        <f t="shared" ref="S3:S21" si="1274">G3+I3+R3</f>
        <v>483303</v>
      </c>
      <c r="T3" s="35">
        <f t="shared" ref="T3:T20" si="1275">S3-C3</f>
        <v>93185</v>
      </c>
      <c r="U3" s="19">
        <f t="shared" ref="U3:U20" si="1276">S3/C3</f>
        <v>1.2388636258772987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68"/>
        <v>977200.76471682987</v>
      </c>
      <c r="F4" s="13">
        <v>0</v>
      </c>
      <c r="G4" s="13">
        <v>590698</v>
      </c>
      <c r="H4" s="13">
        <v>0</v>
      </c>
      <c r="I4" s="16">
        <f t="shared" si="1269"/>
        <v>0</v>
      </c>
      <c r="J4" s="17">
        <f t="shared" si="1270"/>
        <v>159302</v>
      </c>
      <c r="K4" s="18">
        <f t="shared" si="1271"/>
        <v>769640.71642226924</v>
      </c>
      <c r="L4" s="19">
        <f t="shared" si="1272"/>
        <v>0.78759733333333326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73"/>
        <v>0</v>
      </c>
      <c r="S4" s="35">
        <f t="shared" si="1274"/>
        <v>590698</v>
      </c>
      <c r="T4" s="35">
        <f t="shared" si="1275"/>
        <v>-159302</v>
      </c>
      <c r="U4" s="19">
        <f t="shared" si="1276"/>
        <v>0.78759733333333337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68"/>
        <v>197921.27837314666</v>
      </c>
      <c r="F5" s="13">
        <v>0</v>
      </c>
      <c r="G5" s="13">
        <v>0</v>
      </c>
      <c r="H5" s="13">
        <v>0</v>
      </c>
      <c r="I5" s="16">
        <f t="shared" si="1269"/>
        <v>0</v>
      </c>
      <c r="J5" s="17">
        <f t="shared" si="1270"/>
        <v>42286</v>
      </c>
      <c r="K5" s="18">
        <f t="shared" si="1271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73"/>
        <v>0</v>
      </c>
      <c r="S5" s="35">
        <f t="shared" si="1274"/>
        <v>0</v>
      </c>
      <c r="T5" s="35">
        <f t="shared" si="1275"/>
        <v>-42286</v>
      </c>
      <c r="U5" s="19">
        <f t="shared" si="1276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68"/>
        <v>534318.75335641147</v>
      </c>
      <c r="F6" s="13">
        <v>0</v>
      </c>
      <c r="G6" s="44">
        <v>125924</v>
      </c>
      <c r="H6" s="44">
        <v>0</v>
      </c>
      <c r="I6" s="16">
        <f t="shared" si="1269"/>
        <v>0</v>
      </c>
      <c r="J6" s="17">
        <f t="shared" si="1270"/>
        <v>341535</v>
      </c>
      <c r="K6" s="18">
        <f t="shared" si="1271"/>
        <v>143934.66528113215</v>
      </c>
      <c r="L6" s="19">
        <f t="shared" si="1272"/>
        <v>0.2693797744828958</v>
      </c>
      <c r="M6" s="34">
        <v>0</v>
      </c>
      <c r="N6" s="58">
        <v>0</v>
      </c>
      <c r="O6" s="34">
        <v>0</v>
      </c>
      <c r="P6" s="34">
        <v>346000</v>
      </c>
      <c r="Q6" s="34">
        <v>0</v>
      </c>
      <c r="R6" s="34">
        <f t="shared" si="1273"/>
        <v>346000</v>
      </c>
      <c r="S6" s="35">
        <f t="shared" si="1274"/>
        <v>471924</v>
      </c>
      <c r="T6" s="35">
        <f t="shared" si="1275"/>
        <v>4465</v>
      </c>
      <c r="U6" s="19">
        <f t="shared" si="1276"/>
        <v>1.0095516398229578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68"/>
        <v>285402.62647715659</v>
      </c>
      <c r="F7" s="13">
        <v>249406</v>
      </c>
      <c r="G7" s="44">
        <v>450000</v>
      </c>
      <c r="H7" s="13">
        <v>0</v>
      </c>
      <c r="I7" s="16">
        <f t="shared" si="1269"/>
        <v>249406</v>
      </c>
      <c r="J7" s="17">
        <f t="shared" si="1270"/>
        <v>0</v>
      </c>
      <c r="K7" s="18">
        <f t="shared" si="1271"/>
        <v>285402.62647715659</v>
      </c>
      <c r="L7" s="19">
        <f t="shared" si="1272"/>
        <v>1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1273"/>
        <v>0</v>
      </c>
      <c r="S7" s="35">
        <f t="shared" si="1274"/>
        <v>699406</v>
      </c>
      <c r="T7" s="35">
        <f t="shared" si="1275"/>
        <v>249406</v>
      </c>
      <c r="U7" s="19">
        <f t="shared" si="1276"/>
        <v>1.5542355555555556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68"/>
        <v>402087.62647715665</v>
      </c>
      <c r="F8" s="44">
        <v>63223</v>
      </c>
      <c r="G8" s="13">
        <v>450000</v>
      </c>
      <c r="H8" s="44">
        <v>0</v>
      </c>
      <c r="I8" s="16">
        <f t="shared" si="1269"/>
        <v>63223</v>
      </c>
      <c r="J8" s="17">
        <f t="shared" si="1270"/>
        <v>0</v>
      </c>
      <c r="K8" s="18">
        <f t="shared" si="1271"/>
        <v>402087.62647715665</v>
      </c>
      <c r="L8" s="19">
        <f t="shared" si="1272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73"/>
        <v>440000</v>
      </c>
      <c r="S8" s="35">
        <f t="shared" si="1274"/>
        <v>953223</v>
      </c>
      <c r="T8" s="35">
        <f t="shared" si="1275"/>
        <v>503223</v>
      </c>
      <c r="U8" s="19">
        <f t="shared" si="1276"/>
        <v>2.1182733333333332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68"/>
        <v>228488.66358400413</v>
      </c>
      <c r="F9" s="13">
        <v>12677</v>
      </c>
      <c r="G9" s="13">
        <v>213875</v>
      </c>
      <c r="H9" s="13">
        <v>0</v>
      </c>
      <c r="I9" s="16">
        <f t="shared" si="1269"/>
        <v>12677</v>
      </c>
      <c r="J9" s="17">
        <f t="shared" si="1270"/>
        <v>0</v>
      </c>
      <c r="K9" s="18">
        <f t="shared" si="1271"/>
        <v>228488.66358400413</v>
      </c>
      <c r="L9" s="19">
        <f t="shared" si="1272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73"/>
        <v>0</v>
      </c>
      <c r="S9" s="35">
        <f t="shared" si="1274"/>
        <v>226552</v>
      </c>
      <c r="T9" s="35">
        <f t="shared" si="1275"/>
        <v>12677</v>
      </c>
      <c r="U9" s="19">
        <f t="shared" si="1276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68"/>
        <v>1223670.2193699379</v>
      </c>
      <c r="F10" s="13">
        <v>0</v>
      </c>
      <c r="G10" s="13">
        <v>0</v>
      </c>
      <c r="H10" s="13">
        <v>0</v>
      </c>
      <c r="I10" s="16">
        <f t="shared" si="1269"/>
        <v>0</v>
      </c>
      <c r="J10" s="17">
        <f t="shared" si="1270"/>
        <v>563987</v>
      </c>
      <c r="K10" s="18">
        <f t="shared" si="1271"/>
        <v>0</v>
      </c>
      <c r="L10" s="19">
        <f>K10/E10</f>
        <v>0</v>
      </c>
      <c r="M10" s="34">
        <v>0</v>
      </c>
      <c r="N10" s="58">
        <v>0</v>
      </c>
      <c r="O10" s="34">
        <v>0</v>
      </c>
      <c r="P10" s="34">
        <v>39000</v>
      </c>
      <c r="Q10" s="34">
        <v>0</v>
      </c>
      <c r="R10" s="34">
        <f t="shared" si="1273"/>
        <v>39000</v>
      </c>
      <c r="S10" s="35">
        <f>G10+I10+R10</f>
        <v>39000</v>
      </c>
      <c r="T10" s="35">
        <f t="shared" si="1275"/>
        <v>-524987</v>
      </c>
      <c r="U10" s="19">
        <f t="shared" si="1276"/>
        <v>0.069150530065409305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68"/>
        <v>135151.23701809259</v>
      </c>
      <c r="F11" s="13">
        <v>135586</v>
      </c>
      <c r="G11" s="13">
        <v>86918</v>
      </c>
      <c r="H11" s="13">
        <v>0</v>
      </c>
      <c r="I11" s="16">
        <f t="shared" si="1269"/>
        <v>135586</v>
      </c>
      <c r="J11" s="17">
        <f t="shared" si="1270"/>
        <v>0</v>
      </c>
      <c r="K11" s="18">
        <f>D11*G11</f>
        <v>135151.23701809259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273"/>
        <v>0</v>
      </c>
      <c r="S11" s="35">
        <f t="shared" si="1274"/>
        <v>222504</v>
      </c>
      <c r="T11" s="35">
        <f t="shared" si="1275"/>
        <v>135586</v>
      </c>
      <c r="U11" s="19">
        <f t="shared" si="1276"/>
        <v>2.5599300490117121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68"/>
        <v>0</v>
      </c>
      <c r="F12" s="13">
        <v>0</v>
      </c>
      <c r="G12" s="13">
        <v>0</v>
      </c>
      <c r="H12" s="13">
        <v>0</v>
      </c>
      <c r="I12" s="16">
        <f t="shared" si="1269"/>
        <v>0</v>
      </c>
      <c r="J12" s="17">
        <f t="shared" si="1270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73"/>
        <v>0</v>
      </c>
      <c r="S12" s="35">
        <f t="shared" si="1274"/>
        <v>0</v>
      </c>
      <c r="T12" s="35">
        <f t="shared" si="1275"/>
        <v>0</v>
      </c>
      <c r="U12" s="19" t="e">
        <f t="shared" si="127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68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70"/>
        <v>0</v>
      </c>
      <c r="K13" s="18">
        <f t="shared" si="127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73"/>
        <v>0</v>
      </c>
      <c r="S13" s="35">
        <f t="shared" si="1274"/>
        <v>0</v>
      </c>
      <c r="T13" s="35">
        <f t="shared" si="1275"/>
        <v>0</v>
      </c>
      <c r="U13" s="19" t="e">
        <f t="shared" si="1276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68"/>
        <v>245445.56</v>
      </c>
      <c r="F14" s="13">
        <v>0</v>
      </c>
      <c r="G14" s="13">
        <v>0</v>
      </c>
      <c r="H14" s="13">
        <v>0</v>
      </c>
      <c r="I14" s="16">
        <f t="shared" si="1269"/>
        <v>0</v>
      </c>
      <c r="J14" s="17">
        <f t="shared" si="1270"/>
        <v>26506</v>
      </c>
      <c r="K14" s="18">
        <f t="shared" si="127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73"/>
        <v>0</v>
      </c>
      <c r="S14" s="35">
        <f t="shared" si="1274"/>
        <v>0</v>
      </c>
      <c r="T14" s="35">
        <f t="shared" si="1275"/>
        <v>-26506</v>
      </c>
      <c r="U14" s="19">
        <f t="shared" si="1276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68"/>
        <v>150798.87533348153</v>
      </c>
      <c r="F15" s="13">
        <v>0</v>
      </c>
      <c r="G15" s="13">
        <v>26636</v>
      </c>
      <c r="H15" s="13">
        <v>0</v>
      </c>
      <c r="I15" s="16">
        <f>F15+H15</f>
        <v>0</v>
      </c>
      <c r="J15" s="17">
        <f t="shared" si="1270"/>
        <v>-9766</v>
      </c>
      <c r="K15" s="18">
        <f t="shared" si="1271"/>
        <v>238095.95989227112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73"/>
        <v>0</v>
      </c>
      <c r="S15" s="35">
        <f t="shared" si="1274"/>
        <v>26636</v>
      </c>
      <c r="T15" s="35">
        <f t="shared" si="1275"/>
        <v>9766</v>
      </c>
      <c r="U15" s="19">
        <f t="shared" si="1276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68"/>
        <v>0</v>
      </c>
      <c r="F16" s="13">
        <v>0</v>
      </c>
      <c r="G16" s="33">
        <v>0</v>
      </c>
      <c r="H16" s="13">
        <v>0</v>
      </c>
      <c r="I16" s="16">
        <f t="shared" si="1269"/>
        <v>0</v>
      </c>
      <c r="J16" s="17">
        <f t="shared" si="1270"/>
        <v>0</v>
      </c>
      <c r="K16" s="18">
        <f t="shared" ref="K16:K18" si="1277">+G16*D16</f>
        <v>0</v>
      </c>
      <c r="L16" s="19" t="e">
        <f t="shared" ref="L16:L21" si="1278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73"/>
        <v>0</v>
      </c>
      <c r="S16" s="35">
        <f t="shared" si="1274"/>
        <v>0</v>
      </c>
      <c r="T16" s="35">
        <f t="shared" si="1275"/>
        <v>0</v>
      </c>
      <c r="U16" s="19" t="e">
        <f t="shared" si="1276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68"/>
        <v>0</v>
      </c>
      <c r="F17" s="13">
        <v>0</v>
      </c>
      <c r="G17" s="33">
        <v>0</v>
      </c>
      <c r="H17" s="13">
        <v>0</v>
      </c>
      <c r="I17" s="16">
        <f t="shared" si="1269"/>
        <v>0</v>
      </c>
      <c r="J17" s="17">
        <f t="shared" si="1270"/>
        <v>0</v>
      </c>
      <c r="K17" s="18">
        <f t="shared" si="1277"/>
        <v>0</v>
      </c>
      <c r="L17" s="19" t="e">
        <f t="shared" si="127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73"/>
        <v>0</v>
      </c>
      <c r="S17" s="35">
        <f t="shared" si="1274"/>
        <v>0</v>
      </c>
      <c r="T17" s="35">
        <f t="shared" si="1275"/>
        <v>0</v>
      </c>
      <c r="U17" s="19" t="e">
        <f t="shared" si="1276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68"/>
        <v>0</v>
      </c>
      <c r="F18" s="13">
        <v>0</v>
      </c>
      <c r="G18" s="33">
        <v>0</v>
      </c>
      <c r="H18" s="13">
        <v>0</v>
      </c>
      <c r="I18" s="16">
        <f t="shared" si="1269"/>
        <v>0</v>
      </c>
      <c r="J18" s="17">
        <f t="shared" si="1270"/>
        <v>0</v>
      </c>
      <c r="K18" s="18">
        <f t="shared" si="1277"/>
        <v>0</v>
      </c>
      <c r="L18" s="19" t="e">
        <f t="shared" si="1278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73"/>
        <v>0</v>
      </c>
      <c r="S18" s="35">
        <f t="shared" si="1274"/>
        <v>0</v>
      </c>
      <c r="T18" s="35">
        <f t="shared" si="1275"/>
        <v>0</v>
      </c>
      <c r="U18" s="19" t="e">
        <f t="shared" si="1276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68"/>
        <v>0</v>
      </c>
      <c r="F19" s="13">
        <v>0</v>
      </c>
      <c r="G19" s="13">
        <v>0</v>
      </c>
      <c r="H19" s="13">
        <v>0</v>
      </c>
      <c r="I19" s="16">
        <f t="shared" si="1269"/>
        <v>0</v>
      </c>
      <c r="J19" s="17">
        <f t="shared" si="1270"/>
        <v>0</v>
      </c>
      <c r="K19" s="18">
        <f t="shared" si="1271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73"/>
        <v>0</v>
      </c>
      <c r="S19" s="35">
        <f t="shared" si="1274"/>
        <v>0</v>
      </c>
      <c r="T19" s="35">
        <f t="shared" si="1275"/>
        <v>0</v>
      </c>
      <c r="U19" s="19" t="e">
        <f t="shared" si="1276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68"/>
        <v>0</v>
      </c>
      <c r="F20" s="13">
        <v>0</v>
      </c>
      <c r="G20" s="13">
        <v>0</v>
      </c>
      <c r="H20" s="13">
        <v>0</v>
      </c>
      <c r="I20" s="16">
        <f t="shared" si="1269"/>
        <v>0</v>
      </c>
      <c r="J20" s="17">
        <f t="shared" si="1270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73"/>
        <v>0</v>
      </c>
      <c r="S20" s="35">
        <f t="shared" si="1274"/>
        <v>0</v>
      </c>
      <c r="T20" s="35">
        <f t="shared" si="1275"/>
        <v>0</v>
      </c>
      <c r="U20" s="19" t="e">
        <f t="shared" si="1276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79">SUM(E3:E20)</f>
        <v>5508854.3482640292</v>
      </c>
      <c r="F21" s="24">
        <f>SUM(F3:F20)</f>
        <v>460892</v>
      </c>
      <c r="G21" s="24">
        <f t="shared" si="1279"/>
        <v>2316354</v>
      </c>
      <c r="H21" s="24">
        <f t="shared" si="1279"/>
        <v>0</v>
      </c>
      <c r="I21" s="25">
        <f>SUM(I3:I20)</f>
        <v>460892</v>
      </c>
      <c r="J21" s="26">
        <f>SUM(J3:J20)</f>
        <v>1141665</v>
      </c>
      <c r="K21" s="26">
        <f>SUM(K3:K20)</f>
        <v>3279642.523591693</v>
      </c>
      <c r="L21" s="27">
        <f t="shared" si="1278"/>
        <v>0.59534021345566823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73"/>
        <v>1</v>
      </c>
      <c r="S21" s="35">
        <f t="shared" si="1274"/>
        <v>2777247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600037-0099-4102-BB87-00FD0079001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490033-002B-4BD1-A8D8-003C002A004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1800AB-00B9-40C4-97FC-000600C900D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5D000E-00B0-4F40-B7BF-00F400B3006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F0008B-0023-4DA5-9883-00EB000C002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C70067-00A3-40F2-99D7-007000C7004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920049-00BC-4027-A854-0011006E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16000D-00DE-48ED-9686-00D0003D006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69007F-00CD-461C-BF44-004200F900E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FF004E-00EE-4293-8245-008700EF009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C0016-007A-431C-B699-00300060005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AF00BB-0049-41C4-80EE-003C00E600B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K25" activeCellId="0" sqref="K25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212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80">C3*D3</f>
        <v>1128368.7435578119</v>
      </c>
      <c r="F3" s="13">
        <v>0</v>
      </c>
      <c r="G3" s="44">
        <v>372303</v>
      </c>
      <c r="H3" s="13">
        <v>0</v>
      </c>
      <c r="I3" s="16">
        <f t="shared" ref="I3:I20" si="1281">F3+H3</f>
        <v>0</v>
      </c>
      <c r="J3" s="17">
        <f t="shared" ref="J3:J20" si="1282">C3-G3</f>
        <v>17815</v>
      </c>
      <c r="K3" s="18">
        <f t="shared" ref="K3:K19" si="1283">+G3*D3</f>
        <v>1076841.0284396107</v>
      </c>
      <c r="L3" s="19">
        <f t="shared" ref="L3:L9" si="1284">K3/E3</f>
        <v>0.95433432961309139</v>
      </c>
      <c r="M3" s="67">
        <v>0</v>
      </c>
      <c r="N3" s="58">
        <v>0</v>
      </c>
      <c r="O3" s="34">
        <v>0</v>
      </c>
      <c r="P3" s="34">
        <v>55500</v>
      </c>
      <c r="Q3" s="69">
        <v>55500</v>
      </c>
      <c r="R3" s="34">
        <f t="shared" ref="R3:R21" si="1285">M3+N3+O3+P3+Q3</f>
        <v>111000</v>
      </c>
      <c r="S3" s="35">
        <f t="shared" ref="S3:S21" si="1286">G3+I3+R3</f>
        <v>483303</v>
      </c>
      <c r="T3" s="35">
        <f t="shared" ref="T3:T20" si="1287">S3-C3</f>
        <v>93185</v>
      </c>
      <c r="U3" s="19">
        <f t="shared" ref="U3:U20" si="1288">S3/C3</f>
        <v>1.2388636258772987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80"/>
        <v>977200.76471682987</v>
      </c>
      <c r="F4" s="13">
        <v>0</v>
      </c>
      <c r="G4" s="13">
        <v>590698</v>
      </c>
      <c r="H4" s="13">
        <v>0</v>
      </c>
      <c r="I4" s="16">
        <f t="shared" si="1281"/>
        <v>0</v>
      </c>
      <c r="J4" s="17">
        <f t="shared" si="1282"/>
        <v>159302</v>
      </c>
      <c r="K4" s="18">
        <f t="shared" si="1283"/>
        <v>769640.71642226924</v>
      </c>
      <c r="L4" s="19">
        <f t="shared" si="1284"/>
        <v>0.78759733333333326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85"/>
        <v>0</v>
      </c>
      <c r="S4" s="35">
        <f t="shared" si="1286"/>
        <v>590698</v>
      </c>
      <c r="T4" s="35">
        <f t="shared" si="1287"/>
        <v>-159302</v>
      </c>
      <c r="U4" s="19">
        <f t="shared" si="1288"/>
        <v>0.78759733333333337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80"/>
        <v>197921.27837314666</v>
      </c>
      <c r="F5" s="13">
        <v>0</v>
      </c>
      <c r="G5" s="13">
        <v>0</v>
      </c>
      <c r="H5" s="13">
        <v>0</v>
      </c>
      <c r="I5" s="16">
        <f t="shared" si="1281"/>
        <v>0</v>
      </c>
      <c r="J5" s="17">
        <f t="shared" si="1282"/>
        <v>42286</v>
      </c>
      <c r="K5" s="18">
        <f t="shared" si="1283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85"/>
        <v>0</v>
      </c>
      <c r="S5" s="35">
        <f t="shared" si="1286"/>
        <v>0</v>
      </c>
      <c r="T5" s="35">
        <f t="shared" si="1287"/>
        <v>-42286</v>
      </c>
      <c r="U5" s="19">
        <f t="shared" si="1288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80"/>
        <v>534318.75335641147</v>
      </c>
      <c r="F6" s="13">
        <v>54557</v>
      </c>
      <c r="G6" s="44">
        <v>125924</v>
      </c>
      <c r="H6" s="44">
        <v>125317</v>
      </c>
      <c r="I6" s="16">
        <f t="shared" si="1281"/>
        <v>179874</v>
      </c>
      <c r="J6" s="17">
        <f t="shared" si="1282"/>
        <v>341535</v>
      </c>
      <c r="K6" s="18">
        <f t="shared" si="1283"/>
        <v>143934.66528113215</v>
      </c>
      <c r="L6" s="19">
        <f t="shared" si="1284"/>
        <v>0.2693797744828958</v>
      </c>
      <c r="M6" s="34">
        <v>0</v>
      </c>
      <c r="N6" s="58">
        <v>0</v>
      </c>
      <c r="O6" s="34">
        <v>0</v>
      </c>
      <c r="P6" s="34">
        <v>346000</v>
      </c>
      <c r="Q6" s="34">
        <v>0</v>
      </c>
      <c r="R6" s="34">
        <f t="shared" si="1285"/>
        <v>346000</v>
      </c>
      <c r="S6" s="35">
        <f t="shared" si="1286"/>
        <v>651798</v>
      </c>
      <c r="T6" s="35">
        <f t="shared" si="1287"/>
        <v>184339</v>
      </c>
      <c r="U6" s="19">
        <f t="shared" si="1288"/>
        <v>1.3943426054477506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80"/>
        <v>285402.62647715659</v>
      </c>
      <c r="F7" s="13">
        <v>249406</v>
      </c>
      <c r="G7" s="44">
        <v>450000</v>
      </c>
      <c r="H7" s="13">
        <v>0</v>
      </c>
      <c r="I7" s="16">
        <f t="shared" si="1281"/>
        <v>249406</v>
      </c>
      <c r="J7" s="17">
        <f t="shared" si="1282"/>
        <v>0</v>
      </c>
      <c r="K7" s="18">
        <f t="shared" si="1283"/>
        <v>285402.62647715659</v>
      </c>
      <c r="L7" s="19">
        <f t="shared" si="1284"/>
        <v>1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1285"/>
        <v>0</v>
      </c>
      <c r="S7" s="35">
        <f t="shared" si="1286"/>
        <v>699406</v>
      </c>
      <c r="T7" s="35">
        <f t="shared" si="1287"/>
        <v>249406</v>
      </c>
      <c r="U7" s="19">
        <f t="shared" si="1288"/>
        <v>1.5542355555555556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80"/>
        <v>402087.62647715665</v>
      </c>
      <c r="F8" s="44">
        <v>323136</v>
      </c>
      <c r="G8" s="13">
        <v>450000</v>
      </c>
      <c r="H8" s="44">
        <v>0</v>
      </c>
      <c r="I8" s="16">
        <f t="shared" si="1281"/>
        <v>323136</v>
      </c>
      <c r="J8" s="17">
        <f t="shared" si="1282"/>
        <v>0</v>
      </c>
      <c r="K8" s="18">
        <f t="shared" si="1283"/>
        <v>402087.62647715665</v>
      </c>
      <c r="L8" s="19">
        <f t="shared" si="1284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85"/>
        <v>440000</v>
      </c>
      <c r="S8" s="35">
        <f t="shared" si="1286"/>
        <v>1213136</v>
      </c>
      <c r="T8" s="35">
        <f t="shared" si="1287"/>
        <v>763136</v>
      </c>
      <c r="U8" s="19">
        <f t="shared" si="1288"/>
        <v>2.6958577777777779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80"/>
        <v>228488.66358400413</v>
      </c>
      <c r="F9" s="13">
        <v>12677</v>
      </c>
      <c r="G9" s="13">
        <v>213875</v>
      </c>
      <c r="H9" s="13">
        <v>0</v>
      </c>
      <c r="I9" s="16">
        <f t="shared" si="1281"/>
        <v>12677</v>
      </c>
      <c r="J9" s="17">
        <f t="shared" si="1282"/>
        <v>0</v>
      </c>
      <c r="K9" s="18">
        <f t="shared" si="1283"/>
        <v>228488.66358400413</v>
      </c>
      <c r="L9" s="19">
        <f t="shared" si="1284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85"/>
        <v>0</v>
      </c>
      <c r="S9" s="35">
        <f t="shared" si="1286"/>
        <v>226552</v>
      </c>
      <c r="T9" s="35">
        <f t="shared" si="1287"/>
        <v>12677</v>
      </c>
      <c r="U9" s="19">
        <f t="shared" si="1288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80"/>
        <v>1223670.2193699379</v>
      </c>
      <c r="F10" s="13">
        <v>0</v>
      </c>
      <c r="G10" s="13">
        <v>0</v>
      </c>
      <c r="H10" s="13">
        <v>0</v>
      </c>
      <c r="I10" s="16">
        <f t="shared" si="1281"/>
        <v>0</v>
      </c>
      <c r="J10" s="17">
        <f t="shared" si="1282"/>
        <v>563987</v>
      </c>
      <c r="K10" s="18">
        <f t="shared" si="1283"/>
        <v>0</v>
      </c>
      <c r="L10" s="19">
        <f>K10/E10</f>
        <v>0</v>
      </c>
      <c r="M10" s="34">
        <v>0</v>
      </c>
      <c r="N10" s="58">
        <v>0</v>
      </c>
      <c r="O10" s="34">
        <v>0</v>
      </c>
      <c r="P10" s="34">
        <v>39000</v>
      </c>
      <c r="Q10" s="34">
        <v>0</v>
      </c>
      <c r="R10" s="34">
        <f t="shared" si="1285"/>
        <v>39000</v>
      </c>
      <c r="S10" s="35">
        <f>G10+I10+R10</f>
        <v>39000</v>
      </c>
      <c r="T10" s="35">
        <f t="shared" si="1287"/>
        <v>-524987</v>
      </c>
      <c r="U10" s="19">
        <f t="shared" si="1288"/>
        <v>0.069150530065409305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80"/>
        <v>135151.23701809259</v>
      </c>
      <c r="F11" s="13">
        <v>135586</v>
      </c>
      <c r="G11" s="13">
        <v>86918</v>
      </c>
      <c r="H11" s="13">
        <v>0</v>
      </c>
      <c r="I11" s="16">
        <f t="shared" si="1281"/>
        <v>135586</v>
      </c>
      <c r="J11" s="17">
        <f t="shared" si="1282"/>
        <v>0</v>
      </c>
      <c r="K11" s="18">
        <f>D11*G11</f>
        <v>135151.23701809259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285"/>
        <v>0</v>
      </c>
      <c r="S11" s="35">
        <f t="shared" si="1286"/>
        <v>222504</v>
      </c>
      <c r="T11" s="35">
        <f t="shared" si="1287"/>
        <v>135586</v>
      </c>
      <c r="U11" s="19">
        <f t="shared" si="1288"/>
        <v>2.5599300490117121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80"/>
        <v>0</v>
      </c>
      <c r="F12" s="13">
        <v>0</v>
      </c>
      <c r="G12" s="13">
        <v>0</v>
      </c>
      <c r="H12" s="13">
        <v>0</v>
      </c>
      <c r="I12" s="16">
        <f t="shared" si="1281"/>
        <v>0</v>
      </c>
      <c r="J12" s="17">
        <f t="shared" si="1282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85"/>
        <v>0</v>
      </c>
      <c r="S12" s="35">
        <f t="shared" si="1286"/>
        <v>0</v>
      </c>
      <c r="T12" s="35">
        <f t="shared" si="1287"/>
        <v>0</v>
      </c>
      <c r="U12" s="19" t="e">
        <f t="shared" si="128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80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82"/>
        <v>0</v>
      </c>
      <c r="K13" s="18">
        <f t="shared" si="128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85"/>
        <v>0</v>
      </c>
      <c r="S13" s="35">
        <f t="shared" si="1286"/>
        <v>0</v>
      </c>
      <c r="T13" s="35">
        <f t="shared" si="1287"/>
        <v>0</v>
      </c>
      <c r="U13" s="19" t="e">
        <f t="shared" si="1288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80"/>
        <v>245445.56</v>
      </c>
      <c r="F14" s="13">
        <v>0</v>
      </c>
      <c r="G14" s="13">
        <v>0</v>
      </c>
      <c r="H14" s="13">
        <v>0</v>
      </c>
      <c r="I14" s="16">
        <f t="shared" si="1281"/>
        <v>0</v>
      </c>
      <c r="J14" s="17">
        <f t="shared" si="1282"/>
        <v>26506</v>
      </c>
      <c r="K14" s="18">
        <f t="shared" si="128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85"/>
        <v>0</v>
      </c>
      <c r="S14" s="35">
        <f t="shared" si="1286"/>
        <v>0</v>
      </c>
      <c r="T14" s="35">
        <f t="shared" si="1287"/>
        <v>-26506</v>
      </c>
      <c r="U14" s="19">
        <f t="shared" si="1288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80"/>
        <v>150798.87533348153</v>
      </c>
      <c r="F15" s="13">
        <v>0</v>
      </c>
      <c r="G15" s="13">
        <v>26636</v>
      </c>
      <c r="H15" s="13">
        <v>0</v>
      </c>
      <c r="I15" s="16">
        <f>F15+H15</f>
        <v>0</v>
      </c>
      <c r="J15" s="17">
        <f t="shared" si="1282"/>
        <v>-9766</v>
      </c>
      <c r="K15" s="18">
        <f t="shared" si="1283"/>
        <v>238095.95989227112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85"/>
        <v>0</v>
      </c>
      <c r="S15" s="35">
        <f t="shared" si="1286"/>
        <v>26636</v>
      </c>
      <c r="T15" s="35">
        <f t="shared" si="1287"/>
        <v>9766</v>
      </c>
      <c r="U15" s="19">
        <f t="shared" si="1288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80"/>
        <v>0</v>
      </c>
      <c r="F16" s="13">
        <v>0</v>
      </c>
      <c r="G16" s="33">
        <v>0</v>
      </c>
      <c r="H16" s="13">
        <v>0</v>
      </c>
      <c r="I16" s="16">
        <f t="shared" si="1281"/>
        <v>0</v>
      </c>
      <c r="J16" s="17">
        <f t="shared" si="1282"/>
        <v>0</v>
      </c>
      <c r="K16" s="18">
        <f t="shared" ref="K16:K18" si="1289">+G16*D16</f>
        <v>0</v>
      </c>
      <c r="L16" s="19" t="e">
        <f t="shared" ref="L16:L21" si="1290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85"/>
        <v>0</v>
      </c>
      <c r="S16" s="35">
        <f t="shared" si="1286"/>
        <v>0</v>
      </c>
      <c r="T16" s="35">
        <f t="shared" si="1287"/>
        <v>0</v>
      </c>
      <c r="U16" s="19" t="e">
        <f t="shared" si="1288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80"/>
        <v>0</v>
      </c>
      <c r="F17" s="13">
        <v>0</v>
      </c>
      <c r="G17" s="33">
        <v>0</v>
      </c>
      <c r="H17" s="13">
        <v>0</v>
      </c>
      <c r="I17" s="16">
        <f t="shared" si="1281"/>
        <v>0</v>
      </c>
      <c r="J17" s="17">
        <f t="shared" si="1282"/>
        <v>0</v>
      </c>
      <c r="K17" s="18">
        <f t="shared" si="1289"/>
        <v>0</v>
      </c>
      <c r="L17" s="19" t="e">
        <f t="shared" si="129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85"/>
        <v>0</v>
      </c>
      <c r="S17" s="35">
        <f t="shared" si="1286"/>
        <v>0</v>
      </c>
      <c r="T17" s="35">
        <f t="shared" si="1287"/>
        <v>0</v>
      </c>
      <c r="U17" s="19" t="e">
        <f t="shared" si="1288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80"/>
        <v>0</v>
      </c>
      <c r="F18" s="13">
        <v>0</v>
      </c>
      <c r="G18" s="33">
        <v>0</v>
      </c>
      <c r="H18" s="13">
        <v>0</v>
      </c>
      <c r="I18" s="16">
        <f t="shared" si="1281"/>
        <v>0</v>
      </c>
      <c r="J18" s="17">
        <f t="shared" si="1282"/>
        <v>0</v>
      </c>
      <c r="K18" s="18">
        <f t="shared" si="1289"/>
        <v>0</v>
      </c>
      <c r="L18" s="19" t="e">
        <f t="shared" si="1290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85"/>
        <v>0</v>
      </c>
      <c r="S18" s="35">
        <f t="shared" si="1286"/>
        <v>0</v>
      </c>
      <c r="T18" s="35">
        <f t="shared" si="1287"/>
        <v>0</v>
      </c>
      <c r="U18" s="19" t="e">
        <f t="shared" si="1288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80"/>
        <v>0</v>
      </c>
      <c r="F19" s="13">
        <v>0</v>
      </c>
      <c r="G19" s="13">
        <v>0</v>
      </c>
      <c r="H19" s="13">
        <v>0</v>
      </c>
      <c r="I19" s="16">
        <f t="shared" si="1281"/>
        <v>0</v>
      </c>
      <c r="J19" s="17">
        <f t="shared" si="1282"/>
        <v>0</v>
      </c>
      <c r="K19" s="18">
        <f t="shared" si="1283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85"/>
        <v>0</v>
      </c>
      <c r="S19" s="35">
        <f t="shared" si="1286"/>
        <v>0</v>
      </c>
      <c r="T19" s="35">
        <f t="shared" si="1287"/>
        <v>0</v>
      </c>
      <c r="U19" s="19" t="e">
        <f t="shared" si="1288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80"/>
        <v>0</v>
      </c>
      <c r="F20" s="13">
        <v>0</v>
      </c>
      <c r="G20" s="13">
        <v>0</v>
      </c>
      <c r="H20" s="13">
        <v>0</v>
      </c>
      <c r="I20" s="16">
        <f t="shared" si="1281"/>
        <v>0</v>
      </c>
      <c r="J20" s="17">
        <f t="shared" si="1282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85"/>
        <v>0</v>
      </c>
      <c r="S20" s="35">
        <f t="shared" si="1286"/>
        <v>0</v>
      </c>
      <c r="T20" s="35">
        <f t="shared" si="1287"/>
        <v>0</v>
      </c>
      <c r="U20" s="19" t="e">
        <f t="shared" si="1288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291">SUM(E3:E20)</f>
        <v>5508854.3482640292</v>
      </c>
      <c r="F21" s="24">
        <f>SUM(F3:F20)</f>
        <v>775362</v>
      </c>
      <c r="G21" s="24">
        <f t="shared" si="1291"/>
        <v>2316354</v>
      </c>
      <c r="H21" s="24">
        <f t="shared" si="1291"/>
        <v>125317</v>
      </c>
      <c r="I21" s="25">
        <f>SUM(I3:I20)</f>
        <v>900679</v>
      </c>
      <c r="J21" s="26">
        <f>SUM(J3:J20)</f>
        <v>1141665</v>
      </c>
      <c r="K21" s="26">
        <f>SUM(K3:K20)</f>
        <v>3279642.523591693</v>
      </c>
      <c r="L21" s="27">
        <f t="shared" si="1290"/>
        <v>0.59534021345566823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85"/>
        <v>1</v>
      </c>
      <c r="S21" s="35">
        <f t="shared" si="1286"/>
        <v>3217034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6000C7-00BE-4DCB-AE51-003E00FD004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990040-0036-443D-9441-00E7004E00A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A2003E-0033-48EA-A6F3-001D0070009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06008C-0002-42C4-91D0-0047007A001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36002B-002C-4989-98F7-006500CB000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DE0051-00B7-4948-987E-00770012007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BA00B4-00CF-4AA1-AFAB-0091006E002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D0014-0024-43FD-9616-009800FB004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2100AF-00F3-45A6-9170-00C8007900E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04002D-002A-4FDD-9229-00D90026000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D700F5-00CA-4A8D-995D-001600BE009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A100C0-00FA-4AB1-A852-00E5008D00C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E26" activeCellId="0" sqref="E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213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20" si="1292">C3*D3</f>
        <v>1128368.7435578119</v>
      </c>
      <c r="F3" s="13">
        <v>0</v>
      </c>
      <c r="G3" s="44">
        <v>372303</v>
      </c>
      <c r="H3" s="13">
        <v>0</v>
      </c>
      <c r="I3" s="16">
        <f t="shared" ref="I3:I20" si="1293">F3+H3</f>
        <v>0</v>
      </c>
      <c r="J3" s="17">
        <f t="shared" ref="J3:J20" si="1294">C3-G3</f>
        <v>17815</v>
      </c>
      <c r="K3" s="18">
        <f t="shared" ref="K3:K19" si="1295">+G3*D3</f>
        <v>1076841.0284396107</v>
      </c>
      <c r="L3" s="19">
        <f t="shared" ref="L3:L9" si="1296">K3/E3</f>
        <v>0.95433432961309139</v>
      </c>
      <c r="M3" s="67">
        <v>0</v>
      </c>
      <c r="N3" s="58">
        <v>0</v>
      </c>
      <c r="O3" s="34">
        <v>0</v>
      </c>
      <c r="P3" s="34">
        <v>55500</v>
      </c>
      <c r="Q3" s="69">
        <v>55500</v>
      </c>
      <c r="R3" s="34">
        <f t="shared" ref="R3:R21" si="1297">M3+N3+O3+P3+Q3</f>
        <v>111000</v>
      </c>
      <c r="S3" s="35">
        <f t="shared" ref="S3:S21" si="1298">G3+I3+R3</f>
        <v>483303</v>
      </c>
      <c r="T3" s="35">
        <f t="shared" ref="T3:T20" si="1299">S3-C3</f>
        <v>93185</v>
      </c>
      <c r="U3" s="19">
        <f t="shared" ref="U3:U20" si="1300">S3/C3</f>
        <v>1.2388636258772987</v>
      </c>
    </row>
    <row r="4">
      <c r="A4" s="9" t="s">
        <v>22</v>
      </c>
      <c r="B4" s="9" t="s">
        <v>23</v>
      </c>
      <c r="C4" s="14">
        <v>750000</v>
      </c>
      <c r="D4" s="50">
        <v>1.3029343529557731</v>
      </c>
      <c r="E4" s="14">
        <f t="shared" si="1292"/>
        <v>977200.76471682987</v>
      </c>
      <c r="F4" s="13">
        <v>0</v>
      </c>
      <c r="G4" s="13">
        <v>590698</v>
      </c>
      <c r="H4" s="13">
        <v>0</v>
      </c>
      <c r="I4" s="16">
        <f t="shared" si="1293"/>
        <v>0</v>
      </c>
      <c r="J4" s="17">
        <f t="shared" si="1294"/>
        <v>159302</v>
      </c>
      <c r="K4" s="18">
        <f t="shared" si="1295"/>
        <v>769640.71642226924</v>
      </c>
      <c r="L4" s="19">
        <f t="shared" si="1296"/>
        <v>0.78759733333333326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297"/>
        <v>0</v>
      </c>
      <c r="S4" s="35">
        <f t="shared" si="1298"/>
        <v>590698</v>
      </c>
      <c r="T4" s="35">
        <f t="shared" si="1299"/>
        <v>-159302</v>
      </c>
      <c r="U4" s="19">
        <f t="shared" si="1300"/>
        <v>0.78759733333333337</v>
      </c>
    </row>
    <row r="5">
      <c r="A5" s="9" t="s">
        <v>24</v>
      </c>
      <c r="B5" s="9" t="s">
        <v>25</v>
      </c>
      <c r="C5" s="14">
        <v>42286</v>
      </c>
      <c r="D5" s="11">
        <v>4.6805391470734206</v>
      </c>
      <c r="E5" s="12">
        <f t="shared" si="1292"/>
        <v>197921.27837314666</v>
      </c>
      <c r="F5" s="13">
        <v>0</v>
      </c>
      <c r="G5" s="13">
        <v>0</v>
      </c>
      <c r="H5" s="13">
        <v>0</v>
      </c>
      <c r="I5" s="16">
        <f t="shared" si="1293"/>
        <v>0</v>
      </c>
      <c r="J5" s="17">
        <f t="shared" si="1294"/>
        <v>42286</v>
      </c>
      <c r="K5" s="18">
        <f t="shared" si="1295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297"/>
        <v>0</v>
      </c>
      <c r="S5" s="35">
        <f t="shared" si="1298"/>
        <v>0</v>
      </c>
      <c r="T5" s="35">
        <f t="shared" si="1299"/>
        <v>-42286</v>
      </c>
      <c r="U5" s="19">
        <f t="shared" si="1300"/>
        <v>0</v>
      </c>
    </row>
    <row r="6">
      <c r="A6" s="9" t="s">
        <v>26</v>
      </c>
      <c r="B6" s="9" t="s">
        <v>27</v>
      </c>
      <c r="C6" s="14">
        <v>467459</v>
      </c>
      <c r="D6" s="11">
        <v>1.1430280588381259</v>
      </c>
      <c r="E6" s="12">
        <f t="shared" si="1292"/>
        <v>534318.75335641147</v>
      </c>
      <c r="F6" s="13">
        <v>209900</v>
      </c>
      <c r="G6" s="44">
        <v>251241</v>
      </c>
      <c r="H6" s="44">
        <v>0</v>
      </c>
      <c r="I6" s="16">
        <f t="shared" si="1293"/>
        <v>209900</v>
      </c>
      <c r="J6" s="17">
        <f t="shared" si="1294"/>
        <v>216218</v>
      </c>
      <c r="K6" s="18">
        <f t="shared" si="1295"/>
        <v>287175.5125305496</v>
      </c>
      <c r="L6" s="19">
        <f t="shared" si="1296"/>
        <v>0.53746103936388012</v>
      </c>
      <c r="M6" s="34">
        <v>0</v>
      </c>
      <c r="N6" s="58">
        <v>0</v>
      </c>
      <c r="O6" s="34">
        <v>0</v>
      </c>
      <c r="P6" s="34">
        <v>346000</v>
      </c>
      <c r="Q6" s="34">
        <v>0</v>
      </c>
      <c r="R6" s="34">
        <f t="shared" si="1297"/>
        <v>346000</v>
      </c>
      <c r="S6" s="35">
        <f t="shared" si="1298"/>
        <v>807141</v>
      </c>
      <c r="T6" s="35">
        <f t="shared" si="1299"/>
        <v>339682</v>
      </c>
      <c r="U6" s="19">
        <f t="shared" si="1300"/>
        <v>1.7266562415099507</v>
      </c>
    </row>
    <row r="7">
      <c r="A7" s="9" t="s">
        <v>28</v>
      </c>
      <c r="B7" s="9" t="s">
        <v>29</v>
      </c>
      <c r="C7" s="14">
        <v>450000</v>
      </c>
      <c r="D7" s="11">
        <v>0.63422805883812572</v>
      </c>
      <c r="E7" s="12">
        <f t="shared" si="1292"/>
        <v>285402.62647715659</v>
      </c>
      <c r="F7" s="13">
        <v>249406</v>
      </c>
      <c r="G7" s="44">
        <v>450000</v>
      </c>
      <c r="H7" s="13">
        <v>0</v>
      </c>
      <c r="I7" s="16">
        <f t="shared" si="1293"/>
        <v>249406</v>
      </c>
      <c r="J7" s="17">
        <f t="shared" si="1294"/>
        <v>0</v>
      </c>
      <c r="K7" s="18">
        <f t="shared" si="1295"/>
        <v>285402.62647715659</v>
      </c>
      <c r="L7" s="19">
        <f t="shared" si="1296"/>
        <v>1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1297"/>
        <v>0</v>
      </c>
      <c r="S7" s="35">
        <f t="shared" si="1298"/>
        <v>699406</v>
      </c>
      <c r="T7" s="35">
        <f t="shared" si="1299"/>
        <v>249406</v>
      </c>
      <c r="U7" s="19">
        <f t="shared" si="1300"/>
        <v>1.5542355555555556</v>
      </c>
    </row>
    <row r="8">
      <c r="A8" s="9" t="s">
        <v>30</v>
      </c>
      <c r="B8" s="9" t="s">
        <v>31</v>
      </c>
      <c r="C8" s="14">
        <v>450000</v>
      </c>
      <c r="D8" s="50">
        <v>0.89352805883812592</v>
      </c>
      <c r="E8" s="14">
        <f t="shared" si="1292"/>
        <v>402087.62647715665</v>
      </c>
      <c r="F8" s="44">
        <v>323136</v>
      </c>
      <c r="G8" s="13">
        <v>450000</v>
      </c>
      <c r="H8" s="44">
        <v>0</v>
      </c>
      <c r="I8" s="16">
        <f t="shared" si="1293"/>
        <v>323136</v>
      </c>
      <c r="J8" s="17">
        <f t="shared" si="1294"/>
        <v>0</v>
      </c>
      <c r="K8" s="18">
        <f t="shared" si="1295"/>
        <v>402087.62647715665</v>
      </c>
      <c r="L8" s="19">
        <f t="shared" si="1296"/>
        <v>1</v>
      </c>
      <c r="M8" s="34">
        <v>0</v>
      </c>
      <c r="N8" s="58">
        <v>0</v>
      </c>
      <c r="O8" s="34">
        <v>0</v>
      </c>
      <c r="P8" s="34">
        <v>440000</v>
      </c>
      <c r="Q8" s="34">
        <v>0</v>
      </c>
      <c r="R8" s="34">
        <f t="shared" si="1297"/>
        <v>440000</v>
      </c>
      <c r="S8" s="35">
        <f t="shared" si="1298"/>
        <v>1213136</v>
      </c>
      <c r="T8" s="35">
        <f t="shared" si="1299"/>
        <v>763136</v>
      </c>
      <c r="U8" s="19">
        <f t="shared" si="1300"/>
        <v>2.6958577777777779</v>
      </c>
    </row>
    <row r="9">
      <c r="A9" s="9" t="s">
        <v>32</v>
      </c>
      <c r="B9" s="9" t="s">
        <v>33</v>
      </c>
      <c r="C9" s="14">
        <v>213875</v>
      </c>
      <c r="D9" s="11">
        <v>1.0683280588381256</v>
      </c>
      <c r="E9" s="12">
        <f t="shared" si="1292"/>
        <v>228488.66358400413</v>
      </c>
      <c r="F9" s="13">
        <v>12677</v>
      </c>
      <c r="G9" s="13">
        <v>213875</v>
      </c>
      <c r="H9" s="13">
        <v>0</v>
      </c>
      <c r="I9" s="16">
        <f t="shared" si="1293"/>
        <v>12677</v>
      </c>
      <c r="J9" s="17">
        <f t="shared" si="1294"/>
        <v>0</v>
      </c>
      <c r="K9" s="18">
        <f t="shared" si="1295"/>
        <v>228488.66358400413</v>
      </c>
      <c r="L9" s="19">
        <f t="shared" si="1296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297"/>
        <v>0</v>
      </c>
      <c r="S9" s="35">
        <f t="shared" si="1298"/>
        <v>226552</v>
      </c>
      <c r="T9" s="35">
        <f t="shared" si="1299"/>
        <v>12677</v>
      </c>
      <c r="U9" s="19">
        <f t="shared" si="1300"/>
        <v>1.0592729398012859</v>
      </c>
    </row>
    <row r="10">
      <c r="A10" s="9" t="s">
        <v>34</v>
      </c>
      <c r="B10" s="9" t="s">
        <v>35</v>
      </c>
      <c r="C10" s="14">
        <v>563987</v>
      </c>
      <c r="D10" s="50">
        <v>2.1696780588381257</v>
      </c>
      <c r="E10" s="14">
        <f t="shared" si="1292"/>
        <v>1223670.2193699379</v>
      </c>
      <c r="F10" s="13">
        <v>0</v>
      </c>
      <c r="G10" s="13">
        <v>0</v>
      </c>
      <c r="H10" s="13">
        <v>0</v>
      </c>
      <c r="I10" s="16">
        <f t="shared" si="1293"/>
        <v>0</v>
      </c>
      <c r="J10" s="17">
        <f t="shared" si="1294"/>
        <v>563987</v>
      </c>
      <c r="K10" s="18">
        <f>+G10*D10</f>
        <v>0</v>
      </c>
      <c r="L10" s="19">
        <f>K10/E10</f>
        <v>0</v>
      </c>
      <c r="M10" s="34">
        <v>0</v>
      </c>
      <c r="N10" s="58">
        <v>0</v>
      </c>
      <c r="O10" s="34">
        <v>0</v>
      </c>
      <c r="P10" s="34">
        <v>39000</v>
      </c>
      <c r="Q10" s="34">
        <v>0</v>
      </c>
      <c r="R10" s="34">
        <f t="shared" si="1297"/>
        <v>39000</v>
      </c>
      <c r="S10" s="35">
        <f>G10+I10+R10</f>
        <v>39000</v>
      </c>
      <c r="T10" s="35">
        <f t="shared" si="1299"/>
        <v>-524987</v>
      </c>
      <c r="U10" s="19">
        <f t="shared" si="1300"/>
        <v>0.069150530065409305</v>
      </c>
    </row>
    <row r="11">
      <c r="A11" s="9" t="s">
        <v>36</v>
      </c>
      <c r="B11" s="9" t="s">
        <v>37</v>
      </c>
      <c r="C11" s="14">
        <v>86918</v>
      </c>
      <c r="D11" s="11">
        <v>1.55492805883813</v>
      </c>
      <c r="E11" s="12">
        <f t="shared" si="1292"/>
        <v>135151.23701809259</v>
      </c>
      <c r="F11" s="13">
        <v>135586</v>
      </c>
      <c r="G11" s="13">
        <v>86918</v>
      </c>
      <c r="H11" s="13">
        <v>0</v>
      </c>
      <c r="I11" s="16">
        <f t="shared" si="1293"/>
        <v>135586</v>
      </c>
      <c r="J11" s="17">
        <f t="shared" si="1294"/>
        <v>0</v>
      </c>
      <c r="K11" s="18">
        <f>D11*G11</f>
        <v>135151.23701809259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297"/>
        <v>0</v>
      </c>
      <c r="S11" s="35">
        <f t="shared" si="1298"/>
        <v>222504</v>
      </c>
      <c r="T11" s="35">
        <f t="shared" si="1299"/>
        <v>135586</v>
      </c>
      <c r="U11" s="19">
        <f t="shared" si="1300"/>
        <v>2.5599300490117121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92"/>
        <v>0</v>
      </c>
      <c r="F12" s="13">
        <v>0</v>
      </c>
      <c r="G12" s="13">
        <v>0</v>
      </c>
      <c r="H12" s="13">
        <v>0</v>
      </c>
      <c r="I12" s="16">
        <f t="shared" si="1293"/>
        <v>0</v>
      </c>
      <c r="J12" s="17">
        <f t="shared" si="1294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297"/>
        <v>0</v>
      </c>
      <c r="S12" s="35">
        <f t="shared" si="1298"/>
        <v>0</v>
      </c>
      <c r="T12" s="35">
        <f t="shared" si="1299"/>
        <v>0</v>
      </c>
      <c r="U12" s="19" t="e">
        <f t="shared" si="130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92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294"/>
        <v>0</v>
      </c>
      <c r="K13" s="18">
        <f t="shared" si="129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297"/>
        <v>0</v>
      </c>
      <c r="S13" s="35">
        <f t="shared" si="1298"/>
        <v>0</v>
      </c>
      <c r="T13" s="35">
        <f t="shared" si="1299"/>
        <v>0</v>
      </c>
      <c r="U13" s="19" t="e">
        <f t="shared" si="1300"/>
        <v>#DIV/0!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292"/>
        <v>245445.56</v>
      </c>
      <c r="F14" s="13">
        <v>0</v>
      </c>
      <c r="G14" s="13">
        <v>0</v>
      </c>
      <c r="H14" s="13">
        <v>0</v>
      </c>
      <c r="I14" s="16">
        <f t="shared" si="1293"/>
        <v>0</v>
      </c>
      <c r="J14" s="17">
        <f t="shared" si="1294"/>
        <v>26506</v>
      </c>
      <c r="K14" s="18">
        <f t="shared" si="129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297"/>
        <v>0</v>
      </c>
      <c r="S14" s="35">
        <f t="shared" si="1298"/>
        <v>0</v>
      </c>
      <c r="T14" s="35">
        <f t="shared" si="1299"/>
        <v>-26506</v>
      </c>
      <c r="U14" s="19">
        <f t="shared" si="1300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292"/>
        <v>150798.87533348153</v>
      </c>
      <c r="F15" s="13">
        <v>0</v>
      </c>
      <c r="G15" s="13">
        <v>26636</v>
      </c>
      <c r="H15" s="13">
        <v>0</v>
      </c>
      <c r="I15" s="16">
        <f>F15+H15</f>
        <v>0</v>
      </c>
      <c r="J15" s="17">
        <f t="shared" si="1294"/>
        <v>-9766</v>
      </c>
      <c r="K15" s="18">
        <f t="shared" si="1295"/>
        <v>238095.95989227112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297"/>
        <v>0</v>
      </c>
      <c r="S15" s="35">
        <f t="shared" si="1298"/>
        <v>26636</v>
      </c>
      <c r="T15" s="35">
        <f t="shared" si="1299"/>
        <v>9766</v>
      </c>
      <c r="U15" s="19">
        <f t="shared" si="1300"/>
        <v>1.5788974510966212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292"/>
        <v>0</v>
      </c>
      <c r="F16" s="13">
        <v>0</v>
      </c>
      <c r="G16" s="33">
        <v>0</v>
      </c>
      <c r="H16" s="13">
        <v>0</v>
      </c>
      <c r="I16" s="16">
        <f t="shared" si="1293"/>
        <v>0</v>
      </c>
      <c r="J16" s="17">
        <f t="shared" si="1294"/>
        <v>0</v>
      </c>
      <c r="K16" s="18">
        <f t="shared" ref="K16:K18" si="1301">+G16*D16</f>
        <v>0</v>
      </c>
      <c r="L16" s="19" t="e">
        <f t="shared" ref="L16:L21" si="1302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297"/>
        <v>0</v>
      </c>
      <c r="S16" s="35">
        <f t="shared" si="1298"/>
        <v>0</v>
      </c>
      <c r="T16" s="35">
        <f t="shared" si="1299"/>
        <v>0</v>
      </c>
      <c r="U16" s="19" t="e">
        <f t="shared" si="1300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292"/>
        <v>0</v>
      </c>
      <c r="F17" s="13">
        <v>0</v>
      </c>
      <c r="G17" s="33">
        <v>0</v>
      </c>
      <c r="H17" s="13">
        <v>0</v>
      </c>
      <c r="I17" s="16">
        <f t="shared" si="1293"/>
        <v>0</v>
      </c>
      <c r="J17" s="17">
        <f t="shared" si="1294"/>
        <v>0</v>
      </c>
      <c r="K17" s="18">
        <f t="shared" si="1301"/>
        <v>0</v>
      </c>
      <c r="L17" s="19" t="e">
        <f t="shared" si="130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297"/>
        <v>0</v>
      </c>
      <c r="S17" s="35">
        <f t="shared" si="1298"/>
        <v>0</v>
      </c>
      <c r="T17" s="35">
        <f t="shared" si="1299"/>
        <v>0</v>
      </c>
      <c r="U17" s="19" t="e">
        <f t="shared" si="1300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292"/>
        <v>0</v>
      </c>
      <c r="F18" s="13">
        <v>0</v>
      </c>
      <c r="G18" s="33">
        <v>0</v>
      </c>
      <c r="H18" s="13">
        <v>0</v>
      </c>
      <c r="I18" s="16">
        <f t="shared" si="1293"/>
        <v>0</v>
      </c>
      <c r="J18" s="17">
        <f t="shared" si="1294"/>
        <v>0</v>
      </c>
      <c r="K18" s="18">
        <f t="shared" si="1301"/>
        <v>0</v>
      </c>
      <c r="L18" s="19" t="e">
        <f t="shared" si="1302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297"/>
        <v>0</v>
      </c>
      <c r="S18" s="35">
        <f t="shared" si="1298"/>
        <v>0</v>
      </c>
      <c r="T18" s="35">
        <f t="shared" si="1299"/>
        <v>0</v>
      </c>
      <c r="U18" s="19" t="e">
        <f t="shared" si="1300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292"/>
        <v>0</v>
      </c>
      <c r="F19" s="13">
        <v>0</v>
      </c>
      <c r="G19" s="13">
        <v>0</v>
      </c>
      <c r="H19" s="13">
        <v>0</v>
      </c>
      <c r="I19" s="16">
        <f t="shared" si="1293"/>
        <v>0</v>
      </c>
      <c r="J19" s="17">
        <f t="shared" si="1294"/>
        <v>0</v>
      </c>
      <c r="K19" s="18">
        <f t="shared" si="1295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297"/>
        <v>0</v>
      </c>
      <c r="S19" s="35">
        <f t="shared" si="1298"/>
        <v>0</v>
      </c>
      <c r="T19" s="35">
        <f t="shared" si="1299"/>
        <v>0</v>
      </c>
      <c r="U19" s="19" t="e">
        <f t="shared" si="1300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292"/>
        <v>0</v>
      </c>
      <c r="F20" s="13">
        <v>0</v>
      </c>
      <c r="G20" s="13">
        <v>0</v>
      </c>
      <c r="H20" s="13">
        <v>0</v>
      </c>
      <c r="I20" s="16">
        <f t="shared" si="1293"/>
        <v>0</v>
      </c>
      <c r="J20" s="17">
        <f t="shared" si="1294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297"/>
        <v>0</v>
      </c>
      <c r="S20" s="35">
        <f t="shared" si="1298"/>
        <v>0</v>
      </c>
      <c r="T20" s="35">
        <f t="shared" si="1299"/>
        <v>0</v>
      </c>
      <c r="U20" s="19" t="e">
        <f t="shared" si="1300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H21" si="1303">SUM(E3:E20)</f>
        <v>5508854.3482640292</v>
      </c>
      <c r="F21" s="24">
        <f>SUM(F3:F20)</f>
        <v>930705</v>
      </c>
      <c r="G21" s="24">
        <f t="shared" si="1303"/>
        <v>2441671</v>
      </c>
      <c r="H21" s="24">
        <f t="shared" si="1303"/>
        <v>0</v>
      </c>
      <c r="I21" s="25">
        <f>SUM(I3:I20)</f>
        <v>930705</v>
      </c>
      <c r="J21" s="26">
        <f>SUM(J3:J20)</f>
        <v>1016348</v>
      </c>
      <c r="K21" s="26">
        <f>SUM(K3:K20)</f>
        <v>3422883.3708411106</v>
      </c>
      <c r="L21" s="27">
        <f t="shared" si="1302"/>
        <v>0.62134214383790021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297"/>
        <v>1</v>
      </c>
      <c r="S21" s="35">
        <f t="shared" si="1298"/>
        <v>3372377</v>
      </c>
      <c r="T21" s="41"/>
    </row>
    <row r="22">
      <c r="B22" s="28"/>
      <c r="C22" s="28"/>
      <c r="D22" s="28"/>
      <c r="E22" s="28"/>
      <c r="K22" t="s">
        <v>64</v>
      </c>
    </row>
    <row r="23">
      <c r="D23" t="s">
        <v>64</v>
      </c>
      <c r="G23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82003A-00C8-467C-8E88-00190089007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D700D0-00FE-423E-881C-00D1001300E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760021-0006-44B1-8BEF-001100E600B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7400E6-00FA-4200-9F96-00390006009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B60082-00C8-4CC8-8B97-008D00FF008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0D00F0-0052-4751-A2B5-0082005300D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9C0060-0077-4408-BE5D-00560002003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1600F2-00C7-4593-9DAF-00E10099007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230045-0098-4E48-9BC7-0016008000C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510049-002D-4E19-AFBA-003D00C700E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9500D4-009B-4517-B419-003B009F002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4200DE-0006-417C-A368-001300B5003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E24" activeCellId="0" sqref="E2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214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19" si="1304">C3*D3</f>
        <v>1128368.7435578119</v>
      </c>
      <c r="F3" s="13">
        <v>36706</v>
      </c>
      <c r="G3" s="44">
        <v>372303</v>
      </c>
      <c r="H3" s="13">
        <v>0</v>
      </c>
      <c r="I3" s="16">
        <f t="shared" ref="I3:I18" si="1305">F3+H3</f>
        <v>36706</v>
      </c>
      <c r="J3" s="17">
        <f t="shared" ref="J3:J18" si="1306">C3-G3</f>
        <v>17815</v>
      </c>
      <c r="K3" s="18">
        <f>+G3*D3</f>
        <v>1076841.0284396107</v>
      </c>
      <c r="L3" s="19">
        <f>K3/E3</f>
        <v>0.95433432961309139</v>
      </c>
      <c r="M3" s="67">
        <v>0</v>
      </c>
      <c r="N3" s="58">
        <v>0</v>
      </c>
      <c r="O3" s="34">
        <v>0</v>
      </c>
      <c r="P3" s="34">
        <v>0</v>
      </c>
      <c r="Q3" s="69">
        <v>55500</v>
      </c>
      <c r="R3" s="34">
        <f t="shared" ref="R3:R18" si="1307">M3+N3+O3+P3+Q3</f>
        <v>55500</v>
      </c>
      <c r="S3" s="35">
        <f t="shared" ref="S3:S18" si="1308">G3+I3+R3</f>
        <v>464509</v>
      </c>
      <c r="T3" s="35">
        <f t="shared" ref="T3:T18" si="1309">S3-C3</f>
        <v>74391</v>
      </c>
      <c r="U3" s="19">
        <f t="shared" ref="U3:U18" si="1310">S3/C3</f>
        <v>1.1906884583638797</v>
      </c>
    </row>
    <row r="4">
      <c r="A4" s="9" t="s">
        <v>36</v>
      </c>
      <c r="B4" s="9" t="s">
        <v>37</v>
      </c>
      <c r="C4" s="14">
        <v>86918</v>
      </c>
      <c r="D4" s="11">
        <v>1.55492805883813</v>
      </c>
      <c r="E4" s="12">
        <f t="shared" si="1304"/>
        <v>135151.23701809259</v>
      </c>
      <c r="F4" s="13">
        <v>135586</v>
      </c>
      <c r="G4" s="13">
        <v>86918</v>
      </c>
      <c r="H4" s="13">
        <v>0</v>
      </c>
      <c r="I4" s="16">
        <f t="shared" si="1305"/>
        <v>135586</v>
      </c>
      <c r="J4" s="17">
        <f t="shared" si="1306"/>
        <v>0</v>
      </c>
      <c r="K4" s="18">
        <f>D4*G4</f>
        <v>135151.23701809259</v>
      </c>
      <c r="L4" s="19"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307"/>
        <v>0</v>
      </c>
      <c r="S4" s="35">
        <f t="shared" si="1308"/>
        <v>222504</v>
      </c>
      <c r="T4" s="35">
        <f t="shared" si="1309"/>
        <v>135586</v>
      </c>
      <c r="U4" s="19">
        <f t="shared" si="1310"/>
        <v>2.5599300490117121</v>
      </c>
    </row>
    <row r="5">
      <c r="A5" s="9" t="s">
        <v>32</v>
      </c>
      <c r="B5" s="9" t="s">
        <v>33</v>
      </c>
      <c r="C5" s="14">
        <v>213875</v>
      </c>
      <c r="D5" s="11">
        <v>1.0683280588381256</v>
      </c>
      <c r="E5" s="12">
        <f t="shared" si="1304"/>
        <v>228488.66358400413</v>
      </c>
      <c r="F5" s="13">
        <v>12677</v>
      </c>
      <c r="G5" s="13">
        <v>213875</v>
      </c>
      <c r="H5" s="13">
        <v>0</v>
      </c>
      <c r="I5" s="16">
        <f t="shared" si="1305"/>
        <v>12677</v>
      </c>
      <c r="J5" s="17">
        <f t="shared" si="1306"/>
        <v>0</v>
      </c>
      <c r="K5" s="18">
        <f t="shared" ref="K5:K20" si="1311">+G5*D5</f>
        <v>228488.66358400413</v>
      </c>
      <c r="L5" s="19">
        <f t="shared" ref="L5:L10" si="1312">K5/E5</f>
        <v>1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307"/>
        <v>0</v>
      </c>
      <c r="S5" s="35">
        <f t="shared" si="1308"/>
        <v>226552</v>
      </c>
      <c r="T5" s="35">
        <f t="shared" si="1309"/>
        <v>12677</v>
      </c>
      <c r="U5" s="19">
        <f t="shared" si="1310"/>
        <v>1.0592729398012859</v>
      </c>
    </row>
    <row r="6">
      <c r="A6" s="9" t="s">
        <v>34</v>
      </c>
      <c r="B6" s="9" t="s">
        <v>35</v>
      </c>
      <c r="C6" s="14">
        <v>563987</v>
      </c>
      <c r="D6" s="50">
        <v>2.1696780588381257</v>
      </c>
      <c r="E6" s="14">
        <f t="shared" si="1304"/>
        <v>1223670.2193699379</v>
      </c>
      <c r="F6" s="13">
        <v>37918</v>
      </c>
      <c r="G6" s="13">
        <v>0</v>
      </c>
      <c r="H6" s="13">
        <v>0</v>
      </c>
      <c r="I6" s="16">
        <f t="shared" si="1305"/>
        <v>37918</v>
      </c>
      <c r="J6" s="17">
        <f t="shared" si="1306"/>
        <v>563987</v>
      </c>
      <c r="K6" s="18">
        <f t="shared" si="1311"/>
        <v>0</v>
      </c>
      <c r="L6" s="19">
        <f t="shared" si="1312"/>
        <v>0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1307"/>
        <v>0</v>
      </c>
      <c r="S6" s="35">
        <f t="shared" si="1308"/>
        <v>37918</v>
      </c>
      <c r="T6" s="35">
        <f t="shared" si="1309"/>
        <v>-526069</v>
      </c>
      <c r="U6" s="19">
        <f t="shared" si="1310"/>
        <v>0.067232046128722828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04"/>
        <v>0</v>
      </c>
      <c r="F7" s="13">
        <v>0</v>
      </c>
      <c r="G7" s="13">
        <v>0</v>
      </c>
      <c r="H7" s="13">
        <v>0</v>
      </c>
      <c r="I7" s="16">
        <f t="shared" si="1305"/>
        <v>0</v>
      </c>
      <c r="J7" s="17">
        <f t="shared" si="1306"/>
        <v>0</v>
      </c>
      <c r="K7" s="18">
        <f t="shared" si="1311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07"/>
        <v>0</v>
      </c>
      <c r="S7" s="35">
        <f t="shared" si="1308"/>
        <v>0</v>
      </c>
      <c r="T7" s="35">
        <f t="shared" si="1309"/>
        <v>0</v>
      </c>
      <c r="U7" s="19" t="e">
        <f t="shared" si="1310"/>
        <v>#DIV/0!</v>
      </c>
    </row>
    <row r="8">
      <c r="A8" s="9" t="s">
        <v>26</v>
      </c>
      <c r="B8" s="9" t="s">
        <v>27</v>
      </c>
      <c r="C8" s="14">
        <v>467459</v>
      </c>
      <c r="D8" s="11">
        <v>1.1430280588381259</v>
      </c>
      <c r="E8" s="12">
        <f t="shared" si="1304"/>
        <v>534318.75335641147</v>
      </c>
      <c r="F8" s="13">
        <v>209900</v>
      </c>
      <c r="G8" s="44">
        <v>251241</v>
      </c>
      <c r="H8" s="44">
        <v>0</v>
      </c>
      <c r="I8" s="16">
        <f t="shared" si="1305"/>
        <v>209900</v>
      </c>
      <c r="J8" s="17">
        <f t="shared" si="1306"/>
        <v>216218</v>
      </c>
      <c r="K8" s="18">
        <f t="shared" si="1311"/>
        <v>287175.5125305496</v>
      </c>
      <c r="L8" s="19">
        <f t="shared" si="1312"/>
        <v>0.53746103936388012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1307"/>
        <v>0</v>
      </c>
      <c r="S8" s="35">
        <f t="shared" si="1308"/>
        <v>461141</v>
      </c>
      <c r="T8" s="35">
        <f t="shared" si="1309"/>
        <v>-6318</v>
      </c>
      <c r="U8" s="19">
        <f t="shared" si="1310"/>
        <v>0.98648437616988871</v>
      </c>
    </row>
    <row r="9">
      <c r="A9" s="9" t="s">
        <v>28</v>
      </c>
      <c r="B9" s="9" t="s">
        <v>29</v>
      </c>
      <c r="C9" s="14">
        <v>450000</v>
      </c>
      <c r="D9" s="11">
        <v>0.63422805883812572</v>
      </c>
      <c r="E9" s="12">
        <f t="shared" si="1304"/>
        <v>285402.62647715659</v>
      </c>
      <c r="F9" s="13">
        <v>149406</v>
      </c>
      <c r="G9" s="44">
        <v>550000</v>
      </c>
      <c r="H9" s="13">
        <v>0</v>
      </c>
      <c r="I9" s="16">
        <f t="shared" si="1305"/>
        <v>149406</v>
      </c>
      <c r="J9" s="17">
        <f t="shared" si="1306"/>
        <v>-100000</v>
      </c>
      <c r="K9" s="18">
        <f t="shared" si="1311"/>
        <v>348825.43236096913</v>
      </c>
      <c r="L9" s="19">
        <f t="shared" si="1312"/>
        <v>1.2222222222222221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307"/>
        <v>0</v>
      </c>
      <c r="S9" s="35">
        <f t="shared" si="1308"/>
        <v>699406</v>
      </c>
      <c r="T9" s="35">
        <f t="shared" si="1309"/>
        <v>249406</v>
      </c>
      <c r="U9" s="19">
        <f t="shared" si="1310"/>
        <v>1.5542355555555556</v>
      </c>
    </row>
    <row r="10">
      <c r="A10" s="9" t="s">
        <v>30</v>
      </c>
      <c r="B10" s="9" t="s">
        <v>31</v>
      </c>
      <c r="C10" s="14">
        <v>450000</v>
      </c>
      <c r="D10" s="50">
        <v>0.89352805883812592</v>
      </c>
      <c r="E10" s="14">
        <f t="shared" si="1304"/>
        <v>402087.62647715665</v>
      </c>
      <c r="F10" s="44">
        <v>223136</v>
      </c>
      <c r="G10" s="13">
        <v>550000</v>
      </c>
      <c r="H10" s="44">
        <v>0</v>
      </c>
      <c r="I10" s="16">
        <f t="shared" si="1305"/>
        <v>223136</v>
      </c>
      <c r="J10" s="17">
        <f t="shared" si="1306"/>
        <v>-100000</v>
      </c>
      <c r="K10" s="18">
        <f t="shared" si="1311"/>
        <v>491440.43236096925</v>
      </c>
      <c r="L10" s="19">
        <f t="shared" si="1312"/>
        <v>1.2222222222222223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307"/>
        <v>0</v>
      </c>
      <c r="S10" s="35">
        <f t="shared" si="1308"/>
        <v>773136</v>
      </c>
      <c r="T10" s="35">
        <f t="shared" si="1309"/>
        <v>323136</v>
      </c>
      <c r="U10" s="19">
        <f t="shared" si="1310"/>
        <v>1.7180800000000001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04"/>
        <v>0</v>
      </c>
      <c r="F11" s="13">
        <v>0</v>
      </c>
      <c r="G11" s="13">
        <v>0</v>
      </c>
      <c r="H11" s="13">
        <v>0</v>
      </c>
      <c r="I11" s="16">
        <f t="shared" si="1305"/>
        <v>0</v>
      </c>
      <c r="J11" s="17">
        <f t="shared" si="1306"/>
        <v>0</v>
      </c>
      <c r="K11" s="18">
        <f t="shared" si="1311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07"/>
        <v>0</v>
      </c>
      <c r="S11" s="35">
        <f t="shared" si="1308"/>
        <v>0</v>
      </c>
      <c r="T11" s="35">
        <f t="shared" si="1309"/>
        <v>0</v>
      </c>
      <c r="U11" s="19" t="e">
        <f t="shared" si="1310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304"/>
        <v>0</v>
      </c>
      <c r="F12" s="13">
        <v>0</v>
      </c>
      <c r="G12" s="13">
        <v>0</v>
      </c>
      <c r="H12" s="13">
        <v>0</v>
      </c>
      <c r="I12" s="16">
        <f t="shared" si="1305"/>
        <v>0</v>
      </c>
      <c r="J12" s="17">
        <f t="shared" si="1306"/>
        <v>0</v>
      </c>
      <c r="K12" s="18">
        <f t="shared" si="1311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307"/>
        <v>0</v>
      </c>
      <c r="S12" s="35">
        <f t="shared" si="1308"/>
        <v>0</v>
      </c>
      <c r="T12" s="35">
        <f t="shared" si="1309"/>
        <v>0</v>
      </c>
      <c r="U12" s="19" t="e">
        <f t="shared" si="1310"/>
        <v>#DIV/0!</v>
      </c>
    </row>
    <row r="13">
      <c r="A13" s="9" t="s">
        <v>24</v>
      </c>
      <c r="B13" s="9" t="s">
        <v>25</v>
      </c>
      <c r="C13" s="14">
        <v>42286</v>
      </c>
      <c r="D13" s="11">
        <v>4.6805391470734206</v>
      </c>
      <c r="E13" s="12">
        <f t="shared" si="1304"/>
        <v>197921.27837314666</v>
      </c>
      <c r="F13" s="13">
        <v>0</v>
      </c>
      <c r="G13" s="13">
        <v>0</v>
      </c>
      <c r="H13" s="13">
        <v>0</v>
      </c>
      <c r="I13" s="16">
        <f t="shared" si="1305"/>
        <v>0</v>
      </c>
      <c r="J13" s="17">
        <f t="shared" si="1306"/>
        <v>42286</v>
      </c>
      <c r="K13" s="18">
        <f t="shared" si="1311"/>
        <v>0</v>
      </c>
      <c r="L13" s="19">
        <v>0</v>
      </c>
      <c r="M13" s="34">
        <v>0</v>
      </c>
      <c r="N13" s="58">
        <v>0</v>
      </c>
      <c r="O13" s="34">
        <v>0</v>
      </c>
      <c r="P13" s="34">
        <v>0</v>
      </c>
      <c r="Q13" s="34">
        <v>0</v>
      </c>
      <c r="R13" s="34">
        <f t="shared" si="1307"/>
        <v>0</v>
      </c>
      <c r="S13" s="35">
        <f t="shared" si="1308"/>
        <v>0</v>
      </c>
      <c r="T13" s="35">
        <f t="shared" si="1309"/>
        <v>-42286</v>
      </c>
      <c r="U13" s="19">
        <f t="shared" si="1310"/>
        <v>0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304"/>
        <v>245445.56</v>
      </c>
      <c r="F14" s="13">
        <v>0</v>
      </c>
      <c r="G14" s="13">
        <v>0</v>
      </c>
      <c r="H14" s="13">
        <v>0</v>
      </c>
      <c r="I14" s="16">
        <f t="shared" si="1305"/>
        <v>0</v>
      </c>
      <c r="J14" s="17">
        <f t="shared" si="1306"/>
        <v>26506</v>
      </c>
      <c r="K14" s="18">
        <f t="shared" si="131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307"/>
        <v>0</v>
      </c>
      <c r="S14" s="35">
        <f t="shared" si="1308"/>
        <v>0</v>
      </c>
      <c r="T14" s="35">
        <f t="shared" si="1309"/>
        <v>-26506</v>
      </c>
      <c r="U14" s="19">
        <f t="shared" si="1310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304"/>
        <v>150798.87533348153</v>
      </c>
      <c r="F15" s="13">
        <v>0</v>
      </c>
      <c r="G15" s="13">
        <v>26636</v>
      </c>
      <c r="H15" s="13">
        <v>0</v>
      </c>
      <c r="I15" s="16">
        <f t="shared" si="1305"/>
        <v>0</v>
      </c>
      <c r="J15" s="17">
        <f t="shared" si="1306"/>
        <v>-9766</v>
      </c>
      <c r="K15" s="18">
        <f t="shared" si="1311"/>
        <v>238095.95989227112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07"/>
        <v>0</v>
      </c>
      <c r="S15" s="35">
        <f t="shared" si="1308"/>
        <v>26636</v>
      </c>
      <c r="T15" s="35">
        <f t="shared" si="1309"/>
        <v>9766</v>
      </c>
      <c r="U15" s="19">
        <f t="shared" si="1310"/>
        <v>1.5788974510966212</v>
      </c>
    </row>
    <row r="16">
      <c r="A16" s="62" t="s">
        <v>150</v>
      </c>
      <c r="B16" s="63" t="s">
        <v>151</v>
      </c>
      <c r="C16" s="14">
        <v>0</v>
      </c>
      <c r="D16" s="11">
        <v>6.7956857705540301</v>
      </c>
      <c r="E16" s="12">
        <f t="shared" si="1304"/>
        <v>0</v>
      </c>
      <c r="F16" s="13">
        <v>0</v>
      </c>
      <c r="G16" s="33">
        <v>0</v>
      </c>
      <c r="H16" s="13">
        <v>0</v>
      </c>
      <c r="I16" s="16">
        <f t="shared" si="1305"/>
        <v>0</v>
      </c>
      <c r="J16" s="17">
        <f t="shared" si="1306"/>
        <v>0</v>
      </c>
      <c r="K16" s="18">
        <f t="shared" si="1311"/>
        <v>0</v>
      </c>
      <c r="L16" s="19" t="e">
        <f t="shared" ref="L16:L21" si="1313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07"/>
        <v>0</v>
      </c>
      <c r="S16" s="35">
        <f t="shared" si="1308"/>
        <v>0</v>
      </c>
      <c r="T16" s="35">
        <f t="shared" si="1309"/>
        <v>0</v>
      </c>
      <c r="U16" s="19" t="e">
        <f t="shared" si="1310"/>
        <v>#DIV/0!</v>
      </c>
    </row>
    <row r="17">
      <c r="A17" s="62" t="s">
        <v>152</v>
      </c>
      <c r="B17" s="63" t="s">
        <v>153</v>
      </c>
      <c r="C17" s="14">
        <v>0</v>
      </c>
      <c r="D17" s="11">
        <v>10.033574703112851</v>
      </c>
      <c r="E17" s="12">
        <f t="shared" si="1304"/>
        <v>0</v>
      </c>
      <c r="F17" s="13">
        <v>0</v>
      </c>
      <c r="G17" s="33">
        <v>0</v>
      </c>
      <c r="H17" s="13">
        <v>0</v>
      </c>
      <c r="I17" s="16">
        <f t="shared" si="1305"/>
        <v>0</v>
      </c>
      <c r="J17" s="17">
        <f t="shared" si="1306"/>
        <v>0</v>
      </c>
      <c r="K17" s="18">
        <f t="shared" si="1311"/>
        <v>0</v>
      </c>
      <c r="L17" s="19" t="e">
        <f t="shared" si="1313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07"/>
        <v>0</v>
      </c>
      <c r="S17" s="35">
        <f t="shared" si="1308"/>
        <v>0</v>
      </c>
      <c r="T17" s="35">
        <f t="shared" si="1309"/>
        <v>0</v>
      </c>
      <c r="U17" s="19" t="e">
        <f t="shared" si="1310"/>
        <v>#DIV/0!</v>
      </c>
    </row>
    <row r="18">
      <c r="A18" s="9" t="s">
        <v>44</v>
      </c>
      <c r="B18" s="9" t="s">
        <v>215</v>
      </c>
      <c r="C18" s="14">
        <v>0</v>
      </c>
      <c r="D18" s="11">
        <v>12.061373764720482</v>
      </c>
      <c r="E18" s="12">
        <f t="shared" si="1304"/>
        <v>0</v>
      </c>
      <c r="F18" s="13">
        <v>0</v>
      </c>
      <c r="G18" s="33">
        <v>0</v>
      </c>
      <c r="H18" s="13">
        <v>0</v>
      </c>
      <c r="I18" s="16">
        <f t="shared" si="1305"/>
        <v>0</v>
      </c>
      <c r="J18" s="17">
        <f t="shared" si="1306"/>
        <v>0</v>
      </c>
      <c r="K18" s="18">
        <f t="shared" si="1311"/>
        <v>0</v>
      </c>
      <c r="L18" s="19" t="e">
        <f t="shared" si="1313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307"/>
        <v>0</v>
      </c>
      <c r="S18" s="35">
        <f t="shared" si="1308"/>
        <v>0</v>
      </c>
      <c r="T18" s="35">
        <f t="shared" si="1309"/>
        <v>0</v>
      </c>
      <c r="U18" s="19" t="e">
        <f t="shared" si="1310"/>
        <v>#DIV/0!</v>
      </c>
    </row>
    <row r="19">
      <c r="A19" s="9" t="s">
        <v>22</v>
      </c>
      <c r="B19" s="9" t="s">
        <v>23</v>
      </c>
      <c r="C19" s="14">
        <v>750000</v>
      </c>
      <c r="D19" s="50">
        <v>1.3029343529557731</v>
      </c>
      <c r="E19" s="14">
        <f t="shared" si="1304"/>
        <v>977200.76471682987</v>
      </c>
      <c r="F19" s="13">
        <v>0</v>
      </c>
      <c r="G19" s="13">
        <v>590698</v>
      </c>
      <c r="H19" s="13">
        <v>0</v>
      </c>
      <c r="I19" s="16">
        <f t="shared" ref="I19:I20" si="1314">F19+H19</f>
        <v>0</v>
      </c>
      <c r="J19" s="17">
        <f t="shared" ref="J19:J20" si="1315">C19-G19</f>
        <v>159302</v>
      </c>
      <c r="K19" s="18">
        <f t="shared" si="1311"/>
        <v>769640.71642226924</v>
      </c>
      <c r="L19" s="19">
        <f t="shared" si="1313"/>
        <v>0.78759733333333326</v>
      </c>
      <c r="M19" s="34">
        <v>0</v>
      </c>
      <c r="N19" s="58">
        <v>0</v>
      </c>
      <c r="O19" s="34">
        <v>0</v>
      </c>
      <c r="P19" s="34">
        <v>0</v>
      </c>
      <c r="Q19" s="34">
        <v>0</v>
      </c>
      <c r="R19" s="34">
        <f t="shared" ref="R19:R21" si="1316">M19+N19+O19+P19+Q19</f>
        <v>0</v>
      </c>
      <c r="S19" s="35">
        <f t="shared" ref="S19:S21" si="1317">G19+I19+R19</f>
        <v>590698</v>
      </c>
      <c r="T19" s="35">
        <f t="shared" ref="T19:T20" si="1318">S19-C19</f>
        <v>-159302</v>
      </c>
      <c r="U19" s="19">
        <f t="shared" ref="U19:U20" si="1319">S19/C19</f>
        <v>0.78759733333333337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>C20*D20</f>
        <v>0</v>
      </c>
      <c r="F20" s="13">
        <v>0</v>
      </c>
      <c r="G20" s="13">
        <v>0</v>
      </c>
      <c r="H20" s="13">
        <v>0</v>
      </c>
      <c r="I20" s="16">
        <f t="shared" si="1314"/>
        <v>0</v>
      </c>
      <c r="J20" s="17">
        <f t="shared" si="1315"/>
        <v>0</v>
      </c>
      <c r="K20" s="18">
        <f t="shared" si="1311"/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316"/>
        <v>0</v>
      </c>
      <c r="S20" s="35">
        <f t="shared" si="1317"/>
        <v>0</v>
      </c>
      <c r="T20" s="35">
        <f t="shared" si="1318"/>
        <v>0</v>
      </c>
      <c r="U20" s="19" t="e">
        <f t="shared" si="1319"/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K21" si="1320">SUM(E3:E20)</f>
        <v>5508854.3482640292</v>
      </c>
      <c r="F21" s="24">
        <f t="shared" si="1320"/>
        <v>805329</v>
      </c>
      <c r="G21" s="24">
        <f t="shared" si="1320"/>
        <v>2641671</v>
      </c>
      <c r="H21" s="24">
        <f t="shared" si="1320"/>
        <v>0</v>
      </c>
      <c r="I21" s="25">
        <f t="shared" si="1320"/>
        <v>805329</v>
      </c>
      <c r="J21" s="26">
        <f t="shared" si="1320"/>
        <v>816348</v>
      </c>
      <c r="K21" s="26">
        <f t="shared" si="1320"/>
        <v>3575658.9826087356</v>
      </c>
      <c r="L21" s="27">
        <f t="shared" si="1313"/>
        <v>0.649074881374475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316"/>
        <v>1</v>
      </c>
      <c r="S21" s="35">
        <f t="shared" si="1317"/>
        <v>3447001</v>
      </c>
      <c r="T21" s="41"/>
    </row>
    <row r="37">
      <c r="B37" s="28"/>
      <c r="C37" s="28"/>
      <c r="D37" s="28"/>
      <c r="E37" s="28"/>
      <c r="K37" t="s">
        <v>64</v>
      </c>
    </row>
    <row r="38">
      <c r="D38" t="s">
        <v>64</v>
      </c>
      <c r="G38" t="s">
        <v>64</v>
      </c>
    </row>
  </sheetData>
  <autoFilter ref="B2:U36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7700F1-0016-4D8C-868E-00D100F4008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L3:L21 U3:U20</xm:sqref>
        </x14:conditionalFormatting>
        <x14:conditionalFormatting xmlns:xm="http://schemas.microsoft.com/office/excel/2006/main">
          <x14:cfRule type="cellIs" priority="11" operator="lessThan" id="{008B0047-00FC-425C-946E-00B3002E00D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L3:L21 U3:U20</xm:sqref>
        </x14:conditionalFormatting>
        <x14:conditionalFormatting xmlns:xm="http://schemas.microsoft.com/office/excel/2006/main">
          <x14:cfRule type="cellIs" priority="10" operator="between" id="{00520048-0097-491D-B9D5-00C30082009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L3:L21 U3:U20</xm:sqref>
        </x14:conditionalFormatting>
        <x14:conditionalFormatting xmlns:xm="http://schemas.microsoft.com/office/excel/2006/main">
          <x14:cfRule type="cellIs" priority="6" operator="greaterThan" id="{00E7000B-00F8-4361-A95D-001A005B004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CF00F1-00A7-40F2-A345-00B500DC00E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3D00BD-000C-4EA1-B8BB-00C500A400D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6400FE-0038-4218-8387-00F00080008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FE00DC-0038-4811-BDD0-002D0018009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0E00D5-0068-4139-9D5B-00770092001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E28" activeCellId="0" sqref="E2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216</v>
      </c>
      <c r="J2" s="7" t="s">
        <v>17</v>
      </c>
      <c r="K2" s="7" t="s">
        <v>18</v>
      </c>
      <c r="L2" s="7" t="s">
        <v>19</v>
      </c>
      <c r="M2" s="53" t="s">
        <v>195</v>
      </c>
      <c r="N2" s="65" t="s">
        <v>196</v>
      </c>
      <c r="O2" s="65" t="s">
        <v>197</v>
      </c>
      <c r="P2" s="65" t="s">
        <v>198</v>
      </c>
      <c r="Q2" s="53" t="s">
        <v>199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19" si="1321">C3*D3</f>
        <v>1128368.7435578119</v>
      </c>
      <c r="F3" s="13">
        <v>0</v>
      </c>
      <c r="G3" s="44">
        <v>409009</v>
      </c>
      <c r="H3" s="13">
        <v>0</v>
      </c>
      <c r="I3" s="16">
        <f t="shared" ref="I3:I19" si="1322">F3+H3</f>
        <v>0</v>
      </c>
      <c r="J3" s="17">
        <f t="shared" ref="J3:J19" si="1323">C3-G3</f>
        <v>-18891</v>
      </c>
      <c r="K3" s="18">
        <f>+G3*D3</f>
        <v>1183008.6574673229</v>
      </c>
      <c r="L3" s="19">
        <f>K3/E3</f>
        <v>1.048423810231776</v>
      </c>
      <c r="M3" s="67">
        <v>0</v>
      </c>
      <c r="N3" s="58">
        <v>0</v>
      </c>
      <c r="O3" s="34">
        <v>0</v>
      </c>
      <c r="P3" s="34">
        <v>0</v>
      </c>
      <c r="Q3" s="69">
        <v>55500</v>
      </c>
      <c r="R3" s="34">
        <f t="shared" ref="R3:R19" si="1324">M3+N3+O3+P3+Q3</f>
        <v>55500</v>
      </c>
      <c r="S3" s="35">
        <f t="shared" ref="S3:S19" si="1325">G3+I3+R3</f>
        <v>464509</v>
      </c>
      <c r="T3" s="35">
        <f t="shared" ref="T3:T19" si="1326">S3-C3</f>
        <v>74391</v>
      </c>
      <c r="U3" s="19">
        <f t="shared" ref="U3:U19" si="1327">S3/C3</f>
        <v>1.1906884583638797</v>
      </c>
    </row>
    <row r="4">
      <c r="A4" s="9" t="s">
        <v>36</v>
      </c>
      <c r="B4" s="9" t="s">
        <v>37</v>
      </c>
      <c r="C4" s="14">
        <v>86918</v>
      </c>
      <c r="D4" s="11">
        <v>1.55492805883813</v>
      </c>
      <c r="E4" s="12">
        <f t="shared" si="1321"/>
        <v>135151.23701809259</v>
      </c>
      <c r="F4" s="13">
        <v>135586</v>
      </c>
      <c r="G4" s="13">
        <v>86918</v>
      </c>
      <c r="H4" s="13">
        <v>0</v>
      </c>
      <c r="I4" s="16">
        <f t="shared" si="1322"/>
        <v>135586</v>
      </c>
      <c r="J4" s="17">
        <f t="shared" si="1323"/>
        <v>0</v>
      </c>
      <c r="K4" s="18">
        <f>D4*G4</f>
        <v>135151.23701809259</v>
      </c>
      <c r="L4" s="19"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324"/>
        <v>0</v>
      </c>
      <c r="S4" s="35">
        <f t="shared" si="1325"/>
        <v>222504</v>
      </c>
      <c r="T4" s="35">
        <f t="shared" si="1326"/>
        <v>135586</v>
      </c>
      <c r="U4" s="19">
        <f t="shared" si="1327"/>
        <v>2.5599300490117121</v>
      </c>
    </row>
    <row r="5">
      <c r="A5" s="9" t="s">
        <v>32</v>
      </c>
      <c r="B5" s="9" t="s">
        <v>33</v>
      </c>
      <c r="C5" s="14">
        <v>213875</v>
      </c>
      <c r="D5" s="11">
        <v>1.0683280588381256</v>
      </c>
      <c r="E5" s="12">
        <f t="shared" si="1321"/>
        <v>228488.66358400413</v>
      </c>
      <c r="F5" s="13">
        <v>12677</v>
      </c>
      <c r="G5" s="13">
        <v>213875</v>
      </c>
      <c r="H5" s="13">
        <v>0</v>
      </c>
      <c r="I5" s="16">
        <f t="shared" si="1322"/>
        <v>12677</v>
      </c>
      <c r="J5" s="17">
        <f t="shared" si="1323"/>
        <v>0</v>
      </c>
      <c r="K5" s="18">
        <f t="shared" ref="K5:K20" si="1328">+G5*D5</f>
        <v>228488.66358400413</v>
      </c>
      <c r="L5" s="19">
        <f t="shared" ref="L5:L10" si="1329">K5/E5</f>
        <v>1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324"/>
        <v>0</v>
      </c>
      <c r="S5" s="35">
        <f t="shared" si="1325"/>
        <v>226552</v>
      </c>
      <c r="T5" s="35">
        <f t="shared" si="1326"/>
        <v>12677</v>
      </c>
      <c r="U5" s="19">
        <f t="shared" si="1327"/>
        <v>1.0592729398012859</v>
      </c>
    </row>
    <row r="6">
      <c r="A6" s="9" t="s">
        <v>34</v>
      </c>
      <c r="B6" s="9" t="s">
        <v>35</v>
      </c>
      <c r="C6" s="14">
        <v>563987</v>
      </c>
      <c r="D6" s="50">
        <v>2.1696780588381257</v>
      </c>
      <c r="E6" s="14">
        <f t="shared" si="1321"/>
        <v>1223670.2193699379</v>
      </c>
      <c r="F6" s="13">
        <v>83671</v>
      </c>
      <c r="G6" s="13">
        <v>303993</v>
      </c>
      <c r="H6" s="13">
        <v>0</v>
      </c>
      <c r="I6" s="16">
        <f t="shared" si="1322"/>
        <v>83671</v>
      </c>
      <c r="J6" s="17">
        <f t="shared" si="1323"/>
        <v>259994</v>
      </c>
      <c r="K6" s="18">
        <f t="shared" si="1328"/>
        <v>659566.94214037829</v>
      </c>
      <c r="L6" s="19">
        <f t="shared" si="1329"/>
        <v>0.53900710477369163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1324"/>
        <v>0</v>
      </c>
      <c r="S6" s="35">
        <f t="shared" si="1325"/>
        <v>387664</v>
      </c>
      <c r="T6" s="35">
        <f t="shared" si="1326"/>
        <v>-176323</v>
      </c>
      <c r="U6" s="19">
        <f t="shared" si="1327"/>
        <v>0.68736336121222652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21"/>
        <v>0</v>
      </c>
      <c r="F7" s="13">
        <v>0</v>
      </c>
      <c r="G7" s="13">
        <v>0</v>
      </c>
      <c r="H7" s="13">
        <v>0</v>
      </c>
      <c r="I7" s="16">
        <f t="shared" si="1322"/>
        <v>0</v>
      </c>
      <c r="J7" s="17">
        <f t="shared" si="1323"/>
        <v>0</v>
      </c>
      <c r="K7" s="18">
        <f t="shared" si="1328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24"/>
        <v>0</v>
      </c>
      <c r="S7" s="35">
        <f t="shared" si="1325"/>
        <v>0</v>
      </c>
      <c r="T7" s="35">
        <f t="shared" si="1326"/>
        <v>0</v>
      </c>
      <c r="U7" s="19" t="e">
        <f t="shared" si="1327"/>
        <v>#DIV/0!</v>
      </c>
    </row>
    <row r="8">
      <c r="A8" s="9" t="s">
        <v>26</v>
      </c>
      <c r="B8" s="9" t="s">
        <v>27</v>
      </c>
      <c r="C8" s="14">
        <v>467459</v>
      </c>
      <c r="D8" s="11">
        <v>1.1430280588381259</v>
      </c>
      <c r="E8" s="12">
        <f t="shared" si="1321"/>
        <v>534318.75335641147</v>
      </c>
      <c r="F8" s="13">
        <v>0</v>
      </c>
      <c r="G8" s="44">
        <v>461141</v>
      </c>
      <c r="H8" s="44">
        <v>0</v>
      </c>
      <c r="I8" s="16">
        <f t="shared" si="1322"/>
        <v>0</v>
      </c>
      <c r="J8" s="17">
        <f t="shared" si="1323"/>
        <v>6318</v>
      </c>
      <c r="K8" s="18">
        <f t="shared" si="1328"/>
        <v>527097.10208067216</v>
      </c>
      <c r="L8" s="19">
        <f t="shared" si="1329"/>
        <v>0.9864843761698886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1324"/>
        <v>0</v>
      </c>
      <c r="S8" s="35">
        <f t="shared" si="1325"/>
        <v>461141</v>
      </c>
      <c r="T8" s="35">
        <f t="shared" si="1326"/>
        <v>-6318</v>
      </c>
      <c r="U8" s="19">
        <f t="shared" si="1327"/>
        <v>0.98648437616988871</v>
      </c>
    </row>
    <row r="9">
      <c r="A9" s="9" t="s">
        <v>28</v>
      </c>
      <c r="B9" s="9" t="s">
        <v>29</v>
      </c>
      <c r="C9" s="14">
        <v>450000</v>
      </c>
      <c r="D9" s="11">
        <v>0.63422805883812572</v>
      </c>
      <c r="E9" s="12">
        <f t="shared" si="1321"/>
        <v>285402.62647715659</v>
      </c>
      <c r="F9" s="13">
        <v>149406</v>
      </c>
      <c r="G9" s="44">
        <v>550000</v>
      </c>
      <c r="H9" s="13">
        <v>0</v>
      </c>
      <c r="I9" s="16">
        <f t="shared" si="1322"/>
        <v>149406</v>
      </c>
      <c r="J9" s="17">
        <f t="shared" si="1323"/>
        <v>-100000</v>
      </c>
      <c r="K9" s="18">
        <f t="shared" si="1328"/>
        <v>348825.43236096913</v>
      </c>
      <c r="L9" s="19">
        <f t="shared" si="1329"/>
        <v>1.2222222222222221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324"/>
        <v>0</v>
      </c>
      <c r="S9" s="35">
        <f t="shared" si="1325"/>
        <v>699406</v>
      </c>
      <c r="T9" s="35">
        <f t="shared" si="1326"/>
        <v>249406</v>
      </c>
      <c r="U9" s="19">
        <f t="shared" si="1327"/>
        <v>1.5542355555555556</v>
      </c>
    </row>
    <row r="10">
      <c r="A10" s="9" t="s">
        <v>30</v>
      </c>
      <c r="B10" s="9" t="s">
        <v>31</v>
      </c>
      <c r="C10" s="14">
        <v>450000</v>
      </c>
      <c r="D10" s="50">
        <v>0.89352805883812592</v>
      </c>
      <c r="E10" s="14">
        <f t="shared" si="1321"/>
        <v>402087.62647715665</v>
      </c>
      <c r="F10" s="44">
        <v>223136</v>
      </c>
      <c r="G10" s="13">
        <v>550000</v>
      </c>
      <c r="H10" s="44">
        <v>0</v>
      </c>
      <c r="I10" s="16">
        <f t="shared" si="1322"/>
        <v>223136</v>
      </c>
      <c r="J10" s="17">
        <f t="shared" si="1323"/>
        <v>-100000</v>
      </c>
      <c r="K10" s="18">
        <f t="shared" si="1328"/>
        <v>491440.43236096925</v>
      </c>
      <c r="L10" s="19">
        <f t="shared" si="1329"/>
        <v>1.2222222222222223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324"/>
        <v>0</v>
      </c>
      <c r="S10" s="35">
        <f t="shared" si="1325"/>
        <v>773136</v>
      </c>
      <c r="T10" s="35">
        <f t="shared" si="1326"/>
        <v>323136</v>
      </c>
      <c r="U10" s="19">
        <f t="shared" si="1327"/>
        <v>1.7180800000000001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21"/>
        <v>0</v>
      </c>
      <c r="F11" s="13">
        <v>0</v>
      </c>
      <c r="G11" s="13">
        <v>0</v>
      </c>
      <c r="H11" s="13">
        <v>0</v>
      </c>
      <c r="I11" s="16">
        <f t="shared" si="1322"/>
        <v>0</v>
      </c>
      <c r="J11" s="17">
        <f t="shared" si="1323"/>
        <v>0</v>
      </c>
      <c r="K11" s="18">
        <f t="shared" si="1328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24"/>
        <v>0</v>
      </c>
      <c r="S11" s="35">
        <f t="shared" si="1325"/>
        <v>0</v>
      </c>
      <c r="T11" s="35">
        <f t="shared" si="1326"/>
        <v>0</v>
      </c>
      <c r="U11" s="19" t="e">
        <f t="shared" si="132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321"/>
        <v>0</v>
      </c>
      <c r="F12" s="13">
        <v>0</v>
      </c>
      <c r="G12" s="13">
        <v>0</v>
      </c>
      <c r="H12" s="13">
        <v>0</v>
      </c>
      <c r="I12" s="16">
        <f t="shared" si="1322"/>
        <v>0</v>
      </c>
      <c r="J12" s="17">
        <f t="shared" si="1323"/>
        <v>0</v>
      </c>
      <c r="K12" s="18">
        <f t="shared" si="1328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324"/>
        <v>0</v>
      </c>
      <c r="S12" s="35">
        <f t="shared" si="1325"/>
        <v>0</v>
      </c>
      <c r="T12" s="35">
        <f t="shared" si="1326"/>
        <v>0</v>
      </c>
      <c r="U12" s="19" t="e">
        <f t="shared" si="1327"/>
        <v>#DIV/0!</v>
      </c>
    </row>
    <row r="13">
      <c r="A13" s="9" t="s">
        <v>24</v>
      </c>
      <c r="B13" s="9" t="s">
        <v>25</v>
      </c>
      <c r="C13" s="14">
        <v>42286</v>
      </c>
      <c r="D13" s="11">
        <v>4.6805391470734206</v>
      </c>
      <c r="E13" s="12">
        <f t="shared" si="1321"/>
        <v>197921.27837314666</v>
      </c>
      <c r="F13" s="13">
        <v>63262</v>
      </c>
      <c r="G13" s="13">
        <v>0</v>
      </c>
      <c r="H13" s="13">
        <v>0</v>
      </c>
      <c r="I13" s="16">
        <f t="shared" si="1322"/>
        <v>63262</v>
      </c>
      <c r="J13" s="17">
        <f t="shared" si="1323"/>
        <v>42286</v>
      </c>
      <c r="K13" s="18">
        <f t="shared" si="1328"/>
        <v>0</v>
      </c>
      <c r="L13" s="19">
        <v>0</v>
      </c>
      <c r="M13" s="34">
        <v>0</v>
      </c>
      <c r="N13" s="58">
        <v>0</v>
      </c>
      <c r="O13" s="34">
        <v>0</v>
      </c>
      <c r="P13" s="34">
        <v>0</v>
      </c>
      <c r="Q13" s="34">
        <v>0</v>
      </c>
      <c r="R13" s="34">
        <f t="shared" si="1324"/>
        <v>0</v>
      </c>
      <c r="S13" s="35">
        <f t="shared" si="1325"/>
        <v>63262</v>
      </c>
      <c r="T13" s="35">
        <f t="shared" si="1326"/>
        <v>20976</v>
      </c>
      <c r="U13" s="19">
        <f t="shared" si="1327"/>
        <v>1.4960507023601193</v>
      </c>
    </row>
    <row r="14">
      <c r="A14" s="56">
        <v>60000000032802</v>
      </c>
      <c r="B14" s="9" t="s">
        <v>113</v>
      </c>
      <c r="C14" s="14">
        <v>26506</v>
      </c>
      <c r="D14" s="11">
        <v>9.2599999999999998</v>
      </c>
      <c r="E14" s="12">
        <f t="shared" si="1321"/>
        <v>245445.56</v>
      </c>
      <c r="F14" s="13">
        <v>0</v>
      </c>
      <c r="G14" s="13">
        <v>0</v>
      </c>
      <c r="H14" s="13">
        <v>0</v>
      </c>
      <c r="I14" s="16">
        <f t="shared" si="1322"/>
        <v>0</v>
      </c>
      <c r="J14" s="17">
        <f t="shared" si="1323"/>
        <v>26506</v>
      </c>
      <c r="K14" s="18">
        <f t="shared" si="132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324"/>
        <v>0</v>
      </c>
      <c r="S14" s="35">
        <f t="shared" si="1325"/>
        <v>0</v>
      </c>
      <c r="T14" s="35">
        <f t="shared" si="1326"/>
        <v>-26506</v>
      </c>
      <c r="U14" s="19">
        <f t="shared" si="1327"/>
        <v>0</v>
      </c>
    </row>
    <row r="15">
      <c r="A15" s="9" t="s">
        <v>42</v>
      </c>
      <c r="B15" s="9" t="s">
        <v>43</v>
      </c>
      <c r="C15" s="14">
        <v>16870</v>
      </c>
      <c r="D15" s="11">
        <v>8.9388782058969483</v>
      </c>
      <c r="E15" s="12">
        <f t="shared" si="1321"/>
        <v>150798.87533348153</v>
      </c>
      <c r="F15" s="13">
        <v>0</v>
      </c>
      <c r="G15" s="13">
        <v>26636</v>
      </c>
      <c r="H15" s="13">
        <v>0</v>
      </c>
      <c r="I15" s="16">
        <f t="shared" si="1322"/>
        <v>0</v>
      </c>
      <c r="J15" s="17">
        <f t="shared" si="1323"/>
        <v>-9766</v>
      </c>
      <c r="K15" s="18">
        <f t="shared" si="1328"/>
        <v>238095.95989227112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24"/>
        <v>0</v>
      </c>
      <c r="S15" s="35">
        <f t="shared" si="1325"/>
        <v>26636</v>
      </c>
      <c r="T15" s="35">
        <f t="shared" si="1326"/>
        <v>9766</v>
      </c>
      <c r="U15" s="19">
        <f t="shared" si="1327"/>
        <v>1.5788974510966212</v>
      </c>
    </row>
    <row r="16">
      <c r="A16" s="62" t="s">
        <v>150</v>
      </c>
      <c r="B16" s="63" t="s">
        <v>151</v>
      </c>
      <c r="C16" s="14">
        <v>0</v>
      </c>
      <c r="D16" s="11">
        <v>6.7956857705540301</v>
      </c>
      <c r="E16" s="12">
        <f t="shared" si="1321"/>
        <v>0</v>
      </c>
      <c r="F16" s="13">
        <v>0</v>
      </c>
      <c r="G16" s="33">
        <v>0</v>
      </c>
      <c r="H16" s="13">
        <v>0</v>
      </c>
      <c r="I16" s="16">
        <f t="shared" si="1322"/>
        <v>0</v>
      </c>
      <c r="J16" s="17">
        <f t="shared" si="1323"/>
        <v>0</v>
      </c>
      <c r="K16" s="18">
        <f t="shared" si="1328"/>
        <v>0</v>
      </c>
      <c r="L16" s="19" t="e">
        <f t="shared" ref="L16:L21" si="1330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24"/>
        <v>0</v>
      </c>
      <c r="S16" s="35">
        <f t="shared" si="1325"/>
        <v>0</v>
      </c>
      <c r="T16" s="35">
        <f t="shared" si="1326"/>
        <v>0</v>
      </c>
      <c r="U16" s="19" t="e">
        <f t="shared" si="1327"/>
        <v>#DIV/0!</v>
      </c>
    </row>
    <row r="17">
      <c r="A17" s="62" t="s">
        <v>152</v>
      </c>
      <c r="B17" s="63" t="s">
        <v>153</v>
      </c>
      <c r="C17" s="14">
        <v>0</v>
      </c>
      <c r="D17" s="11">
        <v>10.033574703112851</v>
      </c>
      <c r="E17" s="12">
        <f t="shared" si="1321"/>
        <v>0</v>
      </c>
      <c r="F17" s="13">
        <v>0</v>
      </c>
      <c r="G17" s="33">
        <v>0</v>
      </c>
      <c r="H17" s="13">
        <v>0</v>
      </c>
      <c r="I17" s="16">
        <f t="shared" si="1322"/>
        <v>0</v>
      </c>
      <c r="J17" s="17">
        <f t="shared" si="1323"/>
        <v>0</v>
      </c>
      <c r="K17" s="18">
        <f t="shared" si="1328"/>
        <v>0</v>
      </c>
      <c r="L17" s="19" t="e">
        <f t="shared" si="133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24"/>
        <v>0</v>
      </c>
      <c r="S17" s="35">
        <f t="shared" si="1325"/>
        <v>0</v>
      </c>
      <c r="T17" s="35">
        <f t="shared" si="1326"/>
        <v>0</v>
      </c>
      <c r="U17" s="19" t="e">
        <f t="shared" si="1327"/>
        <v>#DIV/0!</v>
      </c>
    </row>
    <row r="18">
      <c r="A18" s="9" t="s">
        <v>44</v>
      </c>
      <c r="B18" s="9" t="s">
        <v>215</v>
      </c>
      <c r="C18" s="14">
        <v>0</v>
      </c>
      <c r="D18" s="11">
        <v>12.061373764720482</v>
      </c>
      <c r="E18" s="12">
        <f t="shared" si="1321"/>
        <v>0</v>
      </c>
      <c r="F18" s="13">
        <v>0</v>
      </c>
      <c r="G18" s="33">
        <v>0</v>
      </c>
      <c r="H18" s="13">
        <v>0</v>
      </c>
      <c r="I18" s="16">
        <f t="shared" si="1322"/>
        <v>0</v>
      </c>
      <c r="J18" s="17">
        <f t="shared" si="1323"/>
        <v>0</v>
      </c>
      <c r="K18" s="18">
        <f t="shared" si="1328"/>
        <v>0</v>
      </c>
      <c r="L18" s="19" t="e">
        <f t="shared" si="1330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324"/>
        <v>0</v>
      </c>
      <c r="S18" s="35">
        <f t="shared" si="1325"/>
        <v>0</v>
      </c>
      <c r="T18" s="35">
        <f t="shared" si="1326"/>
        <v>0</v>
      </c>
      <c r="U18" s="19" t="e">
        <f t="shared" si="1327"/>
        <v>#DIV/0!</v>
      </c>
    </row>
    <row r="19">
      <c r="A19" s="9" t="s">
        <v>22</v>
      </c>
      <c r="B19" s="9" t="s">
        <v>23</v>
      </c>
      <c r="C19" s="14">
        <v>750000</v>
      </c>
      <c r="D19" s="50">
        <v>1.3029343529557731</v>
      </c>
      <c r="E19" s="14">
        <f t="shared" si="1321"/>
        <v>977200.76471682987</v>
      </c>
      <c r="F19" s="13">
        <v>292309</v>
      </c>
      <c r="G19" s="13">
        <v>590698</v>
      </c>
      <c r="H19" s="13">
        <v>0</v>
      </c>
      <c r="I19" s="16">
        <f t="shared" si="1322"/>
        <v>292309</v>
      </c>
      <c r="J19" s="17">
        <f t="shared" si="1323"/>
        <v>159302</v>
      </c>
      <c r="K19" s="18">
        <f t="shared" si="1328"/>
        <v>769640.71642226924</v>
      </c>
      <c r="L19" s="19">
        <f t="shared" si="1330"/>
        <v>0.78759733333333326</v>
      </c>
      <c r="M19" s="34">
        <v>0</v>
      </c>
      <c r="N19" s="58">
        <v>0</v>
      </c>
      <c r="O19" s="34">
        <v>0</v>
      </c>
      <c r="P19" s="34">
        <v>0</v>
      </c>
      <c r="Q19" s="34">
        <v>0</v>
      </c>
      <c r="R19" s="34">
        <f t="shared" si="1324"/>
        <v>0</v>
      </c>
      <c r="S19" s="35">
        <f t="shared" si="1325"/>
        <v>883007</v>
      </c>
      <c r="T19" s="35">
        <f t="shared" si="1326"/>
        <v>133007</v>
      </c>
      <c r="U19" s="19">
        <f t="shared" si="1327"/>
        <v>1.1773426666666666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>C20*D20</f>
        <v>0</v>
      </c>
      <c r="F20" s="13">
        <v>0</v>
      </c>
      <c r="G20" s="13">
        <v>0</v>
      </c>
      <c r="H20" s="13">
        <v>0</v>
      </c>
      <c r="I20" s="16">
        <f>F20+H20</f>
        <v>0</v>
      </c>
      <c r="J20" s="17">
        <f>C20-G20</f>
        <v>0</v>
      </c>
      <c r="K20" s="18">
        <f t="shared" si="1328"/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ref="R20:R21" si="1331">M20+N20+O20+P20+Q20</f>
        <v>0</v>
      </c>
      <c r="S20" s="35">
        <f t="shared" ref="S20:S21" si="1332">G20+I20+R20</f>
        <v>0</v>
      </c>
      <c r="T20" s="35">
        <f>S20-C20</f>
        <v>0</v>
      </c>
      <c r="U20" s="19" t="e">
        <f>S20/C20</f>
        <v>#DIV/0!</v>
      </c>
    </row>
    <row r="21" ht="16.5">
      <c r="A21" s="21" t="s">
        <v>50</v>
      </c>
      <c r="B21" s="21"/>
      <c r="C21" s="36">
        <f>SUM(C3:C20)</f>
        <v>3458019</v>
      </c>
      <c r="D21" s="23"/>
      <c r="E21" s="22">
        <f t="shared" ref="E21:K21" si="1333">SUM(E3:E20)</f>
        <v>5508854.3482640292</v>
      </c>
      <c r="F21" s="24">
        <f t="shared" si="1333"/>
        <v>960047</v>
      </c>
      <c r="G21" s="24">
        <f t="shared" si="1333"/>
        <v>3192270</v>
      </c>
      <c r="H21" s="24">
        <f t="shared" si="1333"/>
        <v>0</v>
      </c>
      <c r="I21" s="25">
        <f t="shared" si="1333"/>
        <v>960047</v>
      </c>
      <c r="J21" s="26">
        <f t="shared" si="1333"/>
        <v>265749</v>
      </c>
      <c r="K21" s="26">
        <f t="shared" si="1333"/>
        <v>4581315.1433269484</v>
      </c>
      <c r="L21" s="27">
        <f t="shared" si="1330"/>
        <v>0.83162756785730407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331"/>
        <v>1</v>
      </c>
      <c r="S21" s="35">
        <f t="shared" si="1332"/>
        <v>4152318</v>
      </c>
      <c r="T21" s="41"/>
    </row>
    <row r="25">
      <c r="C25" s="28"/>
      <c r="D25" s="28"/>
      <c r="E25" s="28"/>
      <c r="F25" s="28"/>
    </row>
    <row r="26">
      <c r="C26" s="28"/>
      <c r="D26" s="28"/>
      <c r="E26" s="28"/>
      <c r="F26" s="28"/>
    </row>
    <row r="27">
      <c r="C27" s="28"/>
      <c r="D27" s="28"/>
      <c r="E27" s="28"/>
      <c r="F27" s="28"/>
    </row>
    <row r="28">
      <c r="C28" s="28"/>
      <c r="D28" s="28"/>
      <c r="E28" s="28"/>
      <c r="F28" s="28"/>
    </row>
    <row r="29">
      <c r="C29" s="28"/>
      <c r="D29" s="28"/>
      <c r="E29" s="28"/>
      <c r="F29" s="28"/>
    </row>
    <row r="37">
      <c r="B37" s="28"/>
      <c r="C37" s="28"/>
      <c r="D37" s="28"/>
      <c r="E37" s="28"/>
      <c r="K37" t="s">
        <v>64</v>
      </c>
    </row>
    <row r="38">
      <c r="D38" t="s">
        <v>64</v>
      </c>
      <c r="G38" t="s">
        <v>64</v>
      </c>
    </row>
  </sheetData>
  <autoFilter ref="B2:U36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3500EB-00FD-4AA6-B16E-0040009A000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L3:L21 U3:U20</xm:sqref>
        </x14:conditionalFormatting>
        <x14:conditionalFormatting xmlns:xm="http://schemas.microsoft.com/office/excel/2006/main">
          <x14:cfRule type="cellIs" priority="8" operator="lessThan" id="{00A600FA-00E0-4413-86BF-00E200DB007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L3:L21 U3:U20</xm:sqref>
        </x14:conditionalFormatting>
        <x14:conditionalFormatting xmlns:xm="http://schemas.microsoft.com/office/excel/2006/main">
          <x14:cfRule type="cellIs" priority="7" operator="between" id="{00730008-0078-4B5F-B0D6-009B002700F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L3:L21 U3:U20</xm:sqref>
        </x14:conditionalFormatting>
        <x14:conditionalFormatting xmlns:xm="http://schemas.microsoft.com/office/excel/2006/main">
          <x14:cfRule type="cellIs" priority="6" operator="greaterThan" id="{00F50051-004E-43E8-BD3A-0079007F000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0C00C4-008E-4A8E-A50D-00A3009100E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7F0022-009B-4B86-828C-00A100A6006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400094-0091-4136-A6B8-008900BE00C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4300EE-00D4-4A5B-AFB4-0083000D001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880000-0096-4E1F-B074-00D20091006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18" activeCellId="0" sqref="F1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200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218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390118</v>
      </c>
      <c r="D3" s="11">
        <v>2.8923780588381258</v>
      </c>
      <c r="E3" s="12">
        <f t="shared" ref="E3:E18" si="1334">C3*D3</f>
        <v>1128368.7435578119</v>
      </c>
      <c r="F3" s="13">
        <v>36868</v>
      </c>
      <c r="G3" s="44">
        <v>409009</v>
      </c>
      <c r="H3" s="13">
        <v>0</v>
      </c>
      <c r="I3" s="16">
        <f t="shared" ref="I3:I18" si="1335">F3+H3</f>
        <v>36868</v>
      </c>
      <c r="J3" s="17">
        <f t="shared" ref="J3:J18" si="1336">C3-G3</f>
        <v>-18891</v>
      </c>
      <c r="K3" s="18">
        <f>+G3*D3</f>
        <v>1183008.6574673229</v>
      </c>
      <c r="L3" s="19">
        <f>K3/E3</f>
        <v>1.048423810231776</v>
      </c>
      <c r="M3" s="34">
        <v>111000</v>
      </c>
      <c r="N3" s="58">
        <v>129000</v>
      </c>
      <c r="O3" s="34">
        <v>129000</v>
      </c>
      <c r="P3" s="34">
        <v>129000</v>
      </c>
      <c r="Q3" s="34">
        <v>0</v>
      </c>
      <c r="R3" s="34">
        <f t="shared" ref="R3:R18" si="1337">M3+N3+O3+P3+Q3</f>
        <v>498000</v>
      </c>
      <c r="S3" s="35">
        <f t="shared" ref="S3:S18" si="1338">G3+I3+R3</f>
        <v>943877</v>
      </c>
      <c r="T3" s="35">
        <f t="shared" ref="T3:T18" si="1339">S3-C3</f>
        <v>553759</v>
      </c>
      <c r="U3" s="19">
        <f t="shared" ref="U3:U18" si="1340">S3/C3</f>
        <v>2.4194653925222624</v>
      </c>
    </row>
    <row r="4">
      <c r="A4" s="9" t="s">
        <v>36</v>
      </c>
      <c r="B4" s="9" t="s">
        <v>37</v>
      </c>
      <c r="C4" s="14">
        <v>86918</v>
      </c>
      <c r="D4" s="11">
        <v>1.55492805883813</v>
      </c>
      <c r="E4" s="12">
        <f t="shared" si="1334"/>
        <v>135151.23701809259</v>
      </c>
      <c r="F4" s="13">
        <v>135586</v>
      </c>
      <c r="G4" s="13">
        <v>86918</v>
      </c>
      <c r="H4" s="13">
        <v>0</v>
      </c>
      <c r="I4" s="16">
        <f t="shared" si="1335"/>
        <v>135586</v>
      </c>
      <c r="J4" s="17">
        <f t="shared" si="1336"/>
        <v>0</v>
      </c>
      <c r="K4" s="18">
        <f>D4*G4</f>
        <v>135151.23701809259</v>
      </c>
      <c r="L4" s="19">
        <v>0</v>
      </c>
      <c r="M4" s="34">
        <v>74000</v>
      </c>
      <c r="N4" s="58">
        <v>74000</v>
      </c>
      <c r="O4" s="34">
        <v>0</v>
      </c>
      <c r="P4" s="34">
        <v>0</v>
      </c>
      <c r="Q4" s="34">
        <v>0</v>
      </c>
      <c r="R4" s="34">
        <f t="shared" si="1337"/>
        <v>148000</v>
      </c>
      <c r="S4" s="35">
        <f t="shared" si="1338"/>
        <v>370504</v>
      </c>
      <c r="T4" s="35">
        <f t="shared" si="1339"/>
        <v>283586</v>
      </c>
      <c r="U4" s="19">
        <f t="shared" si="1340"/>
        <v>4.2626843691755445</v>
      </c>
    </row>
    <row r="5">
      <c r="A5" s="9" t="s">
        <v>32</v>
      </c>
      <c r="B5" s="9" t="s">
        <v>33</v>
      </c>
      <c r="C5" s="14">
        <v>213875</v>
      </c>
      <c r="D5" s="11">
        <v>1.0683280588381256</v>
      </c>
      <c r="E5" s="12">
        <f t="shared" si="1334"/>
        <v>228488.66358400413</v>
      </c>
      <c r="F5" s="13">
        <v>0</v>
      </c>
      <c r="G5" s="13">
        <v>213875</v>
      </c>
      <c r="H5" s="13">
        <v>12677</v>
      </c>
      <c r="I5" s="16">
        <f t="shared" si="1335"/>
        <v>12677</v>
      </c>
      <c r="J5" s="17">
        <f t="shared" si="1336"/>
        <v>0</v>
      </c>
      <c r="K5" s="18">
        <f t="shared" ref="K5:K19" si="1341">+G5*D5</f>
        <v>228488.66358400413</v>
      </c>
      <c r="L5" s="19">
        <f t="shared" ref="L5:L10" si="1342">K5/E5</f>
        <v>1</v>
      </c>
      <c r="M5" s="34">
        <v>0</v>
      </c>
      <c r="N5" s="58">
        <v>0</v>
      </c>
      <c r="O5" s="34">
        <v>156000</v>
      </c>
      <c r="P5" s="34">
        <v>0</v>
      </c>
      <c r="Q5" s="34">
        <v>0</v>
      </c>
      <c r="R5" s="34">
        <f t="shared" si="1337"/>
        <v>156000</v>
      </c>
      <c r="S5" s="35">
        <f t="shared" si="1338"/>
        <v>382552</v>
      </c>
      <c r="T5" s="35">
        <f t="shared" si="1339"/>
        <v>168677</v>
      </c>
      <c r="U5" s="19">
        <f t="shared" si="1340"/>
        <v>1.7886709526592637</v>
      </c>
    </row>
    <row r="6">
      <c r="A6" s="9" t="s">
        <v>34</v>
      </c>
      <c r="B6" s="9" t="s">
        <v>35</v>
      </c>
      <c r="C6" s="14">
        <v>563987</v>
      </c>
      <c r="D6" s="50">
        <v>2.1696780588381257</v>
      </c>
      <c r="E6" s="14">
        <f t="shared" si="1334"/>
        <v>1223670.2193699379</v>
      </c>
      <c r="F6" s="13">
        <v>0</v>
      </c>
      <c r="G6" s="13">
        <v>303993</v>
      </c>
      <c r="H6" s="13">
        <v>83671</v>
      </c>
      <c r="I6" s="16">
        <f t="shared" si="1335"/>
        <v>83671</v>
      </c>
      <c r="J6" s="17">
        <f t="shared" si="1336"/>
        <v>259994</v>
      </c>
      <c r="K6" s="18">
        <f t="shared" si="1341"/>
        <v>659566.94214037829</v>
      </c>
      <c r="L6" s="19">
        <f t="shared" si="1342"/>
        <v>0.53900710477369163</v>
      </c>
      <c r="M6" s="34">
        <v>312000</v>
      </c>
      <c r="N6" s="58">
        <v>78000</v>
      </c>
      <c r="O6" s="34">
        <v>0</v>
      </c>
      <c r="P6" s="69">
        <v>234000</v>
      </c>
      <c r="Q6" s="34">
        <v>0</v>
      </c>
      <c r="R6" s="34">
        <f t="shared" si="1337"/>
        <v>624000</v>
      </c>
      <c r="S6" s="35">
        <f t="shared" si="1338"/>
        <v>1011664</v>
      </c>
      <c r="T6" s="35">
        <f t="shared" si="1339"/>
        <v>447677</v>
      </c>
      <c r="U6" s="19">
        <f t="shared" si="1340"/>
        <v>1.7937718422587754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34"/>
        <v>0</v>
      </c>
      <c r="F7" s="13">
        <v>0</v>
      </c>
      <c r="G7" s="13">
        <v>0</v>
      </c>
      <c r="H7" s="13">
        <v>0</v>
      </c>
      <c r="I7" s="16">
        <f t="shared" si="1335"/>
        <v>0</v>
      </c>
      <c r="J7" s="17">
        <f t="shared" si="1336"/>
        <v>0</v>
      </c>
      <c r="K7" s="18">
        <f t="shared" si="1341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37"/>
        <v>0</v>
      </c>
      <c r="S7" s="35">
        <f t="shared" si="1338"/>
        <v>0</v>
      </c>
      <c r="T7" s="35">
        <f t="shared" si="1339"/>
        <v>0</v>
      </c>
      <c r="U7" s="19" t="e">
        <f t="shared" si="1340"/>
        <v>#DIV/0!</v>
      </c>
    </row>
    <row r="8">
      <c r="A8" s="9" t="s">
        <v>26</v>
      </c>
      <c r="B8" s="9" t="s">
        <v>27</v>
      </c>
      <c r="C8" s="14">
        <v>467459</v>
      </c>
      <c r="D8" s="11">
        <v>1.1430280588381259</v>
      </c>
      <c r="E8" s="12">
        <f t="shared" si="1334"/>
        <v>534318.75335641147</v>
      </c>
      <c r="F8" s="13">
        <v>0</v>
      </c>
      <c r="G8" s="44">
        <v>461141</v>
      </c>
      <c r="H8" s="44">
        <v>0</v>
      </c>
      <c r="I8" s="16">
        <f t="shared" si="1335"/>
        <v>0</v>
      </c>
      <c r="J8" s="17">
        <f t="shared" si="1336"/>
        <v>6318</v>
      </c>
      <c r="K8" s="18">
        <f t="shared" si="1341"/>
        <v>527097.10208067216</v>
      </c>
      <c r="L8" s="19">
        <f t="shared" si="1342"/>
        <v>0.9864843761698886</v>
      </c>
      <c r="M8" s="34">
        <v>189000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337"/>
        <v>629000</v>
      </c>
      <c r="S8" s="35">
        <f t="shared" si="1338"/>
        <v>1090141</v>
      </c>
      <c r="T8" s="35">
        <f t="shared" si="1339"/>
        <v>622682</v>
      </c>
      <c r="U8" s="19">
        <f t="shared" si="1340"/>
        <v>2.33205692905688</v>
      </c>
    </row>
    <row r="9">
      <c r="A9" s="9" t="s">
        <v>28</v>
      </c>
      <c r="B9" s="9" t="s">
        <v>29</v>
      </c>
      <c r="C9" s="14">
        <v>450000</v>
      </c>
      <c r="D9" s="11">
        <v>0.63422805883812572</v>
      </c>
      <c r="E9" s="12">
        <f t="shared" si="1334"/>
        <v>285402.62647715659</v>
      </c>
      <c r="F9" s="13">
        <v>0</v>
      </c>
      <c r="G9" s="44">
        <v>550000</v>
      </c>
      <c r="H9" s="13">
        <v>149406</v>
      </c>
      <c r="I9" s="16">
        <f t="shared" si="1335"/>
        <v>149406</v>
      </c>
      <c r="J9" s="17">
        <f t="shared" si="1336"/>
        <v>-100000</v>
      </c>
      <c r="K9" s="18">
        <f t="shared" si="1341"/>
        <v>348825.43236096913</v>
      </c>
      <c r="L9" s="19">
        <f t="shared" si="1342"/>
        <v>1.2222222222222221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337"/>
        <v>440000</v>
      </c>
      <c r="S9" s="35">
        <f t="shared" si="1338"/>
        <v>1139406</v>
      </c>
      <c r="T9" s="35">
        <f t="shared" si="1339"/>
        <v>689406</v>
      </c>
      <c r="U9" s="19">
        <f t="shared" si="1340"/>
        <v>2.5320133333333334</v>
      </c>
    </row>
    <row r="10">
      <c r="A10" s="9" t="s">
        <v>30</v>
      </c>
      <c r="B10" s="9" t="s">
        <v>31</v>
      </c>
      <c r="C10" s="14">
        <v>450000</v>
      </c>
      <c r="D10" s="50">
        <v>0.89352805883812592</v>
      </c>
      <c r="E10" s="14">
        <f t="shared" si="1334"/>
        <v>402087.62647715665</v>
      </c>
      <c r="F10" s="44">
        <v>0</v>
      </c>
      <c r="G10" s="13">
        <v>550000</v>
      </c>
      <c r="H10" s="44">
        <v>223136</v>
      </c>
      <c r="I10" s="16">
        <f t="shared" si="1335"/>
        <v>223136</v>
      </c>
      <c r="J10" s="17">
        <f t="shared" si="1336"/>
        <v>-100000</v>
      </c>
      <c r="K10" s="18">
        <f t="shared" si="1341"/>
        <v>491440.43236096925</v>
      </c>
      <c r="L10" s="19">
        <f t="shared" si="1342"/>
        <v>1.2222222222222223</v>
      </c>
      <c r="M10" s="34">
        <v>44000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337"/>
        <v>660000</v>
      </c>
      <c r="S10" s="35">
        <f t="shared" si="1338"/>
        <v>1433136</v>
      </c>
      <c r="T10" s="35">
        <f t="shared" si="1339"/>
        <v>983136</v>
      </c>
      <c r="U10" s="19">
        <f t="shared" si="1340"/>
        <v>3.1847466666666668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34"/>
        <v>0</v>
      </c>
      <c r="F11" s="13">
        <v>0</v>
      </c>
      <c r="G11" s="13">
        <v>0</v>
      </c>
      <c r="H11" s="13">
        <v>0</v>
      </c>
      <c r="I11" s="16">
        <f t="shared" si="1335"/>
        <v>0</v>
      </c>
      <c r="J11" s="17">
        <f t="shared" si="1336"/>
        <v>0</v>
      </c>
      <c r="K11" s="18">
        <f t="shared" si="1341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37"/>
        <v>0</v>
      </c>
      <c r="S11" s="35">
        <f t="shared" si="1338"/>
        <v>0</v>
      </c>
      <c r="T11" s="35">
        <f t="shared" si="1339"/>
        <v>0</v>
      </c>
      <c r="U11" s="19" t="e">
        <f t="shared" si="1340"/>
        <v>#DIV/0!</v>
      </c>
    </row>
    <row r="12">
      <c r="A12" s="9" t="s">
        <v>24</v>
      </c>
      <c r="B12" s="9" t="s">
        <v>25</v>
      </c>
      <c r="C12" s="14">
        <v>42286</v>
      </c>
      <c r="D12" s="11">
        <v>4.6805391470734206</v>
      </c>
      <c r="E12" s="12">
        <f t="shared" si="1334"/>
        <v>197921.27837314666</v>
      </c>
      <c r="F12" s="13">
        <v>0</v>
      </c>
      <c r="G12" s="13">
        <v>0</v>
      </c>
      <c r="H12" s="13">
        <v>63262</v>
      </c>
      <c r="I12" s="16">
        <f t="shared" si="1335"/>
        <v>63262</v>
      </c>
      <c r="J12" s="17">
        <f t="shared" si="1336"/>
        <v>42286</v>
      </c>
      <c r="K12" s="18">
        <f t="shared" si="1341"/>
        <v>0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337"/>
        <v>42000</v>
      </c>
      <c r="S12" s="35">
        <f t="shared" si="1338"/>
        <v>105262</v>
      </c>
      <c r="T12" s="35">
        <f t="shared" si="1339"/>
        <v>62976</v>
      </c>
      <c r="U12" s="19">
        <f t="shared" si="1340"/>
        <v>2.4892872345457127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334"/>
        <v>245445.56</v>
      </c>
      <c r="F13" s="13">
        <v>0</v>
      </c>
      <c r="G13" s="13">
        <v>0</v>
      </c>
      <c r="H13" s="13">
        <v>0</v>
      </c>
      <c r="I13" s="16">
        <f t="shared" si="1335"/>
        <v>0</v>
      </c>
      <c r="J13" s="17">
        <f t="shared" si="1336"/>
        <v>26506</v>
      </c>
      <c r="K13" s="18">
        <f t="shared" si="134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337"/>
        <v>0</v>
      </c>
      <c r="S13" s="35">
        <f t="shared" si="1338"/>
        <v>0</v>
      </c>
      <c r="T13" s="35">
        <f t="shared" si="1339"/>
        <v>-26506</v>
      </c>
      <c r="U13" s="19">
        <f t="shared" si="1340"/>
        <v>0</v>
      </c>
    </row>
    <row r="14">
      <c r="A14" s="9" t="s">
        <v>42</v>
      </c>
      <c r="B14" s="9" t="s">
        <v>43</v>
      </c>
      <c r="C14" s="14">
        <v>16870</v>
      </c>
      <c r="D14" s="11">
        <v>8.9388782058969483</v>
      </c>
      <c r="E14" s="12">
        <f t="shared" si="1334"/>
        <v>150798.87533348153</v>
      </c>
      <c r="F14" s="13">
        <v>0</v>
      </c>
      <c r="G14" s="13">
        <v>26636</v>
      </c>
      <c r="H14" s="13">
        <v>0</v>
      </c>
      <c r="I14" s="16">
        <f t="shared" si="1335"/>
        <v>0</v>
      </c>
      <c r="J14" s="17">
        <f t="shared" si="1336"/>
        <v>-9766</v>
      </c>
      <c r="K14" s="18">
        <f t="shared" si="1341"/>
        <v>238095.95989227112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337"/>
        <v>7000</v>
      </c>
      <c r="S14" s="35">
        <f t="shared" si="1338"/>
        <v>33636</v>
      </c>
      <c r="T14" s="35">
        <f t="shared" si="1339"/>
        <v>16766</v>
      </c>
      <c r="U14" s="19">
        <f t="shared" si="1340"/>
        <v>1.9938352104327208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334"/>
        <v>0</v>
      </c>
      <c r="F15" s="13">
        <v>0</v>
      </c>
      <c r="G15" s="33">
        <v>0</v>
      </c>
      <c r="H15" s="13">
        <v>0</v>
      </c>
      <c r="I15" s="16">
        <f t="shared" si="1335"/>
        <v>0</v>
      </c>
      <c r="J15" s="17">
        <f t="shared" si="1336"/>
        <v>0</v>
      </c>
      <c r="K15" s="18">
        <f t="shared" si="1341"/>
        <v>0</v>
      </c>
      <c r="L15" s="19" t="e">
        <f t="shared" ref="L15:L20" si="1343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37"/>
        <v>0</v>
      </c>
      <c r="S15" s="35">
        <f t="shared" si="1338"/>
        <v>0</v>
      </c>
      <c r="T15" s="35">
        <f t="shared" si="1339"/>
        <v>0</v>
      </c>
      <c r="U15" s="19" t="e">
        <f t="shared" si="1340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334"/>
        <v>0</v>
      </c>
      <c r="F16" s="13">
        <v>0</v>
      </c>
      <c r="G16" s="33">
        <v>0</v>
      </c>
      <c r="H16" s="13">
        <v>0</v>
      </c>
      <c r="I16" s="16">
        <f t="shared" si="1335"/>
        <v>0</v>
      </c>
      <c r="J16" s="17">
        <f t="shared" si="1336"/>
        <v>0</v>
      </c>
      <c r="K16" s="18">
        <f t="shared" si="1341"/>
        <v>0</v>
      </c>
      <c r="L16" s="19" t="e">
        <f t="shared" si="1343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37"/>
        <v>0</v>
      </c>
      <c r="S16" s="35">
        <f t="shared" si="1338"/>
        <v>0</v>
      </c>
      <c r="T16" s="35">
        <f t="shared" si="1339"/>
        <v>0</v>
      </c>
      <c r="U16" s="19" t="e">
        <f t="shared" si="1340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334"/>
        <v>0</v>
      </c>
      <c r="F17" s="13">
        <v>0</v>
      </c>
      <c r="G17" s="33">
        <v>0</v>
      </c>
      <c r="H17" s="13">
        <v>0</v>
      </c>
      <c r="I17" s="16">
        <f t="shared" si="1335"/>
        <v>0</v>
      </c>
      <c r="J17" s="17">
        <f t="shared" si="1336"/>
        <v>0</v>
      </c>
      <c r="K17" s="18">
        <f t="shared" si="1341"/>
        <v>0</v>
      </c>
      <c r="L17" s="19" t="e">
        <f t="shared" si="1343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37"/>
        <v>0</v>
      </c>
      <c r="S17" s="35">
        <f t="shared" si="1338"/>
        <v>0</v>
      </c>
      <c r="T17" s="35">
        <f t="shared" si="1339"/>
        <v>0</v>
      </c>
      <c r="U17" s="19" t="e">
        <f t="shared" si="1340"/>
        <v>#DIV/0!</v>
      </c>
    </row>
    <row r="18">
      <c r="A18" s="9" t="s">
        <v>22</v>
      </c>
      <c r="B18" s="9" t="s">
        <v>23</v>
      </c>
      <c r="C18" s="14">
        <v>750000</v>
      </c>
      <c r="D18" s="50">
        <v>1.3029343529557731</v>
      </c>
      <c r="E18" s="14">
        <f t="shared" si="1334"/>
        <v>977200.76471682987</v>
      </c>
      <c r="F18" s="13">
        <v>134114</v>
      </c>
      <c r="G18" s="13">
        <v>590698</v>
      </c>
      <c r="H18" s="13">
        <v>158193</v>
      </c>
      <c r="I18" s="16">
        <f t="shared" si="1335"/>
        <v>292307</v>
      </c>
      <c r="J18" s="17">
        <f t="shared" si="1336"/>
        <v>159302</v>
      </c>
      <c r="K18" s="18">
        <f t="shared" si="1341"/>
        <v>769640.71642226924</v>
      </c>
      <c r="L18" s="19">
        <f t="shared" si="1343"/>
        <v>0.78759733333333326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337"/>
        <v>290000</v>
      </c>
      <c r="S18" s="35">
        <f t="shared" si="1338"/>
        <v>1173005</v>
      </c>
      <c r="T18" s="35">
        <f t="shared" si="1339"/>
        <v>423005</v>
      </c>
      <c r="U18" s="19">
        <f t="shared" si="1340"/>
        <v>1.5640066666666668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341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344">M19+N19+O19+P19+Q19</f>
        <v>0</v>
      </c>
      <c r="S19" s="35">
        <f t="shared" ref="S19:S20" si="1345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3458019</v>
      </c>
      <c r="D20" s="23"/>
      <c r="E20" s="22">
        <f t="shared" ref="E20:K20" si="1346">SUM(E3:E19)</f>
        <v>5508854.3482640292</v>
      </c>
      <c r="F20" s="24">
        <f t="shared" si="1346"/>
        <v>306568</v>
      </c>
      <c r="G20" s="24">
        <f t="shared" si="1346"/>
        <v>3192270</v>
      </c>
      <c r="H20" s="24">
        <f t="shared" si="1346"/>
        <v>690345</v>
      </c>
      <c r="I20" s="25">
        <f t="shared" si="1346"/>
        <v>996913</v>
      </c>
      <c r="J20" s="26">
        <f t="shared" si="1346"/>
        <v>265749</v>
      </c>
      <c r="K20" s="26">
        <f t="shared" si="1346"/>
        <v>4581315.1433269484</v>
      </c>
      <c r="L20" s="27">
        <f t="shared" si="1343"/>
        <v>0.83162756785730407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344"/>
        <v>1</v>
      </c>
      <c r="S20" s="35">
        <f t="shared" si="1345"/>
        <v>4189184</v>
      </c>
      <c r="T20" s="41"/>
    </row>
    <row r="24">
      <c r="C24" s="28"/>
      <c r="D24" s="28"/>
      <c r="E24" s="28"/>
      <c r="F24" s="28"/>
    </row>
    <row r="25">
      <c r="C25" s="28"/>
      <c r="D25" s="28"/>
      <c r="E25" s="28"/>
      <c r="F25" s="28"/>
    </row>
    <row r="26">
      <c r="C26" s="28"/>
      <c r="D26" s="28"/>
      <c r="E26" s="28"/>
      <c r="F26" s="28"/>
    </row>
    <row r="27">
      <c r="C27" s="28"/>
      <c r="D27" s="28"/>
      <c r="E27" s="28"/>
      <c r="F27" s="28"/>
    </row>
    <row r="28">
      <c r="C28" s="28"/>
      <c r="D28" s="28"/>
      <c r="E28" s="28"/>
      <c r="F28" s="28"/>
    </row>
    <row r="36">
      <c r="B36" s="28"/>
      <c r="C36" s="28"/>
      <c r="D36" s="28"/>
      <c r="E36" s="28"/>
      <c r="K36" t="s">
        <v>64</v>
      </c>
    </row>
    <row r="37">
      <c r="D37" t="s">
        <v>64</v>
      </c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000042-0026-4A3D-9F56-000400A2003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6E005A-00B6-435D-9F7D-002100CB00E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180062-0055-4EB2-8725-006700DD00C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06008D-000D-46CA-8571-000C003400E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9C00EC-000B-4AB7-875A-00C9009100A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8700A1-0011-44C4-8705-00B6000E00D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4300B8-0009-445D-9C23-00A6000800E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81000E-00D5-41D2-AA79-004800C5003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B900BA-005A-4EE2-A6F4-006D00D7006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13" activeCellId="0" sqref="I13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68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108">C3*D3</f>
        <v>1870761.2046759115</v>
      </c>
      <c r="F3" s="13">
        <v>0</v>
      </c>
      <c r="G3" s="43">
        <v>522045</v>
      </c>
      <c r="H3" s="13">
        <v>204719</v>
      </c>
      <c r="I3" s="16">
        <f t="shared" ref="I3:I17" si="109">F3+H3</f>
        <v>204719</v>
      </c>
      <c r="J3" s="17">
        <f t="shared" ref="J3:J17" si="110">C3-G3</f>
        <v>124745</v>
      </c>
      <c r="K3" s="18">
        <f t="shared" ref="K3:K17" si="111">+G3*D3</f>
        <v>1509951.5037261494</v>
      </c>
      <c r="L3" s="19">
        <f t="shared" ref="L3:L11" si="112">K3/E3</f>
        <v>0.80713214490019947</v>
      </c>
      <c r="M3" s="33">
        <v>0</v>
      </c>
      <c r="N3" s="33">
        <v>0</v>
      </c>
      <c r="O3" s="33">
        <v>0</v>
      </c>
      <c r="P3" s="33">
        <v>0</v>
      </c>
      <c r="Q3" s="40">
        <v>259000</v>
      </c>
      <c r="R3" s="34">
        <f t="shared" ref="R3:R18" si="113">M3+N3+O3+P3+Q3</f>
        <v>259000</v>
      </c>
      <c r="S3" s="35">
        <f t="shared" ref="S3:S18" si="114">G3+I3+R3</f>
        <v>985764</v>
      </c>
      <c r="T3" s="35">
        <f t="shared" ref="T3:T17" si="115">S3-C3</f>
        <v>338974</v>
      </c>
      <c r="U3" s="19">
        <f t="shared" ref="U3:U17" si="116">S3/C3</f>
        <v>1.5240866432690672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108"/>
        <v>390880.30588673195</v>
      </c>
      <c r="F4" s="13">
        <v>142793</v>
      </c>
      <c r="G4" s="13">
        <v>299987</v>
      </c>
      <c r="H4" s="13">
        <v>0</v>
      </c>
      <c r="I4" s="16">
        <f t="shared" si="109"/>
        <v>142793</v>
      </c>
      <c r="J4" s="17">
        <f t="shared" si="110"/>
        <v>13</v>
      </c>
      <c r="K4" s="18">
        <f t="shared" si="111"/>
        <v>390863.3677401435</v>
      </c>
      <c r="L4" s="19">
        <f t="shared" si="11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13"/>
        <v>0</v>
      </c>
      <c r="S4" s="35">
        <f t="shared" si="114"/>
        <v>442780</v>
      </c>
      <c r="T4" s="35">
        <f t="shared" si="115"/>
        <v>142780</v>
      </c>
      <c r="U4" s="19">
        <f t="shared" si="11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8"/>
        <v>0</v>
      </c>
      <c r="F5" s="13">
        <v>0</v>
      </c>
      <c r="G5" s="13">
        <v>0</v>
      </c>
      <c r="H5" s="13">
        <v>0</v>
      </c>
      <c r="I5" s="16">
        <f t="shared" si="109"/>
        <v>0</v>
      </c>
      <c r="J5" s="17">
        <f t="shared" si="110"/>
        <v>0</v>
      </c>
      <c r="K5" s="18">
        <f t="shared" si="11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13"/>
        <v>0</v>
      </c>
      <c r="S5" s="35">
        <f t="shared" si="114"/>
        <v>0</v>
      </c>
      <c r="T5" s="35">
        <f t="shared" si="115"/>
        <v>0</v>
      </c>
      <c r="U5" s="19" t="e">
        <f t="shared" si="11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108"/>
        <v>644777.55587835144</v>
      </c>
      <c r="F6" s="13">
        <v>31074</v>
      </c>
      <c r="G6" s="43">
        <v>601076</v>
      </c>
      <c r="H6" s="43">
        <v>94558</v>
      </c>
      <c r="I6" s="16">
        <f t="shared" si="109"/>
        <v>125632</v>
      </c>
      <c r="J6" s="17">
        <f t="shared" si="110"/>
        <v>-36980</v>
      </c>
      <c r="K6" s="18">
        <f t="shared" si="111"/>
        <v>687046.73349418538</v>
      </c>
      <c r="L6" s="19">
        <f t="shared" si="112"/>
        <v>1.0655562173814386</v>
      </c>
      <c r="M6" s="33">
        <v>0</v>
      </c>
      <c r="N6" s="33">
        <v>0</v>
      </c>
      <c r="O6" s="33">
        <v>0</v>
      </c>
      <c r="P6" s="33">
        <v>0</v>
      </c>
      <c r="Q6" s="33">
        <v>315000</v>
      </c>
      <c r="R6" s="34">
        <f t="shared" si="113"/>
        <v>315000</v>
      </c>
      <c r="S6" s="35">
        <f t="shared" si="114"/>
        <v>1041708</v>
      </c>
      <c r="T6" s="35">
        <f t="shared" si="115"/>
        <v>477612</v>
      </c>
      <c r="U6" s="19">
        <f t="shared" si="116"/>
        <v>1.8466856705241661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108"/>
        <v>221472.43814627349</v>
      </c>
      <c r="F7" s="13">
        <v>0</v>
      </c>
      <c r="G7" s="13">
        <v>342865</v>
      </c>
      <c r="H7" s="13">
        <v>0</v>
      </c>
      <c r="I7" s="16">
        <f t="shared" si="109"/>
        <v>0</v>
      </c>
      <c r="J7" s="17">
        <f t="shared" si="110"/>
        <v>6335</v>
      </c>
      <c r="K7" s="18">
        <f t="shared" si="111"/>
        <v>217454.60339353397</v>
      </c>
      <c r="L7" s="19">
        <f t="shared" si="112"/>
        <v>0.98185853379152355</v>
      </c>
      <c r="M7" s="33">
        <v>0</v>
      </c>
      <c r="N7" s="33">
        <v>0</v>
      </c>
      <c r="O7" s="33">
        <v>0</v>
      </c>
      <c r="P7" s="33">
        <v>0</v>
      </c>
      <c r="Q7" s="33">
        <v>435000</v>
      </c>
      <c r="R7" s="34">
        <f t="shared" si="113"/>
        <v>435000</v>
      </c>
      <c r="S7" s="35">
        <f t="shared" si="114"/>
        <v>777865</v>
      </c>
      <c r="T7" s="35">
        <f t="shared" si="115"/>
        <v>428665</v>
      </c>
      <c r="U7" s="19">
        <f t="shared" si="116"/>
        <v>2.2275630011454752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108"/>
        <v>585037.49652426294</v>
      </c>
      <c r="F8" s="13">
        <v>0</v>
      </c>
      <c r="G8" s="13">
        <v>481535</v>
      </c>
      <c r="H8" s="13">
        <v>299868</v>
      </c>
      <c r="I8" s="16">
        <f t="shared" si="109"/>
        <v>299868</v>
      </c>
      <c r="J8" s="17">
        <f t="shared" si="110"/>
        <v>173215</v>
      </c>
      <c r="K8" s="18">
        <f t="shared" si="111"/>
        <v>430265.03381261695</v>
      </c>
      <c r="L8" s="19">
        <f t="shared" si="112"/>
        <v>0.73544864452080949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4">
        <f t="shared" si="113"/>
        <v>0</v>
      </c>
      <c r="S8" s="35">
        <f t="shared" si="114"/>
        <v>781403</v>
      </c>
      <c r="T8" s="35">
        <f t="shared" si="115"/>
        <v>126653</v>
      </c>
      <c r="U8" s="19">
        <f t="shared" si="116"/>
        <v>1.1934371897670866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108"/>
        <v>216656.93033237188</v>
      </c>
      <c r="F9" s="13">
        <v>0</v>
      </c>
      <c r="G9" s="13">
        <v>231850</v>
      </c>
      <c r="H9" s="13">
        <v>0</v>
      </c>
      <c r="I9" s="16">
        <f t="shared" si="109"/>
        <v>0</v>
      </c>
      <c r="J9" s="17">
        <f t="shared" si="110"/>
        <v>-29050</v>
      </c>
      <c r="K9" s="18">
        <f t="shared" si="111"/>
        <v>247691.86044161944</v>
      </c>
      <c r="L9" s="19">
        <f t="shared" si="112"/>
        <v>1.1432445759368837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4">
        <f t="shared" si="113"/>
        <v>0</v>
      </c>
      <c r="S9" s="35">
        <f t="shared" si="114"/>
        <v>231850</v>
      </c>
      <c r="T9" s="35">
        <f t="shared" si="115"/>
        <v>29050</v>
      </c>
      <c r="U9" s="19">
        <f t="shared" si="116"/>
        <v>1.1432445759368837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108"/>
        <v>505114.07016586867</v>
      </c>
      <c r="F10" s="13">
        <v>0</v>
      </c>
      <c r="G10" s="13">
        <v>233346</v>
      </c>
      <c r="H10" s="13">
        <v>0</v>
      </c>
      <c r="I10" s="16">
        <f t="shared" si="109"/>
        <v>0</v>
      </c>
      <c r="J10" s="17">
        <f t="shared" si="110"/>
        <v>-540</v>
      </c>
      <c r="K10" s="18">
        <f t="shared" si="111"/>
        <v>506285.6963176413</v>
      </c>
      <c r="L10" s="19">
        <f t="shared" si="112"/>
        <v>1.0023195278472206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113"/>
        <v>6</v>
      </c>
      <c r="S10" s="35">
        <f t="shared" si="114"/>
        <v>233352</v>
      </c>
      <c r="T10" s="35">
        <f t="shared" si="115"/>
        <v>546</v>
      </c>
      <c r="U10" s="19">
        <f t="shared" si="11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108"/>
        <v>58121.655911310321</v>
      </c>
      <c r="F11" s="13">
        <v>0</v>
      </c>
      <c r="G11" s="13">
        <v>37379</v>
      </c>
      <c r="H11" s="13">
        <v>0</v>
      </c>
      <c r="I11" s="16">
        <f t="shared" si="109"/>
        <v>0</v>
      </c>
      <c r="J11" s="17">
        <f t="shared" si="110"/>
        <v>0</v>
      </c>
      <c r="K11" s="18">
        <f t="shared" si="111"/>
        <v>58121.655911310321</v>
      </c>
      <c r="L11" s="19">
        <f t="shared" si="11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13"/>
        <v>0</v>
      </c>
      <c r="S11" s="35">
        <f t="shared" si="114"/>
        <v>37379</v>
      </c>
      <c r="T11" s="35">
        <f t="shared" si="115"/>
        <v>0</v>
      </c>
      <c r="U11" s="19">
        <f t="shared" si="11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8"/>
        <v>0</v>
      </c>
      <c r="F12" s="13"/>
      <c r="G12" s="13">
        <v>0</v>
      </c>
      <c r="H12" s="13">
        <v>0</v>
      </c>
      <c r="I12" s="16">
        <f t="shared" si="109"/>
        <v>0</v>
      </c>
      <c r="J12" s="17">
        <f t="shared" si="110"/>
        <v>0</v>
      </c>
      <c r="K12" s="18">
        <f t="shared" si="11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13"/>
        <v>0</v>
      </c>
      <c r="S12" s="35">
        <f t="shared" si="114"/>
        <v>0</v>
      </c>
      <c r="T12" s="35">
        <f t="shared" si="115"/>
        <v>0</v>
      </c>
      <c r="U12" s="19" t="e">
        <f t="shared" si="11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8"/>
        <v>0</v>
      </c>
      <c r="F13" s="13"/>
      <c r="G13" s="13">
        <v>0</v>
      </c>
      <c r="H13" s="13">
        <v>0</v>
      </c>
      <c r="I13" s="16">
        <f t="shared" si="109"/>
        <v>0</v>
      </c>
      <c r="J13" s="17">
        <f t="shared" si="110"/>
        <v>0</v>
      </c>
      <c r="K13" s="18">
        <f t="shared" si="11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13"/>
        <v>0</v>
      </c>
      <c r="S13" s="35">
        <f t="shared" si="114"/>
        <v>0</v>
      </c>
      <c r="T13" s="35">
        <f t="shared" si="115"/>
        <v>0</v>
      </c>
      <c r="U13" s="19" t="e">
        <f t="shared" si="11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08"/>
        <v>0</v>
      </c>
      <c r="F14" s="13"/>
      <c r="G14" s="13">
        <v>0</v>
      </c>
      <c r="H14" s="13">
        <v>0</v>
      </c>
      <c r="I14" s="16">
        <f t="shared" si="109"/>
        <v>0</v>
      </c>
      <c r="J14" s="17">
        <f t="shared" si="110"/>
        <v>0</v>
      </c>
      <c r="K14" s="18">
        <f t="shared" si="11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13"/>
        <v>0</v>
      </c>
      <c r="S14" s="35">
        <f t="shared" si="114"/>
        <v>0</v>
      </c>
      <c r="T14" s="35">
        <f t="shared" si="115"/>
        <v>0</v>
      </c>
      <c r="U14" s="19" t="e">
        <f t="shared" si="11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08"/>
        <v>0</v>
      </c>
      <c r="F15" s="13"/>
      <c r="G15" s="13">
        <v>0</v>
      </c>
      <c r="H15" s="13">
        <v>0</v>
      </c>
      <c r="I15" s="16">
        <f t="shared" si="109"/>
        <v>0</v>
      </c>
      <c r="J15" s="17">
        <f t="shared" si="110"/>
        <v>0</v>
      </c>
      <c r="K15" s="18">
        <f t="shared" si="11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13"/>
        <v>0</v>
      </c>
      <c r="S15" s="35">
        <f t="shared" si="114"/>
        <v>0</v>
      </c>
      <c r="T15" s="35">
        <f t="shared" si="115"/>
        <v>0</v>
      </c>
      <c r="U15" s="19" t="e">
        <f t="shared" si="11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08"/>
        <v>0</v>
      </c>
      <c r="F16" s="13"/>
      <c r="G16" s="13">
        <v>0</v>
      </c>
      <c r="H16" s="13">
        <v>0</v>
      </c>
      <c r="I16" s="16">
        <f t="shared" si="109"/>
        <v>0</v>
      </c>
      <c r="J16" s="17">
        <f t="shared" si="110"/>
        <v>0</v>
      </c>
      <c r="K16" s="18">
        <f t="shared" si="11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13"/>
        <v>0</v>
      </c>
      <c r="S16" s="35">
        <f t="shared" si="114"/>
        <v>0</v>
      </c>
      <c r="T16" s="35">
        <f t="shared" si="115"/>
        <v>0</v>
      </c>
      <c r="U16" s="19" t="e">
        <f t="shared" si="11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108"/>
        <v>3629.0452579287512</v>
      </c>
      <c r="F17" s="13">
        <v>50000</v>
      </c>
      <c r="G17" s="13">
        <v>787</v>
      </c>
      <c r="H17" s="13">
        <v>0</v>
      </c>
      <c r="I17" s="16">
        <f t="shared" si="109"/>
        <v>50000</v>
      </c>
      <c r="J17" s="17">
        <f t="shared" si="110"/>
        <v>400</v>
      </c>
      <c r="K17" s="18">
        <f t="shared" si="111"/>
        <v>2406.1150951894924</v>
      </c>
      <c r="L17" s="19">
        <f t="shared" ref="L17:L18" si="11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13"/>
        <v>0</v>
      </c>
      <c r="S17" s="35">
        <f t="shared" si="114"/>
        <v>50787</v>
      </c>
      <c r="T17" s="35">
        <f t="shared" si="115"/>
        <v>49600</v>
      </c>
      <c r="U17" s="19">
        <f t="shared" si="11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2750870</v>
      </c>
      <c r="H18" s="24">
        <f>SUM(H3:H17)</f>
        <v>599145</v>
      </c>
      <c r="I18" s="25">
        <f>SUM(I3:I17)</f>
        <v>823012</v>
      </c>
      <c r="J18" s="26">
        <f>SUM(J3:J17)</f>
        <v>238138</v>
      </c>
      <c r="K18" s="26">
        <f>SUM(K3:K17)</f>
        <v>4050086.5699323891</v>
      </c>
      <c r="L18" s="27">
        <f t="shared" si="117"/>
        <v>0.90072967272369975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13"/>
        <v>0</v>
      </c>
      <c r="S18" s="35">
        <f t="shared" si="114"/>
        <v>3573882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600AE-004A-4B46-A179-001E00C6005E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CE0069-009D-489D-A951-002E0038003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1500BA-0084-4762-97A0-000A0078009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E0015-00A4-4630-A181-00E0000C00C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B40027-00A1-497D-B8EA-00F20033006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900045-0031-4DF3-875B-00C8005600D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A10021-00B8-42D3-848F-00FE004F00A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18" activeCellId="0" sqref="F1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224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18" si="1347">C3*D3</f>
        <v>0</v>
      </c>
      <c r="F3" s="13">
        <v>36868</v>
      </c>
      <c r="G3" s="44">
        <v>0</v>
      </c>
      <c r="H3" s="13">
        <v>0</v>
      </c>
      <c r="I3" s="16">
        <f t="shared" ref="I3:I18" si="1348">F3+H3</f>
        <v>36868</v>
      </c>
      <c r="J3" s="17">
        <f t="shared" ref="J3:J18" si="1349">C3-G3</f>
        <v>0</v>
      </c>
      <c r="K3" s="18">
        <f>+G3*D3</f>
        <v>0</v>
      </c>
      <c r="L3" s="19" t="e">
        <f>K3/E3</f>
        <v>#DIV/0!</v>
      </c>
      <c r="M3" s="34">
        <v>111000</v>
      </c>
      <c r="N3" s="58">
        <v>129000</v>
      </c>
      <c r="O3" s="34">
        <v>129000</v>
      </c>
      <c r="P3" s="34">
        <v>129000</v>
      </c>
      <c r="Q3" s="34">
        <v>0</v>
      </c>
      <c r="R3" s="34">
        <f t="shared" ref="R3:R18" si="1350">M3+N3+O3+P3+Q3</f>
        <v>498000</v>
      </c>
      <c r="S3" s="35">
        <f t="shared" ref="S3:S18" si="1351">G3+I3+R3</f>
        <v>534868</v>
      </c>
      <c r="T3" s="35">
        <f t="shared" ref="T3:T18" si="1352">S3-C3</f>
        <v>534868</v>
      </c>
      <c r="U3" s="19" t="e">
        <f t="shared" ref="U3:U18" si="1353">S3/C3</f>
        <v>#DIV/0!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347"/>
        <v>0</v>
      </c>
      <c r="F4" s="13">
        <v>135586</v>
      </c>
      <c r="G4" s="13">
        <v>0</v>
      </c>
      <c r="H4" s="13">
        <v>0</v>
      </c>
      <c r="I4" s="16">
        <f t="shared" si="1348"/>
        <v>135586</v>
      </c>
      <c r="J4" s="17">
        <f t="shared" si="1349"/>
        <v>0</v>
      </c>
      <c r="K4" s="18">
        <f>D4*G4</f>
        <v>0</v>
      </c>
      <c r="L4" s="19">
        <v>0</v>
      </c>
      <c r="M4" s="34">
        <v>74000</v>
      </c>
      <c r="N4" s="58">
        <v>74000</v>
      </c>
      <c r="O4" s="34">
        <v>0</v>
      </c>
      <c r="P4" s="34">
        <v>0</v>
      </c>
      <c r="Q4" s="34">
        <v>0</v>
      </c>
      <c r="R4" s="34">
        <f t="shared" si="1350"/>
        <v>148000</v>
      </c>
      <c r="S4" s="35">
        <f t="shared" si="1351"/>
        <v>283586</v>
      </c>
      <c r="T4" s="35">
        <f t="shared" si="1352"/>
        <v>283586</v>
      </c>
      <c r="U4" s="19" t="e">
        <f t="shared" si="1353"/>
        <v>#DIV/0!</v>
      </c>
    </row>
    <row r="5">
      <c r="A5" s="9" t="s">
        <v>32</v>
      </c>
      <c r="B5" s="9" t="s">
        <v>33</v>
      </c>
      <c r="C5" s="14">
        <v>0</v>
      </c>
      <c r="D5" s="11">
        <v>1.0683280588381256</v>
      </c>
      <c r="E5" s="12">
        <f t="shared" si="1347"/>
        <v>0</v>
      </c>
      <c r="F5" s="13">
        <v>0</v>
      </c>
      <c r="G5" s="13">
        <v>0</v>
      </c>
      <c r="H5" s="13">
        <v>12677</v>
      </c>
      <c r="I5" s="16">
        <f t="shared" si="1348"/>
        <v>12677</v>
      </c>
      <c r="J5" s="17">
        <f t="shared" si="1349"/>
        <v>0</v>
      </c>
      <c r="K5" s="18">
        <f t="shared" ref="K5:K19" si="1354">+G5*D5</f>
        <v>0</v>
      </c>
      <c r="L5" s="19" t="e">
        <f t="shared" ref="L5:L10" si="1355">K5/E5</f>
        <v>#DIV/0!</v>
      </c>
      <c r="M5" s="34">
        <v>0</v>
      </c>
      <c r="N5" s="58">
        <v>0</v>
      </c>
      <c r="O5" s="34">
        <v>156000</v>
      </c>
      <c r="P5" s="34">
        <v>0</v>
      </c>
      <c r="Q5" s="34">
        <v>0</v>
      </c>
      <c r="R5" s="34">
        <f t="shared" si="1350"/>
        <v>156000</v>
      </c>
      <c r="S5" s="35">
        <f t="shared" si="1351"/>
        <v>168677</v>
      </c>
      <c r="T5" s="35">
        <f t="shared" si="1352"/>
        <v>168677</v>
      </c>
      <c r="U5" s="19" t="e">
        <f t="shared" si="1353"/>
        <v>#DIV/0!</v>
      </c>
    </row>
    <row r="6">
      <c r="A6" s="9" t="s">
        <v>34</v>
      </c>
      <c r="B6" s="9" t="s">
        <v>35</v>
      </c>
      <c r="C6" s="14">
        <v>0</v>
      </c>
      <c r="D6" s="50">
        <v>2.1696780588381257</v>
      </c>
      <c r="E6" s="14">
        <f t="shared" si="1347"/>
        <v>0</v>
      </c>
      <c r="F6" s="13">
        <v>76692</v>
      </c>
      <c r="G6" s="13">
        <v>70400</v>
      </c>
      <c r="H6" s="13">
        <v>13271</v>
      </c>
      <c r="I6" s="16">
        <f t="shared" si="1348"/>
        <v>89963</v>
      </c>
      <c r="J6" s="17">
        <f t="shared" si="1349"/>
        <v>-70400</v>
      </c>
      <c r="K6" s="18">
        <f t="shared" si="1354"/>
        <v>152745.33534220405</v>
      </c>
      <c r="L6" s="19" t="e">
        <f t="shared" si="1355"/>
        <v>#DIV/0!</v>
      </c>
      <c r="M6" s="34">
        <v>312000</v>
      </c>
      <c r="N6" s="58">
        <v>78000</v>
      </c>
      <c r="O6" s="34">
        <v>0</v>
      </c>
      <c r="P6" s="69">
        <v>234000</v>
      </c>
      <c r="Q6" s="34">
        <v>0</v>
      </c>
      <c r="R6" s="34">
        <f t="shared" si="1350"/>
        <v>624000</v>
      </c>
      <c r="S6" s="35">
        <f t="shared" si="1351"/>
        <v>784363</v>
      </c>
      <c r="T6" s="35">
        <f t="shared" si="1352"/>
        <v>784363</v>
      </c>
      <c r="U6" s="19" t="e">
        <f t="shared" si="1353"/>
        <v>#DIV/0!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47"/>
        <v>0</v>
      </c>
      <c r="F7" s="13">
        <v>0</v>
      </c>
      <c r="G7" s="13">
        <v>0</v>
      </c>
      <c r="H7" s="13">
        <v>0</v>
      </c>
      <c r="I7" s="16">
        <f t="shared" si="1348"/>
        <v>0</v>
      </c>
      <c r="J7" s="17">
        <f t="shared" si="1349"/>
        <v>0</v>
      </c>
      <c r="K7" s="18">
        <f t="shared" si="1354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50"/>
        <v>0</v>
      </c>
      <c r="S7" s="35">
        <f t="shared" si="1351"/>
        <v>0</v>
      </c>
      <c r="T7" s="35">
        <f t="shared" si="1352"/>
        <v>0</v>
      </c>
      <c r="U7" s="19" t="e">
        <f t="shared" si="1353"/>
        <v>#DIV/0!</v>
      </c>
    </row>
    <row r="8">
      <c r="A8" s="9" t="s">
        <v>26</v>
      </c>
      <c r="B8" s="9" t="s">
        <v>27</v>
      </c>
      <c r="C8" s="14">
        <v>0</v>
      </c>
      <c r="D8" s="11">
        <v>1.1430280588381259</v>
      </c>
      <c r="E8" s="12">
        <f t="shared" si="1347"/>
        <v>0</v>
      </c>
      <c r="F8" s="13">
        <v>0</v>
      </c>
      <c r="G8" s="44">
        <v>0</v>
      </c>
      <c r="H8" s="44">
        <v>0</v>
      </c>
      <c r="I8" s="16">
        <f t="shared" si="1348"/>
        <v>0</v>
      </c>
      <c r="J8" s="17">
        <f t="shared" si="1349"/>
        <v>0</v>
      </c>
      <c r="K8" s="18">
        <f t="shared" si="1354"/>
        <v>0</v>
      </c>
      <c r="L8" s="19" t="e">
        <f t="shared" si="1355"/>
        <v>#DIV/0!</v>
      </c>
      <c r="M8" s="34">
        <v>189000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350"/>
        <v>629000</v>
      </c>
      <c r="S8" s="35">
        <f t="shared" si="1351"/>
        <v>629000</v>
      </c>
      <c r="T8" s="35">
        <f t="shared" si="1352"/>
        <v>629000</v>
      </c>
      <c r="U8" s="19" t="e">
        <f t="shared" si="1353"/>
        <v>#DIV/0!</v>
      </c>
    </row>
    <row r="9">
      <c r="A9" s="9" t="s">
        <v>28</v>
      </c>
      <c r="B9" s="9" t="s">
        <v>29</v>
      </c>
      <c r="C9" s="14">
        <v>0</v>
      </c>
      <c r="D9" s="11">
        <v>0.63422805883812572</v>
      </c>
      <c r="E9" s="12">
        <f t="shared" si="1347"/>
        <v>0</v>
      </c>
      <c r="F9" s="13">
        <v>0</v>
      </c>
      <c r="G9" s="44">
        <v>0</v>
      </c>
      <c r="H9" s="13">
        <v>149406</v>
      </c>
      <c r="I9" s="16">
        <f t="shared" si="1348"/>
        <v>149406</v>
      </c>
      <c r="J9" s="17">
        <f t="shared" si="1349"/>
        <v>0</v>
      </c>
      <c r="K9" s="18">
        <f t="shared" si="1354"/>
        <v>0</v>
      </c>
      <c r="L9" s="19" t="e">
        <f t="shared" si="1355"/>
        <v>#DIV/0!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350"/>
        <v>440000</v>
      </c>
      <c r="S9" s="35">
        <f t="shared" si="1351"/>
        <v>589406</v>
      </c>
      <c r="T9" s="35">
        <f t="shared" si="1352"/>
        <v>589406</v>
      </c>
      <c r="U9" s="19" t="e">
        <f t="shared" si="1353"/>
        <v>#DIV/0!</v>
      </c>
    </row>
    <row r="10">
      <c r="A10" s="9" t="s">
        <v>30</v>
      </c>
      <c r="B10" s="9" t="s">
        <v>31</v>
      </c>
      <c r="C10" s="14">
        <v>0</v>
      </c>
      <c r="D10" s="50">
        <v>0.89352805883812592</v>
      </c>
      <c r="E10" s="14">
        <f t="shared" si="1347"/>
        <v>0</v>
      </c>
      <c r="F10" s="44">
        <v>0</v>
      </c>
      <c r="G10" s="13">
        <v>0</v>
      </c>
      <c r="H10" s="44">
        <v>223136</v>
      </c>
      <c r="I10" s="16">
        <f t="shared" si="1348"/>
        <v>223136</v>
      </c>
      <c r="J10" s="17">
        <f t="shared" si="1349"/>
        <v>0</v>
      </c>
      <c r="K10" s="18">
        <f t="shared" si="1354"/>
        <v>0</v>
      </c>
      <c r="L10" s="19" t="e">
        <f t="shared" si="1355"/>
        <v>#DIV/0!</v>
      </c>
      <c r="M10" s="34">
        <v>44000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350"/>
        <v>660000</v>
      </c>
      <c r="S10" s="35">
        <f t="shared" si="1351"/>
        <v>883136</v>
      </c>
      <c r="T10" s="35">
        <f t="shared" si="1352"/>
        <v>883136</v>
      </c>
      <c r="U10" s="19" t="e">
        <f t="shared" si="1353"/>
        <v>#DIV/0!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47"/>
        <v>0</v>
      </c>
      <c r="F11" s="13">
        <v>0</v>
      </c>
      <c r="G11" s="13">
        <v>0</v>
      </c>
      <c r="H11" s="13">
        <v>0</v>
      </c>
      <c r="I11" s="16">
        <f t="shared" si="1348"/>
        <v>0</v>
      </c>
      <c r="J11" s="17">
        <f t="shared" si="1349"/>
        <v>0</v>
      </c>
      <c r="K11" s="18">
        <f t="shared" si="1354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50"/>
        <v>0</v>
      </c>
      <c r="S11" s="35">
        <f t="shared" si="1351"/>
        <v>0</v>
      </c>
      <c r="T11" s="35">
        <f t="shared" si="1352"/>
        <v>0</v>
      </c>
      <c r="U11" s="19" t="e">
        <f t="shared" si="1353"/>
        <v>#DIV/0!</v>
      </c>
    </row>
    <row r="12">
      <c r="A12" s="9" t="s">
        <v>24</v>
      </c>
      <c r="B12" s="9" t="s">
        <v>25</v>
      </c>
      <c r="C12" s="14">
        <v>0</v>
      </c>
      <c r="D12" s="11">
        <v>4.6805391470734206</v>
      </c>
      <c r="E12" s="12">
        <f t="shared" si="1347"/>
        <v>0</v>
      </c>
      <c r="F12" s="13">
        <v>0</v>
      </c>
      <c r="G12" s="13">
        <v>42292</v>
      </c>
      <c r="H12" s="13">
        <v>20970</v>
      </c>
      <c r="I12" s="16">
        <f t="shared" si="1348"/>
        <v>20970</v>
      </c>
      <c r="J12" s="17">
        <f t="shared" si="1349"/>
        <v>-42292</v>
      </c>
      <c r="K12" s="18">
        <f t="shared" si="1354"/>
        <v>197949.36160802911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350"/>
        <v>42000</v>
      </c>
      <c r="S12" s="35">
        <f t="shared" si="1351"/>
        <v>105262</v>
      </c>
      <c r="T12" s="35">
        <f t="shared" si="1352"/>
        <v>105262</v>
      </c>
      <c r="U12" s="19" t="e">
        <f t="shared" si="1353"/>
        <v>#DIV/0!</v>
      </c>
    </row>
    <row r="13">
      <c r="A13" s="56">
        <v>60000000032802</v>
      </c>
      <c r="B13" s="9" t="s">
        <v>113</v>
      </c>
      <c r="C13" s="14">
        <v>0</v>
      </c>
      <c r="D13" s="11">
        <v>9.2599999999999998</v>
      </c>
      <c r="E13" s="12">
        <f t="shared" si="1347"/>
        <v>0</v>
      </c>
      <c r="F13" s="13">
        <v>0</v>
      </c>
      <c r="G13" s="13">
        <v>0</v>
      </c>
      <c r="H13" s="13">
        <v>0</v>
      </c>
      <c r="I13" s="16">
        <f t="shared" si="1348"/>
        <v>0</v>
      </c>
      <c r="J13" s="17">
        <f t="shared" si="1349"/>
        <v>0</v>
      </c>
      <c r="K13" s="18">
        <f t="shared" si="135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350"/>
        <v>0</v>
      </c>
      <c r="S13" s="35">
        <f t="shared" si="1351"/>
        <v>0</v>
      </c>
      <c r="T13" s="35">
        <f t="shared" si="1352"/>
        <v>0</v>
      </c>
      <c r="U13" s="19" t="e">
        <f t="shared" si="1353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347"/>
        <v>0</v>
      </c>
      <c r="F14" s="13">
        <v>0</v>
      </c>
      <c r="G14" s="13">
        <v>0</v>
      </c>
      <c r="H14" s="13">
        <v>0</v>
      </c>
      <c r="I14" s="16">
        <f t="shared" si="1348"/>
        <v>0</v>
      </c>
      <c r="J14" s="17">
        <f t="shared" si="1349"/>
        <v>0</v>
      </c>
      <c r="K14" s="18">
        <f t="shared" si="1354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350"/>
        <v>7000</v>
      </c>
      <c r="S14" s="35">
        <f t="shared" si="1351"/>
        <v>7000</v>
      </c>
      <c r="T14" s="35">
        <f t="shared" si="1352"/>
        <v>7000</v>
      </c>
      <c r="U14" s="19" t="e">
        <f t="shared" si="1353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347"/>
        <v>0</v>
      </c>
      <c r="F15" s="13">
        <v>0</v>
      </c>
      <c r="G15" s="33">
        <v>0</v>
      </c>
      <c r="H15" s="13">
        <v>0</v>
      </c>
      <c r="I15" s="16">
        <f t="shared" si="1348"/>
        <v>0</v>
      </c>
      <c r="J15" s="17">
        <f t="shared" si="1349"/>
        <v>0</v>
      </c>
      <c r="K15" s="18">
        <f t="shared" si="1354"/>
        <v>0</v>
      </c>
      <c r="L15" s="19" t="e">
        <f t="shared" ref="L15:L20" si="1356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50"/>
        <v>0</v>
      </c>
      <c r="S15" s="35">
        <f t="shared" si="1351"/>
        <v>0</v>
      </c>
      <c r="T15" s="35">
        <f t="shared" si="1352"/>
        <v>0</v>
      </c>
      <c r="U15" s="19" t="e">
        <f t="shared" si="1353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347"/>
        <v>0</v>
      </c>
      <c r="F16" s="13">
        <v>0</v>
      </c>
      <c r="G16" s="33">
        <v>0</v>
      </c>
      <c r="H16" s="13">
        <v>0</v>
      </c>
      <c r="I16" s="16">
        <f t="shared" si="1348"/>
        <v>0</v>
      </c>
      <c r="J16" s="17">
        <f t="shared" si="1349"/>
        <v>0</v>
      </c>
      <c r="K16" s="18">
        <f t="shared" si="1354"/>
        <v>0</v>
      </c>
      <c r="L16" s="19" t="e">
        <f t="shared" si="1356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50"/>
        <v>0</v>
      </c>
      <c r="S16" s="35">
        <f t="shared" si="1351"/>
        <v>0</v>
      </c>
      <c r="T16" s="35">
        <f t="shared" si="1352"/>
        <v>0</v>
      </c>
      <c r="U16" s="19" t="e">
        <f t="shared" si="1353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347"/>
        <v>0</v>
      </c>
      <c r="F17" s="13">
        <v>0</v>
      </c>
      <c r="G17" s="33">
        <v>0</v>
      </c>
      <c r="H17" s="13">
        <v>0</v>
      </c>
      <c r="I17" s="16">
        <f t="shared" si="1348"/>
        <v>0</v>
      </c>
      <c r="J17" s="17">
        <f t="shared" si="1349"/>
        <v>0</v>
      </c>
      <c r="K17" s="18">
        <f t="shared" si="1354"/>
        <v>0</v>
      </c>
      <c r="L17" s="19" t="e">
        <f t="shared" si="1356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50"/>
        <v>0</v>
      </c>
      <c r="S17" s="35">
        <f t="shared" si="1351"/>
        <v>0</v>
      </c>
      <c r="T17" s="35">
        <f t="shared" si="1352"/>
        <v>0</v>
      </c>
      <c r="U17" s="19" t="e">
        <f t="shared" si="1353"/>
        <v>#DIV/0!</v>
      </c>
    </row>
    <row r="18">
      <c r="A18" s="9" t="s">
        <v>22</v>
      </c>
      <c r="B18" s="9" t="s">
        <v>23</v>
      </c>
      <c r="C18" s="14">
        <v>0</v>
      </c>
      <c r="D18" s="50">
        <v>1.3029343529557731</v>
      </c>
      <c r="E18" s="14">
        <f t="shared" si="1347"/>
        <v>0</v>
      </c>
      <c r="F18" s="13">
        <v>134114</v>
      </c>
      <c r="G18" s="13">
        <v>158193</v>
      </c>
      <c r="H18" s="13">
        <v>0</v>
      </c>
      <c r="I18" s="16">
        <f t="shared" si="1348"/>
        <v>134114</v>
      </c>
      <c r="J18" s="17">
        <f t="shared" si="1349"/>
        <v>-158193</v>
      </c>
      <c r="K18" s="18">
        <f t="shared" si="1354"/>
        <v>206115.09409713262</v>
      </c>
      <c r="L18" s="19" t="e">
        <f t="shared" si="1356"/>
        <v>#DIV/0!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350"/>
        <v>290000</v>
      </c>
      <c r="S18" s="35">
        <f t="shared" si="1351"/>
        <v>582307</v>
      </c>
      <c r="T18" s="35">
        <f t="shared" si="1352"/>
        <v>582307</v>
      </c>
      <c r="U18" s="19" t="e">
        <f t="shared" si="1353"/>
        <v>#DIV/0!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35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357">M19+N19+O19+P19+Q19</f>
        <v>0</v>
      </c>
      <c r="S19" s="35">
        <f t="shared" ref="S19:S20" si="1358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0</v>
      </c>
      <c r="D20" s="23"/>
      <c r="E20" s="22">
        <f t="shared" ref="E20:K20" si="1359">SUM(E3:E19)</f>
        <v>0</v>
      </c>
      <c r="F20" s="24">
        <f t="shared" si="1359"/>
        <v>383260</v>
      </c>
      <c r="G20" s="24">
        <f t="shared" si="1359"/>
        <v>270885</v>
      </c>
      <c r="H20" s="24">
        <f t="shared" si="1359"/>
        <v>419460</v>
      </c>
      <c r="I20" s="25">
        <f t="shared" si="1359"/>
        <v>802720</v>
      </c>
      <c r="J20" s="26">
        <f t="shared" si="1359"/>
        <v>-270885</v>
      </c>
      <c r="K20" s="26">
        <f t="shared" si="1359"/>
        <v>556809.79104736587</v>
      </c>
      <c r="L20" s="27" t="e">
        <f t="shared" si="1356"/>
        <v>#DIV/0!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357"/>
        <v>1</v>
      </c>
      <c r="S20" s="35">
        <f t="shared" si="1358"/>
        <v>1073606</v>
      </c>
      <c r="T20" s="41"/>
    </row>
    <row r="24">
      <c r="C24" s="28"/>
      <c r="D24" s="28"/>
      <c r="E24" s="28"/>
      <c r="F24" s="28"/>
    </row>
    <row r="25">
      <c r="C25" s="28"/>
      <c r="D25" s="28"/>
      <c r="E25" s="28"/>
      <c r="F25" s="28"/>
    </row>
    <row r="26">
      <c r="C26" s="28"/>
      <c r="D26" s="28"/>
      <c r="E26" s="28"/>
      <c r="F26" s="28"/>
    </row>
    <row r="27">
      <c r="C27" s="28"/>
      <c r="D27" s="28"/>
      <c r="E27" s="28"/>
      <c r="F27" s="28"/>
    </row>
    <row r="28">
      <c r="C28" s="28"/>
      <c r="D28" s="28"/>
      <c r="E28" s="28"/>
      <c r="F28" s="28"/>
    </row>
    <row r="36">
      <c r="B36" s="28"/>
      <c r="C36" s="28"/>
      <c r="D36" s="28"/>
      <c r="E36" s="28"/>
      <c r="K36" t="s">
        <v>64</v>
      </c>
    </row>
    <row r="37">
      <c r="D37" t="s">
        <v>64</v>
      </c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7000B3-008E-4481-A979-00EC0070006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A00037-00C9-4063-AA63-0010005A009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BC00E1-00B7-4755-8E10-00A80080008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10002A-0094-42A8-8EE9-00DA004E008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3B00F6-00F0-49A4-A69E-003C0016000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5D004D-0066-4ACF-BCCA-002F0006004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3B00F8-009E-45AD-8390-00BD00F600E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6A00A6-00D6-4066-9234-00AC00D200E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1C00CC-00E6-4FD2-9E1F-00F000E200E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18" activeCellId="0" sqref="F18:G1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225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18" si="1360">C3*D3</f>
        <v>0</v>
      </c>
      <c r="F3" s="13">
        <v>36868</v>
      </c>
      <c r="G3" s="44">
        <v>0</v>
      </c>
      <c r="H3" s="13">
        <v>0</v>
      </c>
      <c r="I3" s="16">
        <f t="shared" ref="I3:I18" si="1361">F3+H3</f>
        <v>36868</v>
      </c>
      <c r="J3" s="17">
        <f t="shared" ref="J3:J18" si="1362">C3-G3</f>
        <v>0</v>
      </c>
      <c r="K3" s="18">
        <f>+G3*D3</f>
        <v>0</v>
      </c>
      <c r="L3" s="19" t="e">
        <f>K3/E3</f>
        <v>#DIV/0!</v>
      </c>
      <c r="M3" s="34">
        <v>111000</v>
      </c>
      <c r="N3" s="58">
        <v>129000</v>
      </c>
      <c r="O3" s="34">
        <v>129000</v>
      </c>
      <c r="P3" s="34">
        <v>129000</v>
      </c>
      <c r="Q3" s="34">
        <v>0</v>
      </c>
      <c r="R3" s="34">
        <f t="shared" ref="R3:R18" si="1363">M3+N3+O3+P3+Q3</f>
        <v>498000</v>
      </c>
      <c r="S3" s="35">
        <f t="shared" ref="S3:S18" si="1364">G3+I3+R3</f>
        <v>534868</v>
      </c>
      <c r="T3" s="35">
        <f t="shared" ref="T3:T18" si="1365">S3-C3</f>
        <v>534868</v>
      </c>
      <c r="U3" s="19" t="e">
        <f t="shared" ref="U3:U18" si="1366">S3/C3</f>
        <v>#DIV/0!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360"/>
        <v>0</v>
      </c>
      <c r="F4" s="13">
        <v>135586</v>
      </c>
      <c r="G4" s="13">
        <v>0</v>
      </c>
      <c r="H4" s="13">
        <v>0</v>
      </c>
      <c r="I4" s="16">
        <f t="shared" si="1361"/>
        <v>135586</v>
      </c>
      <c r="J4" s="17">
        <f t="shared" si="1362"/>
        <v>0</v>
      </c>
      <c r="K4" s="18">
        <f>D4*G4</f>
        <v>0</v>
      </c>
      <c r="L4" s="19">
        <v>0</v>
      </c>
      <c r="M4" s="34">
        <v>74000</v>
      </c>
      <c r="N4" s="58">
        <v>74000</v>
      </c>
      <c r="O4" s="34">
        <v>0</v>
      </c>
      <c r="P4" s="34">
        <v>0</v>
      </c>
      <c r="Q4" s="34">
        <v>0</v>
      </c>
      <c r="R4" s="34">
        <f t="shared" si="1363"/>
        <v>148000</v>
      </c>
      <c r="S4" s="35">
        <f t="shared" si="1364"/>
        <v>283586</v>
      </c>
      <c r="T4" s="35">
        <f t="shared" si="1365"/>
        <v>283586</v>
      </c>
      <c r="U4" s="19" t="e">
        <f t="shared" si="1366"/>
        <v>#DIV/0!</v>
      </c>
    </row>
    <row r="5">
      <c r="A5" s="9" t="s">
        <v>32</v>
      </c>
      <c r="B5" s="9" t="s">
        <v>33</v>
      </c>
      <c r="C5" s="14">
        <v>0</v>
      </c>
      <c r="D5" s="11">
        <v>1.0683280588381256</v>
      </c>
      <c r="E5" s="12">
        <f t="shared" si="1360"/>
        <v>0</v>
      </c>
      <c r="F5" s="13">
        <v>0</v>
      </c>
      <c r="G5" s="13">
        <v>12677</v>
      </c>
      <c r="H5" s="13">
        <v>0</v>
      </c>
      <c r="I5" s="16">
        <f t="shared" si="1361"/>
        <v>0</v>
      </c>
      <c r="J5" s="17">
        <f t="shared" si="1362"/>
        <v>-12677</v>
      </c>
      <c r="K5" s="18">
        <f t="shared" ref="K5:K19" si="1367">+G5*D5</f>
        <v>13543.194801890919</v>
      </c>
      <c r="L5" s="19" t="e">
        <f t="shared" ref="L5:L10" si="1368">K5/E5</f>
        <v>#DIV/0!</v>
      </c>
      <c r="M5" s="34">
        <v>0</v>
      </c>
      <c r="N5" s="58">
        <v>0</v>
      </c>
      <c r="O5" s="34">
        <v>156000</v>
      </c>
      <c r="P5" s="34">
        <v>0</v>
      </c>
      <c r="Q5" s="34">
        <v>0</v>
      </c>
      <c r="R5" s="34">
        <f t="shared" si="1363"/>
        <v>156000</v>
      </c>
      <c r="S5" s="35">
        <f t="shared" si="1364"/>
        <v>168677</v>
      </c>
      <c r="T5" s="35">
        <f t="shared" si="1365"/>
        <v>168677</v>
      </c>
      <c r="U5" s="19" t="e">
        <f t="shared" si="1366"/>
        <v>#DIV/0!</v>
      </c>
    </row>
    <row r="6">
      <c r="A6" s="9" t="s">
        <v>34</v>
      </c>
      <c r="B6" s="9" t="s">
        <v>35</v>
      </c>
      <c r="C6" s="14">
        <v>0</v>
      </c>
      <c r="D6" s="50">
        <v>2.1696780588381257</v>
      </c>
      <c r="E6" s="14">
        <f t="shared" si="1360"/>
        <v>0</v>
      </c>
      <c r="F6" s="13">
        <v>76692</v>
      </c>
      <c r="G6" s="13">
        <v>70400</v>
      </c>
      <c r="H6" s="13">
        <v>13271</v>
      </c>
      <c r="I6" s="16">
        <f t="shared" si="1361"/>
        <v>89963</v>
      </c>
      <c r="J6" s="17">
        <f t="shared" si="1362"/>
        <v>-70400</v>
      </c>
      <c r="K6" s="18">
        <f t="shared" si="1367"/>
        <v>152745.33534220405</v>
      </c>
      <c r="L6" s="19" t="e">
        <f t="shared" si="1368"/>
        <v>#DIV/0!</v>
      </c>
      <c r="M6" s="34">
        <v>312000</v>
      </c>
      <c r="N6" s="58">
        <v>78000</v>
      </c>
      <c r="O6" s="34">
        <v>0</v>
      </c>
      <c r="P6" s="69">
        <v>234000</v>
      </c>
      <c r="Q6" s="34">
        <v>0</v>
      </c>
      <c r="R6" s="34">
        <f t="shared" si="1363"/>
        <v>624000</v>
      </c>
      <c r="S6" s="35">
        <f t="shared" si="1364"/>
        <v>784363</v>
      </c>
      <c r="T6" s="35">
        <f t="shared" si="1365"/>
        <v>784363</v>
      </c>
      <c r="U6" s="19" t="e">
        <f t="shared" si="1366"/>
        <v>#DIV/0!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60"/>
        <v>0</v>
      </c>
      <c r="F7" s="13">
        <v>0</v>
      </c>
      <c r="G7" s="13">
        <v>0</v>
      </c>
      <c r="H7" s="13">
        <v>0</v>
      </c>
      <c r="I7" s="16">
        <f t="shared" si="1361"/>
        <v>0</v>
      </c>
      <c r="J7" s="17">
        <f t="shared" si="1362"/>
        <v>0</v>
      </c>
      <c r="K7" s="18">
        <f t="shared" si="1367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63"/>
        <v>0</v>
      </c>
      <c r="S7" s="35">
        <f t="shared" si="1364"/>
        <v>0</v>
      </c>
      <c r="T7" s="35">
        <f t="shared" si="1365"/>
        <v>0</v>
      </c>
      <c r="U7" s="19" t="e">
        <f t="shared" si="1366"/>
        <v>#DIV/0!</v>
      </c>
    </row>
    <row r="8">
      <c r="A8" s="9" t="s">
        <v>26</v>
      </c>
      <c r="B8" s="9" t="s">
        <v>27</v>
      </c>
      <c r="C8" s="14">
        <v>0</v>
      </c>
      <c r="D8" s="11">
        <v>1.1430280588381259</v>
      </c>
      <c r="E8" s="12">
        <f t="shared" si="1360"/>
        <v>0</v>
      </c>
      <c r="F8" s="13">
        <v>0</v>
      </c>
      <c r="G8" s="44">
        <v>0</v>
      </c>
      <c r="H8" s="44">
        <v>0</v>
      </c>
      <c r="I8" s="16">
        <f t="shared" si="1361"/>
        <v>0</v>
      </c>
      <c r="J8" s="17">
        <f t="shared" si="1362"/>
        <v>0</v>
      </c>
      <c r="K8" s="18">
        <f t="shared" si="1367"/>
        <v>0</v>
      </c>
      <c r="L8" s="19" t="e">
        <f t="shared" si="1368"/>
        <v>#DIV/0!</v>
      </c>
      <c r="M8" s="34">
        <v>189000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363"/>
        <v>629000</v>
      </c>
      <c r="S8" s="35">
        <f t="shared" si="1364"/>
        <v>629000</v>
      </c>
      <c r="T8" s="35">
        <f t="shared" si="1365"/>
        <v>629000</v>
      </c>
      <c r="U8" s="19" t="e">
        <f t="shared" si="1366"/>
        <v>#DIV/0!</v>
      </c>
    </row>
    <row r="9">
      <c r="A9" s="9" t="s">
        <v>28</v>
      </c>
      <c r="B9" s="9" t="s">
        <v>29</v>
      </c>
      <c r="C9" s="14">
        <v>0</v>
      </c>
      <c r="D9" s="11">
        <v>0.63422805883812572</v>
      </c>
      <c r="E9" s="12">
        <f t="shared" si="1360"/>
        <v>0</v>
      </c>
      <c r="F9" s="13">
        <v>0</v>
      </c>
      <c r="G9" s="44">
        <v>100806</v>
      </c>
      <c r="H9" s="13">
        <v>48600</v>
      </c>
      <c r="I9" s="16">
        <f t="shared" si="1361"/>
        <v>48600</v>
      </c>
      <c r="J9" s="17">
        <f t="shared" si="1362"/>
        <v>-100806</v>
      </c>
      <c r="K9" s="18">
        <f t="shared" si="1367"/>
        <v>63933.993699236104</v>
      </c>
      <c r="L9" s="19" t="e">
        <f t="shared" si="1368"/>
        <v>#DIV/0!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363"/>
        <v>440000</v>
      </c>
      <c r="S9" s="35">
        <f t="shared" si="1364"/>
        <v>589406</v>
      </c>
      <c r="T9" s="35">
        <f t="shared" si="1365"/>
        <v>589406</v>
      </c>
      <c r="U9" s="19" t="e">
        <f t="shared" si="1366"/>
        <v>#DIV/0!</v>
      </c>
    </row>
    <row r="10">
      <c r="A10" s="9" t="s">
        <v>30</v>
      </c>
      <c r="B10" s="9" t="s">
        <v>31</v>
      </c>
      <c r="C10" s="14">
        <v>0</v>
      </c>
      <c r="D10" s="50">
        <v>0.89352805883812592</v>
      </c>
      <c r="E10" s="14">
        <f t="shared" si="1360"/>
        <v>0</v>
      </c>
      <c r="F10" s="44">
        <v>0</v>
      </c>
      <c r="G10" s="13">
        <v>104336</v>
      </c>
      <c r="H10" s="44">
        <v>118800</v>
      </c>
      <c r="I10" s="16">
        <f t="shared" si="1361"/>
        <v>118800</v>
      </c>
      <c r="J10" s="17">
        <f t="shared" si="1362"/>
        <v>-104336</v>
      </c>
      <c r="K10" s="18">
        <f t="shared" si="1367"/>
        <v>93227.143546934705</v>
      </c>
      <c r="L10" s="19" t="e">
        <f t="shared" si="1368"/>
        <v>#DIV/0!</v>
      </c>
      <c r="M10" s="34">
        <v>44000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363"/>
        <v>660000</v>
      </c>
      <c r="S10" s="35">
        <f t="shared" si="1364"/>
        <v>883136</v>
      </c>
      <c r="T10" s="35">
        <f t="shared" si="1365"/>
        <v>883136</v>
      </c>
      <c r="U10" s="19" t="e">
        <f t="shared" si="1366"/>
        <v>#DIV/0!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60"/>
        <v>0</v>
      </c>
      <c r="F11" s="13">
        <v>0</v>
      </c>
      <c r="G11" s="13">
        <v>0</v>
      </c>
      <c r="H11" s="13">
        <v>0</v>
      </c>
      <c r="I11" s="16">
        <f t="shared" si="1361"/>
        <v>0</v>
      </c>
      <c r="J11" s="17">
        <f t="shared" si="1362"/>
        <v>0</v>
      </c>
      <c r="K11" s="18">
        <f t="shared" si="1367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63"/>
        <v>0</v>
      </c>
      <c r="S11" s="35">
        <f t="shared" si="1364"/>
        <v>0</v>
      </c>
      <c r="T11" s="35">
        <f t="shared" si="1365"/>
        <v>0</v>
      </c>
      <c r="U11" s="19" t="e">
        <f t="shared" si="1366"/>
        <v>#DIV/0!</v>
      </c>
    </row>
    <row r="12">
      <c r="A12" s="9" t="s">
        <v>24</v>
      </c>
      <c r="B12" s="9" t="s">
        <v>25</v>
      </c>
      <c r="C12" s="14">
        <v>0</v>
      </c>
      <c r="D12" s="11">
        <v>4.6805391470734206</v>
      </c>
      <c r="E12" s="12">
        <f t="shared" si="1360"/>
        <v>0</v>
      </c>
      <c r="F12" s="13">
        <v>0</v>
      </c>
      <c r="G12" s="13">
        <v>42292</v>
      </c>
      <c r="H12" s="13">
        <v>20970</v>
      </c>
      <c r="I12" s="16">
        <f t="shared" si="1361"/>
        <v>20970</v>
      </c>
      <c r="J12" s="17">
        <f t="shared" si="1362"/>
        <v>-42292</v>
      </c>
      <c r="K12" s="18">
        <f t="shared" si="1367"/>
        <v>197949.36160802911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363"/>
        <v>42000</v>
      </c>
      <c r="S12" s="35">
        <f t="shared" si="1364"/>
        <v>105262</v>
      </c>
      <c r="T12" s="35">
        <f t="shared" si="1365"/>
        <v>105262</v>
      </c>
      <c r="U12" s="19" t="e">
        <f t="shared" si="1366"/>
        <v>#DIV/0!</v>
      </c>
    </row>
    <row r="13">
      <c r="A13" s="56">
        <v>60000000032802</v>
      </c>
      <c r="B13" s="9" t="s">
        <v>113</v>
      </c>
      <c r="C13" s="14">
        <v>0</v>
      </c>
      <c r="D13" s="11">
        <v>9.2599999999999998</v>
      </c>
      <c r="E13" s="12">
        <f t="shared" si="1360"/>
        <v>0</v>
      </c>
      <c r="F13" s="13">
        <v>0</v>
      </c>
      <c r="G13" s="13">
        <v>0</v>
      </c>
      <c r="H13" s="13">
        <v>0</v>
      </c>
      <c r="I13" s="16">
        <f t="shared" si="1361"/>
        <v>0</v>
      </c>
      <c r="J13" s="17">
        <f t="shared" si="1362"/>
        <v>0</v>
      </c>
      <c r="K13" s="18">
        <f t="shared" si="136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363"/>
        <v>0</v>
      </c>
      <c r="S13" s="35">
        <f t="shared" si="1364"/>
        <v>0</v>
      </c>
      <c r="T13" s="35">
        <f t="shared" si="1365"/>
        <v>0</v>
      </c>
      <c r="U13" s="19" t="e">
        <f t="shared" si="136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360"/>
        <v>0</v>
      </c>
      <c r="F14" s="13">
        <v>0</v>
      </c>
      <c r="G14" s="13">
        <v>0</v>
      </c>
      <c r="H14" s="13">
        <v>0</v>
      </c>
      <c r="I14" s="16">
        <f t="shared" si="1361"/>
        <v>0</v>
      </c>
      <c r="J14" s="17">
        <f t="shared" si="1362"/>
        <v>0</v>
      </c>
      <c r="K14" s="18">
        <f t="shared" si="1367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363"/>
        <v>7000</v>
      </c>
      <c r="S14" s="35">
        <f t="shared" si="1364"/>
        <v>7000</v>
      </c>
      <c r="T14" s="35">
        <f t="shared" si="1365"/>
        <v>7000</v>
      </c>
      <c r="U14" s="19" t="e">
        <f t="shared" si="1366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360"/>
        <v>0</v>
      </c>
      <c r="F15" s="13">
        <v>0</v>
      </c>
      <c r="G15" s="33">
        <v>0</v>
      </c>
      <c r="H15" s="13">
        <v>0</v>
      </c>
      <c r="I15" s="16">
        <f t="shared" si="1361"/>
        <v>0</v>
      </c>
      <c r="J15" s="17">
        <f t="shared" si="1362"/>
        <v>0</v>
      </c>
      <c r="K15" s="18">
        <f t="shared" si="1367"/>
        <v>0</v>
      </c>
      <c r="L15" s="19" t="e">
        <f t="shared" ref="L15:L20" si="1369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63"/>
        <v>0</v>
      </c>
      <c r="S15" s="35">
        <f t="shared" si="1364"/>
        <v>0</v>
      </c>
      <c r="T15" s="35">
        <f t="shared" si="1365"/>
        <v>0</v>
      </c>
      <c r="U15" s="19" t="e">
        <f t="shared" si="1366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360"/>
        <v>0</v>
      </c>
      <c r="F16" s="13">
        <v>0</v>
      </c>
      <c r="G16" s="33">
        <v>0</v>
      </c>
      <c r="H16" s="13">
        <v>0</v>
      </c>
      <c r="I16" s="16">
        <f t="shared" si="1361"/>
        <v>0</v>
      </c>
      <c r="J16" s="17">
        <f t="shared" si="1362"/>
        <v>0</v>
      </c>
      <c r="K16" s="18">
        <f t="shared" si="1367"/>
        <v>0</v>
      </c>
      <c r="L16" s="19" t="e">
        <f t="shared" si="1369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63"/>
        <v>0</v>
      </c>
      <c r="S16" s="35">
        <f t="shared" si="1364"/>
        <v>0</v>
      </c>
      <c r="T16" s="35">
        <f t="shared" si="1365"/>
        <v>0</v>
      </c>
      <c r="U16" s="19" t="e">
        <f t="shared" si="1366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360"/>
        <v>0</v>
      </c>
      <c r="F17" s="13">
        <v>0</v>
      </c>
      <c r="G17" s="33">
        <v>0</v>
      </c>
      <c r="H17" s="13">
        <v>0</v>
      </c>
      <c r="I17" s="16">
        <f t="shared" si="1361"/>
        <v>0</v>
      </c>
      <c r="J17" s="17">
        <f t="shared" si="1362"/>
        <v>0</v>
      </c>
      <c r="K17" s="18">
        <f t="shared" si="1367"/>
        <v>0</v>
      </c>
      <c r="L17" s="19" t="e">
        <f t="shared" si="1369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63"/>
        <v>0</v>
      </c>
      <c r="S17" s="35">
        <f t="shared" si="1364"/>
        <v>0</v>
      </c>
      <c r="T17" s="35">
        <f t="shared" si="1365"/>
        <v>0</v>
      </c>
      <c r="U17" s="19" t="e">
        <f t="shared" si="1366"/>
        <v>#DIV/0!</v>
      </c>
    </row>
    <row r="18">
      <c r="A18" s="9" t="s">
        <v>22</v>
      </c>
      <c r="B18" s="9" t="s">
        <v>23</v>
      </c>
      <c r="C18" s="14">
        <v>0</v>
      </c>
      <c r="D18" s="50">
        <v>1.3029343529557731</v>
      </c>
      <c r="E18" s="14">
        <f t="shared" si="1360"/>
        <v>0</v>
      </c>
      <c r="F18" s="13">
        <v>134114</v>
      </c>
      <c r="G18" s="13">
        <v>158193</v>
      </c>
      <c r="H18" s="13">
        <v>0</v>
      </c>
      <c r="I18" s="16">
        <f t="shared" si="1361"/>
        <v>134114</v>
      </c>
      <c r="J18" s="17">
        <f t="shared" si="1362"/>
        <v>-158193</v>
      </c>
      <c r="K18" s="18">
        <f t="shared" si="1367"/>
        <v>206115.09409713262</v>
      </c>
      <c r="L18" s="19" t="e">
        <f t="shared" si="1369"/>
        <v>#DIV/0!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363"/>
        <v>290000</v>
      </c>
      <c r="S18" s="35">
        <f t="shared" si="1364"/>
        <v>582307</v>
      </c>
      <c r="T18" s="35">
        <f t="shared" si="1365"/>
        <v>582307</v>
      </c>
      <c r="U18" s="19" t="e">
        <f t="shared" si="1366"/>
        <v>#DIV/0!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367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370">M19+N19+O19+P19+Q19</f>
        <v>0</v>
      </c>
      <c r="S19" s="35">
        <f t="shared" ref="S19:S20" si="1371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0</v>
      </c>
      <c r="D20" s="23"/>
      <c r="E20" s="22">
        <f t="shared" ref="E20:K20" si="1372">SUM(E3:E19)</f>
        <v>0</v>
      </c>
      <c r="F20" s="24">
        <f t="shared" si="1372"/>
        <v>383260</v>
      </c>
      <c r="G20" s="24">
        <f t="shared" si="1372"/>
        <v>488704</v>
      </c>
      <c r="H20" s="24">
        <f t="shared" si="1372"/>
        <v>201641</v>
      </c>
      <c r="I20" s="25">
        <f t="shared" si="1372"/>
        <v>584901</v>
      </c>
      <c r="J20" s="26">
        <f t="shared" si="1372"/>
        <v>-488704</v>
      </c>
      <c r="K20" s="26">
        <f t="shared" si="1372"/>
        <v>727514.12309542752</v>
      </c>
      <c r="L20" s="27" t="e">
        <f t="shared" si="1369"/>
        <v>#DIV/0!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370"/>
        <v>1</v>
      </c>
      <c r="S20" s="35">
        <f t="shared" si="1371"/>
        <v>1073606</v>
      </c>
      <c r="T20" s="41"/>
    </row>
    <row r="24">
      <c r="C24" s="28"/>
      <c r="D24" s="28"/>
      <c r="E24" s="28"/>
      <c r="F24" s="28"/>
    </row>
    <row r="25">
      <c r="C25" s="28"/>
      <c r="D25" s="28"/>
      <c r="E25" s="28"/>
      <c r="F25" s="28"/>
    </row>
    <row r="26">
      <c r="C26" s="28"/>
      <c r="D26" s="28"/>
      <c r="E26" s="28"/>
      <c r="F26" s="28"/>
    </row>
    <row r="27">
      <c r="C27" s="28"/>
      <c r="D27" s="28"/>
      <c r="E27" s="28"/>
      <c r="F27" s="28"/>
    </row>
    <row r="28">
      <c r="C28" s="28"/>
      <c r="D28" s="28"/>
      <c r="E28" s="28"/>
      <c r="F28" s="28"/>
    </row>
    <row r="36">
      <c r="B36" s="28"/>
      <c r="C36" s="28"/>
      <c r="D36" s="28"/>
      <c r="E36" s="28"/>
      <c r="K36" t="s">
        <v>64</v>
      </c>
    </row>
    <row r="37">
      <c r="D37" t="s">
        <v>64</v>
      </c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48001A-0017-4D62-BE5D-00C900FB00E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6300F5-007C-4376-8049-008400D7000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65001F-009E-4578-9C9D-00F800A2004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E30070-00C3-43F6-9207-00F7000F008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5D0069-00B9-4850-A526-009F003900B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B9006A-000D-4A6A-931B-001700EE009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82008D-008C-4701-8AC2-006D006200A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060075-0045-4A47-9989-00D50084009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5F002D-0091-49CE-8209-00270014007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27" activeCellId="0" sqref="H27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226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18" si="1373">C3*D3</f>
        <v>0</v>
      </c>
      <c r="F3" s="13">
        <v>0</v>
      </c>
      <c r="G3" s="44">
        <v>36868</v>
      </c>
      <c r="H3" s="13">
        <v>0</v>
      </c>
      <c r="I3" s="16">
        <f t="shared" ref="I3:I18" si="1374">F3+H3</f>
        <v>0</v>
      </c>
      <c r="J3" s="17">
        <f t="shared" ref="J3:J18" si="1375">C3-G3</f>
        <v>-36868</v>
      </c>
      <c r="K3" s="18">
        <f>+G3*D3</f>
        <v>106636.19427324402</v>
      </c>
      <c r="L3" s="19" t="e">
        <f>K3/E3</f>
        <v>#DIV/0!</v>
      </c>
      <c r="M3" s="34">
        <v>111000</v>
      </c>
      <c r="N3" s="58">
        <v>129000</v>
      </c>
      <c r="O3" s="34">
        <v>129000</v>
      </c>
      <c r="P3" s="34">
        <v>129000</v>
      </c>
      <c r="Q3" s="34">
        <v>0</v>
      </c>
      <c r="R3" s="34">
        <f t="shared" ref="R3:R18" si="1376">M3+N3+O3+P3+Q3</f>
        <v>498000</v>
      </c>
      <c r="S3" s="35">
        <f t="shared" ref="S3:S18" si="1377">G3+I3+R3</f>
        <v>534868</v>
      </c>
      <c r="T3" s="35">
        <f t="shared" ref="T3:T18" si="1378">S3-C3</f>
        <v>534868</v>
      </c>
      <c r="U3" s="19" t="e">
        <f t="shared" ref="U3:U18" si="1379">S3/C3</f>
        <v>#DIV/0!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373"/>
        <v>0</v>
      </c>
      <c r="F4" s="13">
        <v>135586</v>
      </c>
      <c r="G4" s="13">
        <v>0</v>
      </c>
      <c r="H4" s="13">
        <v>0</v>
      </c>
      <c r="I4" s="16">
        <f t="shared" si="1374"/>
        <v>135586</v>
      </c>
      <c r="J4" s="17">
        <f t="shared" si="1375"/>
        <v>0</v>
      </c>
      <c r="K4" s="18">
        <f>D4*G4</f>
        <v>0</v>
      </c>
      <c r="L4" s="19">
        <v>0</v>
      </c>
      <c r="M4" s="34">
        <v>74000</v>
      </c>
      <c r="N4" s="58">
        <v>74000</v>
      </c>
      <c r="O4" s="34">
        <v>0</v>
      </c>
      <c r="P4" s="34">
        <v>0</v>
      </c>
      <c r="Q4" s="34">
        <v>0</v>
      </c>
      <c r="R4" s="34">
        <f t="shared" si="1376"/>
        <v>148000</v>
      </c>
      <c r="S4" s="35">
        <f t="shared" si="1377"/>
        <v>283586</v>
      </c>
      <c r="T4" s="35">
        <f t="shared" si="1378"/>
        <v>283586</v>
      </c>
      <c r="U4" s="19" t="e">
        <f t="shared" si="1379"/>
        <v>#DIV/0!</v>
      </c>
    </row>
    <row r="5">
      <c r="A5" s="9" t="s">
        <v>32</v>
      </c>
      <c r="B5" s="9" t="s">
        <v>33</v>
      </c>
      <c r="C5" s="14">
        <v>0</v>
      </c>
      <c r="D5" s="11">
        <v>1.0683280588381256</v>
      </c>
      <c r="E5" s="12">
        <f t="shared" si="1373"/>
        <v>0</v>
      </c>
      <c r="F5" s="13">
        <v>0</v>
      </c>
      <c r="G5" s="13">
        <v>12677</v>
      </c>
      <c r="H5" s="13">
        <v>0</v>
      </c>
      <c r="I5" s="16">
        <f t="shared" si="1374"/>
        <v>0</v>
      </c>
      <c r="J5" s="17">
        <f t="shared" si="1375"/>
        <v>-12677</v>
      </c>
      <c r="K5" s="18">
        <f t="shared" ref="K5:K19" si="1380">+G5*D5</f>
        <v>13543.194801890919</v>
      </c>
      <c r="L5" s="19" t="e">
        <f t="shared" ref="L5:L10" si="1381">K5/E5</f>
        <v>#DIV/0!</v>
      </c>
      <c r="M5" s="34">
        <v>0</v>
      </c>
      <c r="N5" s="58">
        <v>0</v>
      </c>
      <c r="O5" s="34">
        <v>156000</v>
      </c>
      <c r="P5" s="34">
        <v>0</v>
      </c>
      <c r="Q5" s="34">
        <v>0</v>
      </c>
      <c r="R5" s="34">
        <f t="shared" si="1376"/>
        <v>156000</v>
      </c>
      <c r="S5" s="35">
        <f t="shared" si="1377"/>
        <v>168677</v>
      </c>
      <c r="T5" s="35">
        <f t="shared" si="1378"/>
        <v>168677</v>
      </c>
      <c r="U5" s="19" t="e">
        <f t="shared" si="1379"/>
        <v>#DIV/0!</v>
      </c>
    </row>
    <row r="6">
      <c r="A6" s="9" t="s">
        <v>34</v>
      </c>
      <c r="B6" s="9" t="s">
        <v>35</v>
      </c>
      <c r="C6" s="14">
        <v>0</v>
      </c>
      <c r="D6" s="50">
        <v>2.1696780588381257</v>
      </c>
      <c r="E6" s="14">
        <f t="shared" si="1373"/>
        <v>0</v>
      </c>
      <c r="F6" s="13">
        <v>0</v>
      </c>
      <c r="G6" s="13">
        <v>83671</v>
      </c>
      <c r="H6" s="13">
        <v>76692</v>
      </c>
      <c r="I6" s="16">
        <f t="shared" si="1374"/>
        <v>76692</v>
      </c>
      <c r="J6" s="17">
        <f t="shared" si="1375"/>
        <v>-83671</v>
      </c>
      <c r="K6" s="18">
        <f t="shared" si="1380"/>
        <v>181539.13286104481</v>
      </c>
      <c r="L6" s="19" t="e">
        <f t="shared" si="1381"/>
        <v>#DIV/0!</v>
      </c>
      <c r="M6" s="34">
        <v>312000</v>
      </c>
      <c r="N6" s="58">
        <v>78000</v>
      </c>
      <c r="O6" s="34">
        <v>0</v>
      </c>
      <c r="P6" s="69">
        <v>234000</v>
      </c>
      <c r="Q6" s="34">
        <v>0</v>
      </c>
      <c r="R6" s="34">
        <f t="shared" si="1376"/>
        <v>624000</v>
      </c>
      <c r="S6" s="35">
        <f t="shared" si="1377"/>
        <v>784363</v>
      </c>
      <c r="T6" s="35">
        <f t="shared" si="1378"/>
        <v>784363</v>
      </c>
      <c r="U6" s="19" t="e">
        <f t="shared" si="1379"/>
        <v>#DIV/0!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73"/>
        <v>0</v>
      </c>
      <c r="F7" s="13">
        <v>0</v>
      </c>
      <c r="G7" s="13">
        <v>0</v>
      </c>
      <c r="H7" s="13">
        <v>0</v>
      </c>
      <c r="I7" s="16">
        <f t="shared" si="1374"/>
        <v>0</v>
      </c>
      <c r="J7" s="17">
        <f t="shared" si="1375"/>
        <v>0</v>
      </c>
      <c r="K7" s="18">
        <f t="shared" si="1380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76"/>
        <v>0</v>
      </c>
      <c r="S7" s="35">
        <f t="shared" si="1377"/>
        <v>0</v>
      </c>
      <c r="T7" s="35">
        <f t="shared" si="1378"/>
        <v>0</v>
      </c>
      <c r="U7" s="19" t="e">
        <f t="shared" si="1379"/>
        <v>#DIV/0!</v>
      </c>
    </row>
    <row r="8">
      <c r="A8" s="9" t="s">
        <v>26</v>
      </c>
      <c r="B8" s="9" t="s">
        <v>27</v>
      </c>
      <c r="C8" s="14">
        <v>0</v>
      </c>
      <c r="D8" s="11">
        <v>1.1430280588381259</v>
      </c>
      <c r="E8" s="12">
        <f t="shared" si="1373"/>
        <v>0</v>
      </c>
      <c r="F8" s="13">
        <v>0</v>
      </c>
      <c r="G8" s="44">
        <v>0</v>
      </c>
      <c r="H8" s="44">
        <v>0</v>
      </c>
      <c r="I8" s="16">
        <f t="shared" si="1374"/>
        <v>0</v>
      </c>
      <c r="J8" s="17">
        <f t="shared" si="1375"/>
        <v>0</v>
      </c>
      <c r="K8" s="18">
        <f t="shared" si="1380"/>
        <v>0</v>
      </c>
      <c r="L8" s="19" t="e">
        <f t="shared" si="1381"/>
        <v>#DIV/0!</v>
      </c>
      <c r="M8" s="34">
        <v>189000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376"/>
        <v>629000</v>
      </c>
      <c r="S8" s="35">
        <f t="shared" si="1377"/>
        <v>629000</v>
      </c>
      <c r="T8" s="35">
        <f t="shared" si="1378"/>
        <v>629000</v>
      </c>
      <c r="U8" s="19" t="e">
        <f t="shared" si="1379"/>
        <v>#DIV/0!</v>
      </c>
    </row>
    <row r="9">
      <c r="A9" s="9" t="s">
        <v>28</v>
      </c>
      <c r="B9" s="9" t="s">
        <v>29</v>
      </c>
      <c r="C9" s="14">
        <v>0</v>
      </c>
      <c r="D9" s="11">
        <v>0.63422805883812572</v>
      </c>
      <c r="E9" s="12">
        <f t="shared" si="1373"/>
        <v>0</v>
      </c>
      <c r="F9" s="13">
        <v>0</v>
      </c>
      <c r="G9" s="44">
        <v>149406</v>
      </c>
      <c r="H9" s="13">
        <v>0</v>
      </c>
      <c r="I9" s="16">
        <f t="shared" si="1374"/>
        <v>0</v>
      </c>
      <c r="J9" s="17">
        <f t="shared" si="1375"/>
        <v>-149406</v>
      </c>
      <c r="K9" s="18">
        <f t="shared" si="1380"/>
        <v>94757.477358769014</v>
      </c>
      <c r="L9" s="19" t="e">
        <f t="shared" si="1381"/>
        <v>#DIV/0!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376"/>
        <v>440000</v>
      </c>
      <c r="S9" s="35">
        <f t="shared" si="1377"/>
        <v>589406</v>
      </c>
      <c r="T9" s="35">
        <f t="shared" si="1378"/>
        <v>589406</v>
      </c>
      <c r="U9" s="19" t="e">
        <f t="shared" si="1379"/>
        <v>#DIV/0!</v>
      </c>
    </row>
    <row r="10">
      <c r="A10" s="9" t="s">
        <v>30</v>
      </c>
      <c r="B10" s="9" t="s">
        <v>31</v>
      </c>
      <c r="C10" s="14">
        <v>0</v>
      </c>
      <c r="D10" s="50">
        <v>0.89352805883812592</v>
      </c>
      <c r="E10" s="14">
        <f t="shared" si="1373"/>
        <v>0</v>
      </c>
      <c r="F10" s="44">
        <v>0</v>
      </c>
      <c r="G10" s="13">
        <v>223136</v>
      </c>
      <c r="H10" s="44">
        <v>0</v>
      </c>
      <c r="I10" s="16">
        <f t="shared" si="1374"/>
        <v>0</v>
      </c>
      <c r="J10" s="17">
        <f t="shared" si="1375"/>
        <v>-223136</v>
      </c>
      <c r="K10" s="18">
        <f t="shared" si="1380"/>
        <v>199378.27693690406</v>
      </c>
      <c r="L10" s="19" t="e">
        <f t="shared" si="1381"/>
        <v>#DIV/0!</v>
      </c>
      <c r="M10" s="34">
        <v>44000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376"/>
        <v>660000</v>
      </c>
      <c r="S10" s="35">
        <f t="shared" si="1377"/>
        <v>883136</v>
      </c>
      <c r="T10" s="35">
        <f t="shared" si="1378"/>
        <v>883136</v>
      </c>
      <c r="U10" s="19" t="e">
        <f t="shared" si="1379"/>
        <v>#DIV/0!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73"/>
        <v>0</v>
      </c>
      <c r="F11" s="13">
        <v>0</v>
      </c>
      <c r="G11" s="13">
        <v>0</v>
      </c>
      <c r="H11" s="13">
        <v>0</v>
      </c>
      <c r="I11" s="16">
        <f t="shared" si="1374"/>
        <v>0</v>
      </c>
      <c r="J11" s="17">
        <f t="shared" si="1375"/>
        <v>0</v>
      </c>
      <c r="K11" s="18">
        <f t="shared" si="1380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76"/>
        <v>0</v>
      </c>
      <c r="S11" s="35">
        <f t="shared" si="1377"/>
        <v>0</v>
      </c>
      <c r="T11" s="35">
        <f t="shared" si="1378"/>
        <v>0</v>
      </c>
      <c r="U11" s="19" t="e">
        <f t="shared" si="1379"/>
        <v>#DIV/0!</v>
      </c>
    </row>
    <row r="12">
      <c r="A12" s="9" t="s">
        <v>24</v>
      </c>
      <c r="B12" s="9" t="s">
        <v>25</v>
      </c>
      <c r="C12" s="14">
        <v>0</v>
      </c>
      <c r="D12" s="11">
        <v>4.6805391470734206</v>
      </c>
      <c r="E12" s="12">
        <f t="shared" si="1373"/>
        <v>0</v>
      </c>
      <c r="F12" s="13">
        <v>0</v>
      </c>
      <c r="G12" s="13">
        <v>63262</v>
      </c>
      <c r="H12" s="13">
        <v>0</v>
      </c>
      <c r="I12" s="16">
        <f t="shared" si="1374"/>
        <v>0</v>
      </c>
      <c r="J12" s="17">
        <f t="shared" si="1375"/>
        <v>-63262</v>
      </c>
      <c r="K12" s="18">
        <f t="shared" si="1380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376"/>
        <v>42000</v>
      </c>
      <c r="S12" s="35">
        <f t="shared" si="1377"/>
        <v>105262</v>
      </c>
      <c r="T12" s="35">
        <f t="shared" si="1378"/>
        <v>105262</v>
      </c>
      <c r="U12" s="19" t="e">
        <f t="shared" si="1379"/>
        <v>#DIV/0!</v>
      </c>
    </row>
    <row r="13">
      <c r="A13" s="56">
        <v>60000000032802</v>
      </c>
      <c r="B13" s="9" t="s">
        <v>113</v>
      </c>
      <c r="C13" s="14">
        <v>0</v>
      </c>
      <c r="D13" s="11">
        <v>9.2599999999999998</v>
      </c>
      <c r="E13" s="12">
        <f t="shared" si="1373"/>
        <v>0</v>
      </c>
      <c r="F13" s="13">
        <v>0</v>
      </c>
      <c r="G13" s="13">
        <v>0</v>
      </c>
      <c r="H13" s="13">
        <v>0</v>
      </c>
      <c r="I13" s="16">
        <f t="shared" si="1374"/>
        <v>0</v>
      </c>
      <c r="J13" s="17">
        <f t="shared" si="1375"/>
        <v>0</v>
      </c>
      <c r="K13" s="18">
        <f t="shared" si="138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376"/>
        <v>0</v>
      </c>
      <c r="S13" s="35">
        <f t="shared" si="1377"/>
        <v>0</v>
      </c>
      <c r="T13" s="35">
        <f t="shared" si="1378"/>
        <v>0</v>
      </c>
      <c r="U13" s="19" t="e">
        <f t="shared" si="1379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373"/>
        <v>0</v>
      </c>
      <c r="F14" s="13">
        <v>0</v>
      </c>
      <c r="G14" s="13">
        <v>0</v>
      </c>
      <c r="H14" s="13">
        <v>0</v>
      </c>
      <c r="I14" s="16">
        <f t="shared" si="1374"/>
        <v>0</v>
      </c>
      <c r="J14" s="17">
        <f t="shared" si="1375"/>
        <v>0</v>
      </c>
      <c r="K14" s="18">
        <f t="shared" si="1380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376"/>
        <v>7000</v>
      </c>
      <c r="S14" s="35">
        <f t="shared" si="1377"/>
        <v>7000</v>
      </c>
      <c r="T14" s="35">
        <f t="shared" si="1378"/>
        <v>7000</v>
      </c>
      <c r="U14" s="19" t="e">
        <f t="shared" si="1379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373"/>
        <v>0</v>
      </c>
      <c r="F15" s="13">
        <v>0</v>
      </c>
      <c r="G15" s="33">
        <v>0</v>
      </c>
      <c r="H15" s="13">
        <v>0</v>
      </c>
      <c r="I15" s="16">
        <f t="shared" si="1374"/>
        <v>0</v>
      </c>
      <c r="J15" s="17">
        <f t="shared" si="1375"/>
        <v>0</v>
      </c>
      <c r="K15" s="18">
        <f t="shared" si="1380"/>
        <v>0</v>
      </c>
      <c r="L15" s="19" t="e">
        <f t="shared" ref="L15:L20" si="1382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76"/>
        <v>0</v>
      </c>
      <c r="S15" s="35">
        <f t="shared" si="1377"/>
        <v>0</v>
      </c>
      <c r="T15" s="35">
        <f t="shared" si="1378"/>
        <v>0</v>
      </c>
      <c r="U15" s="19" t="e">
        <f t="shared" si="1379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373"/>
        <v>0</v>
      </c>
      <c r="F16" s="13">
        <v>0</v>
      </c>
      <c r="G16" s="33">
        <v>0</v>
      </c>
      <c r="H16" s="13">
        <v>0</v>
      </c>
      <c r="I16" s="16">
        <f t="shared" si="1374"/>
        <v>0</v>
      </c>
      <c r="J16" s="17">
        <f t="shared" si="1375"/>
        <v>0</v>
      </c>
      <c r="K16" s="18">
        <f t="shared" si="1380"/>
        <v>0</v>
      </c>
      <c r="L16" s="19" t="e">
        <f t="shared" si="1382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76"/>
        <v>0</v>
      </c>
      <c r="S16" s="35">
        <f t="shared" si="1377"/>
        <v>0</v>
      </c>
      <c r="T16" s="35">
        <f t="shared" si="1378"/>
        <v>0</v>
      </c>
      <c r="U16" s="19" t="e">
        <f t="shared" si="1379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373"/>
        <v>0</v>
      </c>
      <c r="F17" s="13">
        <v>0</v>
      </c>
      <c r="G17" s="33">
        <v>0</v>
      </c>
      <c r="H17" s="13">
        <v>0</v>
      </c>
      <c r="I17" s="16">
        <f t="shared" si="1374"/>
        <v>0</v>
      </c>
      <c r="J17" s="17">
        <f t="shared" si="1375"/>
        <v>0</v>
      </c>
      <c r="K17" s="18">
        <f t="shared" si="1380"/>
        <v>0</v>
      </c>
      <c r="L17" s="19" t="e">
        <f t="shared" si="138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76"/>
        <v>0</v>
      </c>
      <c r="S17" s="35">
        <f t="shared" si="1377"/>
        <v>0</v>
      </c>
      <c r="T17" s="35">
        <f t="shared" si="1378"/>
        <v>0</v>
      </c>
      <c r="U17" s="19" t="e">
        <f t="shared" si="1379"/>
        <v>#DIV/0!</v>
      </c>
    </row>
    <row r="18">
      <c r="A18" s="9" t="s">
        <v>22</v>
      </c>
      <c r="B18" s="9" t="s">
        <v>23</v>
      </c>
      <c r="C18" s="14">
        <v>0</v>
      </c>
      <c r="D18" s="50">
        <v>1.3029343529557731</v>
      </c>
      <c r="E18" s="14">
        <f t="shared" si="1373"/>
        <v>0</v>
      </c>
      <c r="F18" s="13">
        <v>134114</v>
      </c>
      <c r="G18" s="13">
        <v>158193</v>
      </c>
      <c r="H18" s="13">
        <v>0</v>
      </c>
      <c r="I18" s="16">
        <f t="shared" si="1374"/>
        <v>134114</v>
      </c>
      <c r="J18" s="17">
        <f t="shared" si="1375"/>
        <v>-158193</v>
      </c>
      <c r="K18" s="18">
        <f t="shared" si="1380"/>
        <v>206115.09409713262</v>
      </c>
      <c r="L18" s="19" t="e">
        <f t="shared" si="1382"/>
        <v>#DIV/0!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376"/>
        <v>290000</v>
      </c>
      <c r="S18" s="35">
        <f t="shared" si="1377"/>
        <v>582307</v>
      </c>
      <c r="T18" s="35">
        <f t="shared" si="1378"/>
        <v>582307</v>
      </c>
      <c r="U18" s="19" t="e">
        <f t="shared" si="1379"/>
        <v>#DIV/0!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38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383">M19+N19+O19+P19+Q19</f>
        <v>0</v>
      </c>
      <c r="S19" s="35">
        <f t="shared" ref="S19:S20" si="1384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0</v>
      </c>
      <c r="D20" s="23"/>
      <c r="E20" s="22">
        <f t="shared" ref="E20:K20" si="1385">SUM(E3:E19)</f>
        <v>0</v>
      </c>
      <c r="F20" s="24">
        <f t="shared" si="1385"/>
        <v>269700</v>
      </c>
      <c r="G20" s="24">
        <f t="shared" si="1385"/>
        <v>727213</v>
      </c>
      <c r="H20" s="24">
        <f t="shared" si="1385"/>
        <v>76692</v>
      </c>
      <c r="I20" s="25">
        <f t="shared" si="1385"/>
        <v>346392</v>
      </c>
      <c r="J20" s="26">
        <f t="shared" si="1385"/>
        <v>-727213</v>
      </c>
      <c r="K20" s="26">
        <f t="shared" si="1385"/>
        <v>1098069.6378511442</v>
      </c>
      <c r="L20" s="27" t="e">
        <f t="shared" si="1382"/>
        <v>#DIV/0!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383"/>
        <v>1</v>
      </c>
      <c r="S20" s="35">
        <f t="shared" si="1384"/>
        <v>1073606</v>
      </c>
      <c r="T20" s="41"/>
    </row>
    <row r="24">
      <c r="C24" s="28"/>
      <c r="D24" s="28"/>
      <c r="E24" s="28"/>
      <c r="F24" s="28"/>
    </row>
    <row r="25">
      <c r="C25" s="28"/>
      <c r="D25" s="28"/>
      <c r="E25" s="28"/>
      <c r="F25" s="28"/>
    </row>
    <row r="26">
      <c r="C26" s="28"/>
      <c r="D26" s="28"/>
      <c r="E26" s="28"/>
      <c r="F26" s="28"/>
    </row>
    <row r="27">
      <c r="C27" s="28"/>
      <c r="D27" s="28"/>
      <c r="E27" s="28"/>
      <c r="F27" s="28"/>
    </row>
    <row r="28">
      <c r="C28" s="28"/>
      <c r="D28" s="28"/>
      <c r="E28" s="28"/>
      <c r="F28" s="28"/>
    </row>
    <row r="36">
      <c r="B36" s="28"/>
      <c r="C36" s="28"/>
      <c r="D36" s="28"/>
      <c r="E36" s="28"/>
      <c r="K36" t="s">
        <v>64</v>
      </c>
    </row>
    <row r="37">
      <c r="D37" t="s">
        <v>64</v>
      </c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0000A2-00D0-4A51-82D5-00660044007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3800B5-00B5-4D9C-A7F7-00280010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4F0087-003F-49D0-B4CF-00CA008B003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BE0081-004C-483F-B6D1-001F00AE005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E900E2-004A-4BB7-943F-00A800E7009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F8002F-00D2-40BF-B4BD-001D000A005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8D007D-0000-4A39-889F-007900FA005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7900AC-0030-44E8-8926-00AF009C00A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F900B8-003D-4A9F-A331-005B0054001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19" activeCellId="0" sqref="G19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227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386">C3*D3</f>
        <v>1142706.2615954725</v>
      </c>
      <c r="F3" s="13">
        <v>0</v>
      </c>
      <c r="G3" s="44">
        <v>36868</v>
      </c>
      <c r="H3" s="13">
        <v>0</v>
      </c>
      <c r="I3" s="16">
        <f t="shared" ref="I3:I18" si="1387">F3+H3</f>
        <v>0</v>
      </c>
      <c r="J3" s="17">
        <f t="shared" ref="J3:J18" si="1388">C3-G3</f>
        <v>358207</v>
      </c>
      <c r="K3" s="18">
        <f>+G3*D3</f>
        <v>106636.19427324402</v>
      </c>
      <c r="L3" s="19">
        <f>K3/E3</f>
        <v>0.093318990065177507</v>
      </c>
      <c r="M3" s="68">
        <v>111000</v>
      </c>
      <c r="N3" s="58">
        <v>129000</v>
      </c>
      <c r="O3" s="34">
        <v>129000</v>
      </c>
      <c r="P3" s="34">
        <v>129000</v>
      </c>
      <c r="Q3" s="34">
        <v>0</v>
      </c>
      <c r="R3" s="34">
        <f t="shared" ref="R3:R18" si="1389">M3+N3+O3+P3+Q3</f>
        <v>498000</v>
      </c>
      <c r="S3" s="35">
        <f t="shared" ref="S3:S18" si="1390">G3+I3+R3</f>
        <v>534868</v>
      </c>
      <c r="T3" s="35">
        <f t="shared" ref="T3:T18" si="1391">S3-C3</f>
        <v>139793</v>
      </c>
      <c r="U3" s="19">
        <f t="shared" ref="U3:U18" si="1392">S3/C3</f>
        <v>1.3538391444662405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386"/>
        <v>326534.8923560073</v>
      </c>
      <c r="F4" s="13">
        <v>0</v>
      </c>
      <c r="G4" s="13">
        <v>0</v>
      </c>
      <c r="H4" s="13">
        <v>135586</v>
      </c>
      <c r="I4" s="16">
        <f t="shared" si="1387"/>
        <v>135586</v>
      </c>
      <c r="J4" s="17">
        <f t="shared" si="1388"/>
        <v>210000</v>
      </c>
      <c r="K4" s="18">
        <f>D4*G4</f>
        <v>0</v>
      </c>
      <c r="L4" s="19">
        <v>0</v>
      </c>
      <c r="M4" s="68">
        <v>74000</v>
      </c>
      <c r="N4" s="58">
        <v>74000</v>
      </c>
      <c r="O4" s="34">
        <v>0</v>
      </c>
      <c r="P4" s="34">
        <v>0</v>
      </c>
      <c r="Q4" s="34">
        <v>0</v>
      </c>
      <c r="R4" s="34">
        <f t="shared" si="1389"/>
        <v>148000</v>
      </c>
      <c r="S4" s="35">
        <f t="shared" si="1390"/>
        <v>283586</v>
      </c>
      <c r="T4" s="35">
        <f t="shared" si="1391"/>
        <v>73586</v>
      </c>
      <c r="U4" s="19">
        <f t="shared" si="1392"/>
        <v>1.3504095238095237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386"/>
        <v>179349.84618968569</v>
      </c>
      <c r="F5" s="13">
        <v>0</v>
      </c>
      <c r="G5" s="13">
        <v>12677</v>
      </c>
      <c r="H5" s="13">
        <v>0</v>
      </c>
      <c r="I5" s="16">
        <f t="shared" si="1387"/>
        <v>0</v>
      </c>
      <c r="J5" s="17">
        <f t="shared" si="1388"/>
        <v>155202</v>
      </c>
      <c r="K5" s="18">
        <f t="shared" ref="K5:K19" si="1393">+G5*D5</f>
        <v>13543.194801890919</v>
      </c>
      <c r="L5" s="19">
        <f t="shared" ref="L5:L10" si="1394">K5/E5</f>
        <v>0.07551272047129183</v>
      </c>
      <c r="M5" s="34">
        <v>0</v>
      </c>
      <c r="N5" s="58">
        <v>0</v>
      </c>
      <c r="O5" s="34">
        <v>156000</v>
      </c>
      <c r="P5" s="34">
        <v>0</v>
      </c>
      <c r="Q5" s="34">
        <v>0</v>
      </c>
      <c r="R5" s="34">
        <f t="shared" si="1389"/>
        <v>156000</v>
      </c>
      <c r="S5" s="35">
        <f t="shared" si="1390"/>
        <v>168677</v>
      </c>
      <c r="T5" s="35">
        <f t="shared" si="1391"/>
        <v>798</v>
      </c>
      <c r="U5" s="19">
        <f t="shared" si="1392"/>
        <v>1.0047534235967572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386"/>
        <v>1207818.5514720667</v>
      </c>
      <c r="F6" s="13">
        <v>0</v>
      </c>
      <c r="G6" s="13">
        <v>160363</v>
      </c>
      <c r="H6" s="13">
        <v>0</v>
      </c>
      <c r="I6" s="16">
        <f t="shared" si="1387"/>
        <v>0</v>
      </c>
      <c r="J6" s="17">
        <f t="shared" si="1388"/>
        <v>396318</v>
      </c>
      <c r="K6" s="18">
        <f t="shared" si="1393"/>
        <v>347936.08254945837</v>
      </c>
      <c r="L6" s="19">
        <f t="shared" si="1394"/>
        <v>0.28806982814214965</v>
      </c>
      <c r="M6" s="34">
        <v>312000</v>
      </c>
      <c r="N6" s="58">
        <v>78000</v>
      </c>
      <c r="O6" s="34">
        <v>0</v>
      </c>
      <c r="P6" s="69">
        <v>234000</v>
      </c>
      <c r="Q6" s="34">
        <v>0</v>
      </c>
      <c r="R6" s="34">
        <f t="shared" si="1389"/>
        <v>624000</v>
      </c>
      <c r="S6" s="35">
        <f t="shared" si="1390"/>
        <v>784363</v>
      </c>
      <c r="T6" s="35">
        <f t="shared" si="1391"/>
        <v>227682</v>
      </c>
      <c r="U6" s="19">
        <f t="shared" si="1392"/>
        <v>1.4089990497250671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86"/>
        <v>0</v>
      </c>
      <c r="F7" s="13">
        <v>0</v>
      </c>
      <c r="G7" s="13">
        <v>0</v>
      </c>
      <c r="H7" s="13">
        <v>0</v>
      </c>
      <c r="I7" s="16">
        <f t="shared" si="1387"/>
        <v>0</v>
      </c>
      <c r="J7" s="17">
        <f t="shared" si="1388"/>
        <v>0</v>
      </c>
      <c r="K7" s="18">
        <f t="shared" si="1393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389"/>
        <v>0</v>
      </c>
      <c r="S7" s="35">
        <f t="shared" si="1390"/>
        <v>0</v>
      </c>
      <c r="T7" s="35">
        <f t="shared" si="1391"/>
        <v>0</v>
      </c>
      <c r="U7" s="19" t="e">
        <f t="shared" si="1392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386"/>
        <v>571514.02941906289</v>
      </c>
      <c r="F8" s="13">
        <v>0</v>
      </c>
      <c r="G8" s="44">
        <v>0</v>
      </c>
      <c r="H8" s="44">
        <v>126406</v>
      </c>
      <c r="I8" s="16">
        <f t="shared" si="1387"/>
        <v>126406</v>
      </c>
      <c r="J8" s="17">
        <f t="shared" si="1388"/>
        <v>500000</v>
      </c>
      <c r="K8" s="18">
        <f t="shared" si="1393"/>
        <v>0</v>
      </c>
      <c r="L8" s="19">
        <f t="shared" si="1394"/>
        <v>0</v>
      </c>
      <c r="M8" s="34">
        <v>189000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389"/>
        <v>629000</v>
      </c>
      <c r="S8" s="35">
        <f t="shared" si="1390"/>
        <v>755406</v>
      </c>
      <c r="T8" s="35">
        <f t="shared" si="1391"/>
        <v>255406</v>
      </c>
      <c r="U8" s="19">
        <f t="shared" si="1392"/>
        <v>1.510812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386"/>
        <v>190268.41765143772</v>
      </c>
      <c r="F9" s="13">
        <v>0</v>
      </c>
      <c r="G9" s="44">
        <v>149406</v>
      </c>
      <c r="H9" s="13">
        <v>0</v>
      </c>
      <c r="I9" s="16">
        <f t="shared" si="1387"/>
        <v>0</v>
      </c>
      <c r="J9" s="17">
        <f t="shared" si="1388"/>
        <v>150594</v>
      </c>
      <c r="K9" s="18">
        <f t="shared" si="1393"/>
        <v>94757.477358769014</v>
      </c>
      <c r="L9" s="19">
        <f t="shared" si="1394"/>
        <v>0.49802000000000002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389"/>
        <v>440000</v>
      </c>
      <c r="S9" s="35">
        <f t="shared" si="1390"/>
        <v>589406</v>
      </c>
      <c r="T9" s="35">
        <f t="shared" si="1391"/>
        <v>289406</v>
      </c>
      <c r="U9" s="19">
        <f t="shared" si="1392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386"/>
        <v>299629.4445543653</v>
      </c>
      <c r="F10" s="44">
        <v>0</v>
      </c>
      <c r="G10" s="13">
        <v>223136</v>
      </c>
      <c r="H10" s="44">
        <v>87810</v>
      </c>
      <c r="I10" s="16">
        <f t="shared" si="1387"/>
        <v>87810</v>
      </c>
      <c r="J10" s="17">
        <f t="shared" si="1388"/>
        <v>112197</v>
      </c>
      <c r="K10" s="18">
        <f t="shared" si="1393"/>
        <v>199378.27693690406</v>
      </c>
      <c r="L10" s="19">
        <f t="shared" si="1394"/>
        <v>0.66541616840573392</v>
      </c>
      <c r="M10" s="34">
        <v>44000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389"/>
        <v>660000</v>
      </c>
      <c r="S10" s="35">
        <f t="shared" si="1390"/>
        <v>970946</v>
      </c>
      <c r="T10" s="35">
        <f t="shared" si="1391"/>
        <v>635613</v>
      </c>
      <c r="U10" s="19">
        <f t="shared" si="1392"/>
        <v>2.8954680869464084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86"/>
        <v>0</v>
      </c>
      <c r="F11" s="13">
        <v>0</v>
      </c>
      <c r="G11" s="13">
        <v>0</v>
      </c>
      <c r="H11" s="13">
        <v>0</v>
      </c>
      <c r="I11" s="16">
        <f t="shared" si="1387"/>
        <v>0</v>
      </c>
      <c r="J11" s="17">
        <f t="shared" si="1388"/>
        <v>0</v>
      </c>
      <c r="K11" s="18">
        <f t="shared" si="1393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389"/>
        <v>0</v>
      </c>
      <c r="S11" s="35">
        <f t="shared" si="1390"/>
        <v>0</v>
      </c>
      <c r="T11" s="35">
        <f t="shared" si="1391"/>
        <v>0</v>
      </c>
      <c r="U11" s="19" t="e">
        <f t="shared" si="1392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386"/>
        <v>494208.76746118831</v>
      </c>
      <c r="F12" s="13">
        <v>42286</v>
      </c>
      <c r="G12" s="13">
        <v>63262</v>
      </c>
      <c r="H12" s="13">
        <v>0</v>
      </c>
      <c r="I12" s="16">
        <f t="shared" si="1387"/>
        <v>42286</v>
      </c>
      <c r="J12" s="17">
        <f t="shared" si="1388"/>
        <v>42326</v>
      </c>
      <c r="K12" s="18">
        <f t="shared" si="1393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389"/>
        <v>42000</v>
      </c>
      <c r="S12" s="35">
        <f t="shared" si="1390"/>
        <v>147548</v>
      </c>
      <c r="T12" s="35">
        <f t="shared" si="1391"/>
        <v>41960</v>
      </c>
      <c r="U12" s="19">
        <f t="shared" si="1392"/>
        <v>1.3973936432170322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386"/>
        <v>245445.56</v>
      </c>
      <c r="F13" s="13">
        <v>26506</v>
      </c>
      <c r="G13" s="13">
        <v>0</v>
      </c>
      <c r="H13" s="13">
        <v>0</v>
      </c>
      <c r="I13" s="16">
        <f t="shared" si="1387"/>
        <v>26506</v>
      </c>
      <c r="J13" s="17">
        <f t="shared" si="1388"/>
        <v>26506</v>
      </c>
      <c r="K13" s="18">
        <f t="shared" si="139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389"/>
        <v>0</v>
      </c>
      <c r="S13" s="35">
        <f t="shared" si="1390"/>
        <v>26506</v>
      </c>
      <c r="T13" s="35">
        <f t="shared" si="1391"/>
        <v>0</v>
      </c>
      <c r="U13" s="19">
        <f t="shared" si="1392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386"/>
        <v>63385.585358015262</v>
      </c>
      <c r="F14" s="13">
        <v>0</v>
      </c>
      <c r="G14" s="13">
        <v>0</v>
      </c>
      <c r="H14" s="13">
        <v>0</v>
      </c>
      <c r="I14" s="16">
        <f t="shared" si="1387"/>
        <v>0</v>
      </c>
      <c r="J14" s="17">
        <f t="shared" si="1388"/>
        <v>7091</v>
      </c>
      <c r="K14" s="18">
        <f t="shared" si="1393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389"/>
        <v>7000</v>
      </c>
      <c r="S14" s="35">
        <f t="shared" si="1390"/>
        <v>7000</v>
      </c>
      <c r="T14" s="35">
        <f t="shared" si="1391"/>
        <v>-91</v>
      </c>
      <c r="U14" s="19">
        <f t="shared" si="1392"/>
        <v>0.98716683119447191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386"/>
        <v>0</v>
      </c>
      <c r="F15" s="13">
        <v>0</v>
      </c>
      <c r="G15" s="33">
        <v>0</v>
      </c>
      <c r="H15" s="13">
        <v>0</v>
      </c>
      <c r="I15" s="16">
        <f t="shared" si="1387"/>
        <v>0</v>
      </c>
      <c r="J15" s="17">
        <f t="shared" si="1388"/>
        <v>0</v>
      </c>
      <c r="K15" s="18">
        <f t="shared" si="1393"/>
        <v>0</v>
      </c>
      <c r="L15" s="19" t="e">
        <f t="shared" ref="L15:L20" si="1395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389"/>
        <v>0</v>
      </c>
      <c r="S15" s="35">
        <f t="shared" si="1390"/>
        <v>0</v>
      </c>
      <c r="T15" s="35">
        <f t="shared" si="1391"/>
        <v>0</v>
      </c>
      <c r="U15" s="19" t="e">
        <f t="shared" si="1392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386"/>
        <v>0</v>
      </c>
      <c r="F16" s="13">
        <v>0</v>
      </c>
      <c r="G16" s="33">
        <v>0</v>
      </c>
      <c r="H16" s="13">
        <v>0</v>
      </c>
      <c r="I16" s="16">
        <f t="shared" si="1387"/>
        <v>0</v>
      </c>
      <c r="J16" s="17">
        <f t="shared" si="1388"/>
        <v>0</v>
      </c>
      <c r="K16" s="18">
        <f t="shared" si="1393"/>
        <v>0</v>
      </c>
      <c r="L16" s="19" t="e">
        <f t="shared" si="1395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389"/>
        <v>0</v>
      </c>
      <c r="S16" s="35">
        <f t="shared" si="1390"/>
        <v>0</v>
      </c>
      <c r="T16" s="35">
        <f t="shared" si="1391"/>
        <v>0</v>
      </c>
      <c r="U16" s="19" t="e">
        <f t="shared" si="1392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386"/>
        <v>0</v>
      </c>
      <c r="F17" s="13">
        <v>0</v>
      </c>
      <c r="G17" s="33">
        <v>0</v>
      </c>
      <c r="H17" s="13">
        <v>0</v>
      </c>
      <c r="I17" s="16">
        <f t="shared" si="1387"/>
        <v>0</v>
      </c>
      <c r="J17" s="17">
        <f t="shared" si="1388"/>
        <v>0</v>
      </c>
      <c r="K17" s="18">
        <f t="shared" si="1393"/>
        <v>0</v>
      </c>
      <c r="L17" s="19" t="e">
        <f t="shared" si="139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389"/>
        <v>0</v>
      </c>
      <c r="S17" s="35">
        <f t="shared" si="1390"/>
        <v>0</v>
      </c>
      <c r="T17" s="35">
        <f t="shared" si="1391"/>
        <v>0</v>
      </c>
      <c r="U17" s="19" t="e">
        <f t="shared" si="1392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386"/>
        <v>565975.79037586995</v>
      </c>
      <c r="F18" s="13">
        <v>0</v>
      </c>
      <c r="G18" s="13">
        <v>292307</v>
      </c>
      <c r="H18" s="13">
        <v>0</v>
      </c>
      <c r="I18" s="16">
        <f t="shared" si="1387"/>
        <v>0</v>
      </c>
      <c r="J18" s="17">
        <f t="shared" si="1388"/>
        <v>142078.5</v>
      </c>
      <c r="K18" s="18">
        <f t="shared" si="1393"/>
        <v>380856.83190944319</v>
      </c>
      <c r="L18" s="19">
        <f t="shared" si="1395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389"/>
        <v>290000</v>
      </c>
      <c r="S18" s="35">
        <f t="shared" si="1390"/>
        <v>582307</v>
      </c>
      <c r="T18" s="35">
        <f t="shared" si="1391"/>
        <v>147921.5</v>
      </c>
      <c r="U18" s="19">
        <f t="shared" si="1392"/>
        <v>1.3405304735079786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393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396">M19+N19+O19+P19+Q19</f>
        <v>0</v>
      </c>
      <c r="S19" s="35">
        <f t="shared" ref="S19:S20" si="1397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398">SUM(E3:E19)</f>
        <v>5286837.1464331709</v>
      </c>
      <c r="F20" s="24">
        <f t="shared" si="1398"/>
        <v>68792</v>
      </c>
      <c r="G20" s="24">
        <f t="shared" si="1398"/>
        <v>938019</v>
      </c>
      <c r="H20" s="24">
        <f t="shared" si="1398"/>
        <v>349802</v>
      </c>
      <c r="I20" s="25">
        <f t="shared" si="1398"/>
        <v>418594</v>
      </c>
      <c r="J20" s="26">
        <f t="shared" si="1398"/>
        <v>2100519.5</v>
      </c>
      <c r="K20" s="26">
        <f t="shared" si="1398"/>
        <v>1439208.3253518683</v>
      </c>
      <c r="L20" s="27">
        <f t="shared" si="1395"/>
        <v>0.27222482658139902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396"/>
        <v>1</v>
      </c>
      <c r="S20" s="35">
        <f t="shared" si="1397"/>
        <v>1356614</v>
      </c>
      <c r="T20" s="41"/>
    </row>
    <row r="24">
      <c r="C24" s="28"/>
      <c r="D24" s="28"/>
      <c r="E24" s="28"/>
      <c r="F24" s="28"/>
    </row>
    <row r="25">
      <c r="C25" s="28"/>
      <c r="D25" s="28"/>
      <c r="E25" s="28"/>
      <c r="F25" s="28"/>
    </row>
    <row r="26">
      <c r="C26" s="28"/>
      <c r="D26" s="28"/>
      <c r="E26" s="28"/>
      <c r="F26" s="28"/>
    </row>
    <row r="27">
      <c r="C27" s="28"/>
      <c r="D27" s="28"/>
      <c r="E27" s="28"/>
      <c r="F27" s="28"/>
    </row>
    <row r="28">
      <c r="C28" s="28"/>
      <c r="D28" s="28"/>
      <c r="E28" s="28"/>
      <c r="F28" s="28"/>
    </row>
    <row r="36">
      <c r="B36" s="28"/>
      <c r="C36" s="28"/>
      <c r="D36" s="28"/>
      <c r="E36" s="28"/>
      <c r="K36" t="s">
        <v>64</v>
      </c>
    </row>
    <row r="37">
      <c r="D37" t="s">
        <v>64</v>
      </c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050000-0020-47A7-8557-00F000D5004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2700E1-00B0-4279-9D16-00330079001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D800AE-00C2-42C1-BC32-00150090004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8F00AF-005F-4447-8937-00A70009001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D900E0-0096-44BF-AE6A-0096009F003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1100B0-000E-4AC4-AE80-002D0013000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9E0038-00F5-4687-82FD-004600C5009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7200D4-0002-4F3E-A952-005300DF00F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11003B-002E-4101-BE3B-004D006B00A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8" activeCellId="0" sqref="H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228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399">C3*D3</f>
        <v>1142706.2615954725</v>
      </c>
      <c r="F3" s="13">
        <v>0</v>
      </c>
      <c r="G3" s="44">
        <v>36868</v>
      </c>
      <c r="H3" s="13">
        <v>0</v>
      </c>
      <c r="I3" s="16">
        <f t="shared" ref="I3:I18" si="1400">F3+H3</f>
        <v>0</v>
      </c>
      <c r="J3" s="17">
        <f t="shared" ref="J3:J18" si="1401">C3-G3</f>
        <v>358207</v>
      </c>
      <c r="K3" s="18">
        <f>+G3*D3</f>
        <v>106636.19427324402</v>
      </c>
      <c r="L3" s="19">
        <f>K3/E3</f>
        <v>0.093318990065177507</v>
      </c>
      <c r="M3" s="34">
        <v>0</v>
      </c>
      <c r="N3" s="58">
        <v>240000</v>
      </c>
      <c r="O3" s="34">
        <v>129000</v>
      </c>
      <c r="P3" s="34">
        <v>129000</v>
      </c>
      <c r="Q3" s="34">
        <v>0</v>
      </c>
      <c r="R3" s="34">
        <f t="shared" ref="R3:R18" si="1402">M3+N3+O3+P3+Q3</f>
        <v>498000</v>
      </c>
      <c r="S3" s="35">
        <f t="shared" ref="S3:S18" si="1403">G3+I3+R3</f>
        <v>534868</v>
      </c>
      <c r="T3" s="35">
        <f t="shared" ref="T3:T18" si="1404">S3-C3</f>
        <v>139793</v>
      </c>
      <c r="U3" s="19">
        <f t="shared" ref="U3:U18" si="1405">S3/C3</f>
        <v>1.3538391444662405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399"/>
        <v>326534.8923560073</v>
      </c>
      <c r="F4" s="13">
        <v>0</v>
      </c>
      <c r="G4" s="13">
        <v>103680</v>
      </c>
      <c r="H4" s="13">
        <v>31906</v>
      </c>
      <c r="I4" s="16">
        <f t="shared" si="1400"/>
        <v>31906</v>
      </c>
      <c r="J4" s="17">
        <f t="shared" si="1401"/>
        <v>106320</v>
      </c>
      <c r="K4" s="18">
        <f>D4*G4</f>
        <v>161214.94114033732</v>
      </c>
      <c r="L4" s="19">
        <v>0</v>
      </c>
      <c r="M4" s="34">
        <v>0</v>
      </c>
      <c r="N4" s="58">
        <v>74000</v>
      </c>
      <c r="O4" s="34">
        <v>74000</v>
      </c>
      <c r="P4" s="34">
        <v>0</v>
      </c>
      <c r="Q4" s="34">
        <v>0</v>
      </c>
      <c r="R4" s="34">
        <f t="shared" si="1402"/>
        <v>148000</v>
      </c>
      <c r="S4" s="35">
        <f t="shared" si="1403"/>
        <v>283586</v>
      </c>
      <c r="T4" s="35">
        <f t="shared" si="1404"/>
        <v>73586</v>
      </c>
      <c r="U4" s="19">
        <f t="shared" si="1405"/>
        <v>1.3504095238095237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399"/>
        <v>179349.84618968569</v>
      </c>
      <c r="F5" s="13">
        <v>0</v>
      </c>
      <c r="G5" s="13">
        <v>12677</v>
      </c>
      <c r="H5" s="13">
        <v>0</v>
      </c>
      <c r="I5" s="16">
        <f t="shared" si="1400"/>
        <v>0</v>
      </c>
      <c r="J5" s="17">
        <f t="shared" si="1401"/>
        <v>155202</v>
      </c>
      <c r="K5" s="18">
        <f t="shared" ref="K5:K19" si="1406">+G5*D5</f>
        <v>13543.194801890919</v>
      </c>
      <c r="L5" s="19">
        <f t="shared" ref="L5:L10" si="1407">K5/E5</f>
        <v>0.07551272047129183</v>
      </c>
      <c r="M5" s="34">
        <v>0</v>
      </c>
      <c r="N5" s="58">
        <v>0</v>
      </c>
      <c r="O5" s="34">
        <v>312000</v>
      </c>
      <c r="P5" s="34">
        <v>0</v>
      </c>
      <c r="Q5" s="34">
        <v>0</v>
      </c>
      <c r="R5" s="34">
        <f t="shared" si="1402"/>
        <v>312000</v>
      </c>
      <c r="S5" s="35">
        <f t="shared" si="1403"/>
        <v>324677</v>
      </c>
      <c r="T5" s="35">
        <f t="shared" si="1404"/>
        <v>156798</v>
      </c>
      <c r="U5" s="19">
        <f t="shared" si="1405"/>
        <v>1.9339941267222225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399"/>
        <v>1207818.5514720667</v>
      </c>
      <c r="F6" s="13">
        <v>0</v>
      </c>
      <c r="G6" s="13">
        <v>160363</v>
      </c>
      <c r="H6" s="13">
        <v>0</v>
      </c>
      <c r="I6" s="16">
        <f t="shared" si="1400"/>
        <v>0</v>
      </c>
      <c r="J6" s="17">
        <f t="shared" si="1401"/>
        <v>396318</v>
      </c>
      <c r="K6" s="18">
        <f t="shared" si="1406"/>
        <v>347936.08254945837</v>
      </c>
      <c r="L6" s="19">
        <f t="shared" si="1407"/>
        <v>0.28806982814214965</v>
      </c>
      <c r="M6" s="34">
        <v>0</v>
      </c>
      <c r="N6" s="58">
        <v>192000</v>
      </c>
      <c r="O6" s="34">
        <v>192000</v>
      </c>
      <c r="P6" s="69">
        <v>234000</v>
      </c>
      <c r="Q6" s="34">
        <v>0</v>
      </c>
      <c r="R6" s="34">
        <f t="shared" si="1402"/>
        <v>618000</v>
      </c>
      <c r="S6" s="35">
        <f t="shared" si="1403"/>
        <v>778363</v>
      </c>
      <c r="T6" s="35">
        <f t="shared" si="1404"/>
        <v>221682</v>
      </c>
      <c r="U6" s="19">
        <f t="shared" si="1405"/>
        <v>1.3982208841329236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399"/>
        <v>0</v>
      </c>
      <c r="F7" s="13">
        <v>0</v>
      </c>
      <c r="G7" s="13">
        <v>0</v>
      </c>
      <c r="H7" s="13">
        <v>0</v>
      </c>
      <c r="I7" s="16">
        <f t="shared" si="1400"/>
        <v>0</v>
      </c>
      <c r="J7" s="17">
        <f t="shared" si="1401"/>
        <v>0</v>
      </c>
      <c r="K7" s="18">
        <f t="shared" si="1406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02"/>
        <v>0</v>
      </c>
      <c r="S7" s="35">
        <f t="shared" si="1403"/>
        <v>0</v>
      </c>
      <c r="T7" s="35">
        <f t="shared" si="1404"/>
        <v>0</v>
      </c>
      <c r="U7" s="19" t="e">
        <f t="shared" si="1405"/>
        <v>#DIV/0!</v>
      </c>
    </row>
    <row r="8">
      <c r="A8" s="9" t="s">
        <v>26</v>
      </c>
      <c r="B8" s="64" t="s">
        <v>27</v>
      </c>
      <c r="C8" s="14">
        <v>500000</v>
      </c>
      <c r="D8" s="11">
        <v>1.1430280588381259</v>
      </c>
      <c r="E8" s="12">
        <f t="shared" si="1399"/>
        <v>571514.02941906289</v>
      </c>
      <c r="F8" s="13">
        <v>221647</v>
      </c>
      <c r="G8" s="44">
        <v>126406</v>
      </c>
      <c r="H8" s="44">
        <v>0</v>
      </c>
      <c r="I8" s="16">
        <f t="shared" si="1400"/>
        <v>221647</v>
      </c>
      <c r="J8" s="17">
        <f t="shared" si="1401"/>
        <v>373594</v>
      </c>
      <c r="K8" s="18">
        <f t="shared" si="1406"/>
        <v>144485.60480549213</v>
      </c>
      <c r="L8" s="19">
        <f t="shared" si="1407"/>
        <v>0.25281199999999998</v>
      </c>
      <c r="M8" s="34">
        <v>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402"/>
        <v>440000</v>
      </c>
      <c r="S8" s="35">
        <f t="shared" si="1403"/>
        <v>788053</v>
      </c>
      <c r="T8" s="35">
        <f t="shared" si="1404"/>
        <v>288053</v>
      </c>
      <c r="U8" s="19">
        <f t="shared" si="1405"/>
        <v>1.576106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399"/>
        <v>190268.41765143772</v>
      </c>
      <c r="F9" s="13">
        <v>0</v>
      </c>
      <c r="G9" s="44">
        <v>149406</v>
      </c>
      <c r="H9" s="13">
        <v>0</v>
      </c>
      <c r="I9" s="16">
        <f t="shared" si="1400"/>
        <v>0</v>
      </c>
      <c r="J9" s="17">
        <f t="shared" si="1401"/>
        <v>150594</v>
      </c>
      <c r="K9" s="18">
        <f t="shared" si="1406"/>
        <v>94757.477358769014</v>
      </c>
      <c r="L9" s="19">
        <f t="shared" si="1407"/>
        <v>0.49802000000000002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402"/>
        <v>440000</v>
      </c>
      <c r="S9" s="35">
        <f t="shared" si="1403"/>
        <v>589406</v>
      </c>
      <c r="T9" s="35">
        <f t="shared" si="1404"/>
        <v>289406</v>
      </c>
      <c r="U9" s="19">
        <f t="shared" si="1405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399"/>
        <v>299629.4445543653</v>
      </c>
      <c r="F10" s="44">
        <v>0</v>
      </c>
      <c r="G10" s="13">
        <v>310946</v>
      </c>
      <c r="H10" s="44">
        <v>0</v>
      </c>
      <c r="I10" s="16">
        <f t="shared" si="1400"/>
        <v>0</v>
      </c>
      <c r="J10" s="17">
        <f t="shared" si="1401"/>
        <v>24387</v>
      </c>
      <c r="K10" s="18">
        <f t="shared" si="1406"/>
        <v>277838.97578347992</v>
      </c>
      <c r="L10" s="19">
        <f t="shared" si="1407"/>
        <v>0.92727527562154632</v>
      </c>
      <c r="M10" s="34">
        <v>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402"/>
        <v>616000</v>
      </c>
      <c r="S10" s="35">
        <f t="shared" si="1403"/>
        <v>926946</v>
      </c>
      <c r="T10" s="35">
        <f t="shared" si="1404"/>
        <v>591613</v>
      </c>
      <c r="U10" s="19">
        <f t="shared" si="1405"/>
        <v>2.7642552328580843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399"/>
        <v>0</v>
      </c>
      <c r="F11" s="13">
        <v>0</v>
      </c>
      <c r="G11" s="13">
        <v>0</v>
      </c>
      <c r="H11" s="13">
        <v>0</v>
      </c>
      <c r="I11" s="16">
        <f t="shared" si="1400"/>
        <v>0</v>
      </c>
      <c r="J11" s="17">
        <f t="shared" si="1401"/>
        <v>0</v>
      </c>
      <c r="K11" s="18">
        <f t="shared" si="1406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02"/>
        <v>0</v>
      </c>
      <c r="S11" s="35">
        <f t="shared" si="1403"/>
        <v>0</v>
      </c>
      <c r="T11" s="35">
        <f t="shared" si="1404"/>
        <v>0</v>
      </c>
      <c r="U11" s="19" t="e">
        <f t="shared" si="1405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399"/>
        <v>494208.76746118831</v>
      </c>
      <c r="F12" s="13">
        <v>42286</v>
      </c>
      <c r="G12" s="13">
        <v>63262</v>
      </c>
      <c r="H12" s="13">
        <v>0</v>
      </c>
      <c r="I12" s="16">
        <f t="shared" si="1400"/>
        <v>42286</v>
      </c>
      <c r="J12" s="17">
        <f t="shared" si="1401"/>
        <v>42326</v>
      </c>
      <c r="K12" s="18">
        <f t="shared" si="1406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02"/>
        <v>42000</v>
      </c>
      <c r="S12" s="35">
        <f t="shared" si="1403"/>
        <v>147548</v>
      </c>
      <c r="T12" s="35">
        <f t="shared" si="1404"/>
        <v>41960</v>
      </c>
      <c r="U12" s="19">
        <f t="shared" si="1405"/>
        <v>1.3973936432170322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399"/>
        <v>245445.56</v>
      </c>
      <c r="F13" s="13">
        <v>26506</v>
      </c>
      <c r="G13" s="13">
        <v>0</v>
      </c>
      <c r="H13" s="13">
        <v>0</v>
      </c>
      <c r="I13" s="16">
        <f t="shared" si="1400"/>
        <v>26506</v>
      </c>
      <c r="J13" s="17">
        <f t="shared" si="1401"/>
        <v>26506</v>
      </c>
      <c r="K13" s="18">
        <f t="shared" si="140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02"/>
        <v>0</v>
      </c>
      <c r="S13" s="35">
        <f t="shared" si="1403"/>
        <v>26506</v>
      </c>
      <c r="T13" s="35">
        <f t="shared" si="1404"/>
        <v>0</v>
      </c>
      <c r="U13" s="19">
        <f t="shared" si="1405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399"/>
        <v>63385.585358015262</v>
      </c>
      <c r="F14" s="13">
        <v>0</v>
      </c>
      <c r="G14" s="13">
        <v>0</v>
      </c>
      <c r="H14" s="13">
        <v>0</v>
      </c>
      <c r="I14" s="16">
        <f t="shared" si="1400"/>
        <v>0</v>
      </c>
      <c r="J14" s="17">
        <f t="shared" si="1401"/>
        <v>7091</v>
      </c>
      <c r="K14" s="18">
        <f t="shared" si="1406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02"/>
        <v>7000</v>
      </c>
      <c r="S14" s="35">
        <f t="shared" si="1403"/>
        <v>7000</v>
      </c>
      <c r="T14" s="35">
        <f t="shared" si="1404"/>
        <v>-91</v>
      </c>
      <c r="U14" s="19">
        <f t="shared" si="1405"/>
        <v>0.98716683119447191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399"/>
        <v>0</v>
      </c>
      <c r="F15" s="13">
        <v>0</v>
      </c>
      <c r="G15" s="33">
        <v>0</v>
      </c>
      <c r="H15" s="13">
        <v>0</v>
      </c>
      <c r="I15" s="16">
        <f t="shared" si="1400"/>
        <v>0</v>
      </c>
      <c r="J15" s="17">
        <f t="shared" si="1401"/>
        <v>0</v>
      </c>
      <c r="K15" s="18">
        <f t="shared" si="1406"/>
        <v>0</v>
      </c>
      <c r="L15" s="19" t="e">
        <f t="shared" ref="L15:L20" si="1408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02"/>
        <v>0</v>
      </c>
      <c r="S15" s="35">
        <f t="shared" si="1403"/>
        <v>0</v>
      </c>
      <c r="T15" s="35">
        <f t="shared" si="1404"/>
        <v>0</v>
      </c>
      <c r="U15" s="19" t="e">
        <f t="shared" si="1405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399"/>
        <v>0</v>
      </c>
      <c r="F16" s="13">
        <v>0</v>
      </c>
      <c r="G16" s="33">
        <v>0</v>
      </c>
      <c r="H16" s="13">
        <v>0</v>
      </c>
      <c r="I16" s="16">
        <f t="shared" si="1400"/>
        <v>0</v>
      </c>
      <c r="J16" s="17">
        <f t="shared" si="1401"/>
        <v>0</v>
      </c>
      <c r="K16" s="18">
        <f t="shared" si="1406"/>
        <v>0</v>
      </c>
      <c r="L16" s="19" t="e">
        <f t="shared" si="1408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02"/>
        <v>0</v>
      </c>
      <c r="S16" s="35">
        <f t="shared" si="1403"/>
        <v>0</v>
      </c>
      <c r="T16" s="35">
        <f t="shared" si="1404"/>
        <v>0</v>
      </c>
      <c r="U16" s="19" t="e">
        <f t="shared" si="1405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399"/>
        <v>0</v>
      </c>
      <c r="F17" s="13">
        <v>0</v>
      </c>
      <c r="G17" s="33">
        <v>0</v>
      </c>
      <c r="H17" s="13">
        <v>0</v>
      </c>
      <c r="I17" s="16">
        <f t="shared" si="1400"/>
        <v>0</v>
      </c>
      <c r="J17" s="17">
        <f t="shared" si="1401"/>
        <v>0</v>
      </c>
      <c r="K17" s="18">
        <f t="shared" si="1406"/>
        <v>0</v>
      </c>
      <c r="L17" s="19" t="e">
        <f t="shared" si="140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02"/>
        <v>0</v>
      </c>
      <c r="S17" s="35">
        <f t="shared" si="1403"/>
        <v>0</v>
      </c>
      <c r="T17" s="35">
        <f t="shared" si="1404"/>
        <v>0</v>
      </c>
      <c r="U17" s="19" t="e">
        <f t="shared" si="1405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399"/>
        <v>565975.79037586995</v>
      </c>
      <c r="F18" s="13">
        <v>0</v>
      </c>
      <c r="G18" s="13">
        <v>292307</v>
      </c>
      <c r="H18" s="13">
        <v>0</v>
      </c>
      <c r="I18" s="16">
        <f t="shared" si="1400"/>
        <v>0</v>
      </c>
      <c r="J18" s="17">
        <f t="shared" si="1401"/>
        <v>142078.5</v>
      </c>
      <c r="K18" s="18">
        <f t="shared" si="1406"/>
        <v>380856.83190944319</v>
      </c>
      <c r="L18" s="19">
        <f t="shared" si="1408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02"/>
        <v>290000</v>
      </c>
      <c r="S18" s="35">
        <f t="shared" si="1403"/>
        <v>582307</v>
      </c>
      <c r="T18" s="35">
        <f t="shared" si="1404"/>
        <v>147921.5</v>
      </c>
      <c r="U18" s="19">
        <f t="shared" si="1405"/>
        <v>1.3405304735079786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0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09">M19+N19+O19+P19+Q19</f>
        <v>0</v>
      </c>
      <c r="S19" s="35">
        <f t="shared" ref="S19:S20" si="1410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11">SUM(E3:E19)</f>
        <v>5286837.1464331709</v>
      </c>
      <c r="F20" s="24">
        <f t="shared" si="1411"/>
        <v>290439</v>
      </c>
      <c r="G20" s="24">
        <f t="shared" si="1411"/>
        <v>1255915</v>
      </c>
      <c r="H20" s="24">
        <f t="shared" si="1411"/>
        <v>31906</v>
      </c>
      <c r="I20" s="25">
        <f t="shared" si="1411"/>
        <v>322345</v>
      </c>
      <c r="J20" s="26">
        <f t="shared" si="1411"/>
        <v>1782623.5</v>
      </c>
      <c r="K20" s="26">
        <f t="shared" si="1411"/>
        <v>1823369.5701442738</v>
      </c>
      <c r="L20" s="27">
        <f t="shared" si="1408"/>
        <v>0.34488854482200804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09"/>
        <v>1</v>
      </c>
      <c r="S20" s="35">
        <f t="shared" si="1410"/>
        <v>1578261</v>
      </c>
      <c r="T20" s="41"/>
    </row>
    <row r="24">
      <c r="C24" s="28"/>
      <c r="D24" s="28"/>
      <c r="E24" s="28"/>
      <c r="F24" s="28"/>
    </row>
    <row r="25">
      <c r="E25" s="28"/>
      <c r="F25" s="28"/>
    </row>
    <row r="26">
      <c r="E26" s="28"/>
      <c r="F26" s="28"/>
    </row>
    <row r="27">
      <c r="E27" s="28"/>
      <c r="F27" s="28"/>
    </row>
    <row r="28">
      <c r="E28" s="28"/>
      <c r="F28" s="28"/>
    </row>
    <row r="36">
      <c r="E36" s="28"/>
      <c r="K36" t="s">
        <v>64</v>
      </c>
    </row>
    <row r="37"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140016-0049-4076-92D4-00990068004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500034-00AC-4D52-BCAE-0074005D000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2C003B-006A-488A-89D8-00960088008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F800E8-00C9-46B6-83BE-008E008800D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DA00BB-0014-40CB-86F8-00FD0081003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660013-00A5-48DB-B3DA-0070002F007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E900E4-006A-4214-80C6-002F00A9002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6C00A1-00A8-4E3B-8208-00C0007200F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400CF-00CE-46B3-91FB-0013009F002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10" activeCellId="0" sqref="F10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229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12">C3*D3</f>
        <v>1142706.2615954725</v>
      </c>
      <c r="F3" s="13">
        <v>0</v>
      </c>
      <c r="G3" s="44">
        <v>36868</v>
      </c>
      <c r="H3" s="13">
        <v>0</v>
      </c>
      <c r="I3" s="16">
        <f t="shared" ref="I3:I18" si="1413">F3+H3</f>
        <v>0</v>
      </c>
      <c r="J3" s="17">
        <f t="shared" ref="J3:J18" si="1414">C3-G3</f>
        <v>358207</v>
      </c>
      <c r="K3" s="18">
        <f>+G3*D3</f>
        <v>106636.19427324402</v>
      </c>
      <c r="L3" s="19">
        <f>K3/E3</f>
        <v>0.093318990065177507</v>
      </c>
      <c r="M3" s="34">
        <v>0</v>
      </c>
      <c r="N3" s="58">
        <v>240000</v>
      </c>
      <c r="O3" s="34">
        <v>129000</v>
      </c>
      <c r="P3" s="34">
        <v>129000</v>
      </c>
      <c r="Q3" s="34">
        <v>0</v>
      </c>
      <c r="R3" s="34">
        <f t="shared" ref="R3:R18" si="1415">M3+N3+O3+P3+Q3</f>
        <v>498000</v>
      </c>
      <c r="S3" s="35">
        <f t="shared" ref="S3:S18" si="1416">G3+I3+R3</f>
        <v>534868</v>
      </c>
      <c r="T3" s="35">
        <f t="shared" ref="T3:T18" si="1417">S3-C3</f>
        <v>139793</v>
      </c>
      <c r="U3" s="19">
        <f t="shared" ref="U3:U18" si="1418">S3/C3</f>
        <v>1.3538391444662405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12"/>
        <v>326534.8923560073</v>
      </c>
      <c r="F4" s="13">
        <v>0</v>
      </c>
      <c r="G4" s="13">
        <v>103680</v>
      </c>
      <c r="H4" s="13">
        <v>31906</v>
      </c>
      <c r="I4" s="16">
        <f t="shared" si="1413"/>
        <v>31906</v>
      </c>
      <c r="J4" s="17">
        <f t="shared" si="1414"/>
        <v>106320</v>
      </c>
      <c r="K4" s="18">
        <f>D4*G4</f>
        <v>161214.94114033732</v>
      </c>
      <c r="L4" s="19">
        <v>0</v>
      </c>
      <c r="M4" s="34">
        <v>0</v>
      </c>
      <c r="N4" s="58">
        <v>74000</v>
      </c>
      <c r="O4" s="34">
        <v>74000</v>
      </c>
      <c r="P4" s="34">
        <v>0</v>
      </c>
      <c r="Q4" s="34">
        <v>0</v>
      </c>
      <c r="R4" s="34">
        <f t="shared" si="1415"/>
        <v>148000</v>
      </c>
      <c r="S4" s="35">
        <f t="shared" si="1416"/>
        <v>283586</v>
      </c>
      <c r="T4" s="35">
        <f t="shared" si="1417"/>
        <v>73586</v>
      </c>
      <c r="U4" s="19">
        <f t="shared" si="1418"/>
        <v>1.3504095238095237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12"/>
        <v>179349.84618968569</v>
      </c>
      <c r="F5" s="13">
        <v>0</v>
      </c>
      <c r="G5" s="13">
        <v>12677</v>
      </c>
      <c r="H5" s="13">
        <v>0</v>
      </c>
      <c r="I5" s="16">
        <f t="shared" si="1413"/>
        <v>0</v>
      </c>
      <c r="J5" s="17">
        <f t="shared" si="1414"/>
        <v>155202</v>
      </c>
      <c r="K5" s="18">
        <f t="shared" ref="K5:K19" si="1419">+G5*D5</f>
        <v>13543.194801890919</v>
      </c>
      <c r="L5" s="19">
        <f t="shared" ref="L5:L10" si="1420">K5/E5</f>
        <v>0.07551272047129183</v>
      </c>
      <c r="M5" s="34">
        <v>0</v>
      </c>
      <c r="N5" s="58">
        <v>0</v>
      </c>
      <c r="O5" s="34">
        <v>312000</v>
      </c>
      <c r="P5" s="34">
        <v>0</v>
      </c>
      <c r="Q5" s="34">
        <v>0</v>
      </c>
      <c r="R5" s="34">
        <f t="shared" si="1415"/>
        <v>312000</v>
      </c>
      <c r="S5" s="35">
        <f t="shared" si="1416"/>
        <v>324677</v>
      </c>
      <c r="T5" s="35">
        <f t="shared" si="1417"/>
        <v>156798</v>
      </c>
      <c r="U5" s="19">
        <f t="shared" si="1418"/>
        <v>1.9339941267222225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12"/>
        <v>1207818.5514720667</v>
      </c>
      <c r="F6" s="13">
        <v>0</v>
      </c>
      <c r="G6" s="13">
        <v>160363</v>
      </c>
      <c r="H6" s="13">
        <v>191912</v>
      </c>
      <c r="I6" s="16">
        <f t="shared" si="1413"/>
        <v>191912</v>
      </c>
      <c r="J6" s="17">
        <f t="shared" si="1414"/>
        <v>396318</v>
      </c>
      <c r="K6" s="18">
        <f t="shared" si="1419"/>
        <v>347936.08254945837</v>
      </c>
      <c r="L6" s="19">
        <f t="shared" si="1420"/>
        <v>0.28806982814214965</v>
      </c>
      <c r="M6" s="34">
        <v>0</v>
      </c>
      <c r="N6" s="58">
        <v>192000</v>
      </c>
      <c r="O6" s="34">
        <v>192000</v>
      </c>
      <c r="P6" s="69">
        <v>234000</v>
      </c>
      <c r="Q6" s="34">
        <v>0</v>
      </c>
      <c r="R6" s="34">
        <f t="shared" si="1415"/>
        <v>618000</v>
      </c>
      <c r="S6" s="35">
        <f t="shared" si="1416"/>
        <v>970275</v>
      </c>
      <c r="T6" s="35">
        <f t="shared" si="1417"/>
        <v>413594</v>
      </c>
      <c r="U6" s="19">
        <f t="shared" si="1418"/>
        <v>1.7429641033194954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12"/>
        <v>0</v>
      </c>
      <c r="F7" s="13">
        <v>0</v>
      </c>
      <c r="G7" s="13">
        <v>0</v>
      </c>
      <c r="H7" s="13">
        <v>0</v>
      </c>
      <c r="I7" s="16">
        <f t="shared" si="1413"/>
        <v>0</v>
      </c>
      <c r="J7" s="17">
        <f t="shared" si="1414"/>
        <v>0</v>
      </c>
      <c r="K7" s="18">
        <f t="shared" si="1419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15"/>
        <v>0</v>
      </c>
      <c r="S7" s="35">
        <f t="shared" si="1416"/>
        <v>0</v>
      </c>
      <c r="T7" s="35">
        <f t="shared" si="1417"/>
        <v>0</v>
      </c>
      <c r="U7" s="19" t="e">
        <f t="shared" si="1418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12"/>
        <v>571514.02941906289</v>
      </c>
      <c r="F8" s="13">
        <v>0</v>
      </c>
      <c r="G8" s="44">
        <v>295366</v>
      </c>
      <c r="H8" s="44">
        <v>52687</v>
      </c>
      <c r="I8" s="16">
        <f t="shared" si="1413"/>
        <v>52687</v>
      </c>
      <c r="J8" s="17">
        <f t="shared" si="1414"/>
        <v>204634</v>
      </c>
      <c r="K8" s="18">
        <f t="shared" si="1419"/>
        <v>337611.6256267819</v>
      </c>
      <c r="L8" s="19">
        <f t="shared" si="1420"/>
        <v>0.59073200000000003</v>
      </c>
      <c r="M8" s="34">
        <v>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415"/>
        <v>440000</v>
      </c>
      <c r="S8" s="35">
        <f t="shared" si="1416"/>
        <v>788053</v>
      </c>
      <c r="T8" s="35">
        <f t="shared" si="1417"/>
        <v>288053</v>
      </c>
      <c r="U8" s="19">
        <f t="shared" si="1418"/>
        <v>1.576106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12"/>
        <v>190268.41765143772</v>
      </c>
      <c r="F9" s="13">
        <v>0</v>
      </c>
      <c r="G9" s="44">
        <v>149406</v>
      </c>
      <c r="H9" s="13">
        <v>0</v>
      </c>
      <c r="I9" s="16">
        <f t="shared" si="1413"/>
        <v>0</v>
      </c>
      <c r="J9" s="17">
        <f t="shared" si="1414"/>
        <v>150594</v>
      </c>
      <c r="K9" s="18">
        <f t="shared" si="1419"/>
        <v>94757.477358769014</v>
      </c>
      <c r="L9" s="19">
        <f t="shared" si="1420"/>
        <v>0.49802000000000002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415"/>
        <v>440000</v>
      </c>
      <c r="S9" s="35">
        <f t="shared" si="1416"/>
        <v>589406</v>
      </c>
      <c r="T9" s="35">
        <f t="shared" si="1417"/>
        <v>289406</v>
      </c>
      <c r="U9" s="19">
        <f t="shared" si="1418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412"/>
        <v>299629.4445543653</v>
      </c>
      <c r="F10" s="44">
        <v>0</v>
      </c>
      <c r="G10" s="13">
        <v>310946</v>
      </c>
      <c r="H10" s="44">
        <v>0</v>
      </c>
      <c r="I10" s="16">
        <f t="shared" si="1413"/>
        <v>0</v>
      </c>
      <c r="J10" s="17">
        <f t="shared" si="1414"/>
        <v>24387</v>
      </c>
      <c r="K10" s="18">
        <f t="shared" si="1419"/>
        <v>277838.97578347992</v>
      </c>
      <c r="L10" s="19">
        <f t="shared" si="1420"/>
        <v>0.92727527562154632</v>
      </c>
      <c r="M10" s="34">
        <v>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415"/>
        <v>616000</v>
      </c>
      <c r="S10" s="35">
        <f t="shared" si="1416"/>
        <v>926946</v>
      </c>
      <c r="T10" s="35">
        <f t="shared" si="1417"/>
        <v>591613</v>
      </c>
      <c r="U10" s="19">
        <f t="shared" si="1418"/>
        <v>2.7642552328580843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12"/>
        <v>0</v>
      </c>
      <c r="F11" s="13">
        <v>0</v>
      </c>
      <c r="G11" s="13">
        <v>0</v>
      </c>
      <c r="H11" s="13">
        <v>0</v>
      </c>
      <c r="I11" s="16">
        <f t="shared" si="1413"/>
        <v>0</v>
      </c>
      <c r="J11" s="17">
        <f t="shared" si="1414"/>
        <v>0</v>
      </c>
      <c r="K11" s="18">
        <f t="shared" si="1419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15"/>
        <v>0</v>
      </c>
      <c r="S11" s="35">
        <f t="shared" si="1416"/>
        <v>0</v>
      </c>
      <c r="T11" s="35">
        <f t="shared" si="1417"/>
        <v>0</v>
      </c>
      <c r="U11" s="19" t="e">
        <f t="shared" si="1418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12"/>
        <v>494208.76746118831</v>
      </c>
      <c r="F12" s="13">
        <v>42286</v>
      </c>
      <c r="G12" s="13">
        <v>63262</v>
      </c>
      <c r="H12" s="13">
        <v>0</v>
      </c>
      <c r="I12" s="16">
        <f t="shared" si="1413"/>
        <v>42286</v>
      </c>
      <c r="J12" s="17">
        <f t="shared" si="1414"/>
        <v>42326</v>
      </c>
      <c r="K12" s="18">
        <f t="shared" si="1419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15"/>
        <v>42000</v>
      </c>
      <c r="S12" s="35">
        <f t="shared" si="1416"/>
        <v>147548</v>
      </c>
      <c r="T12" s="35">
        <f t="shared" si="1417"/>
        <v>41960</v>
      </c>
      <c r="U12" s="19">
        <f t="shared" si="1418"/>
        <v>1.3973936432170322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12"/>
        <v>245445.56</v>
      </c>
      <c r="F13" s="13">
        <v>26506</v>
      </c>
      <c r="G13" s="13">
        <v>0</v>
      </c>
      <c r="H13" s="13">
        <v>0</v>
      </c>
      <c r="I13" s="16">
        <f t="shared" si="1413"/>
        <v>26506</v>
      </c>
      <c r="J13" s="17">
        <f t="shared" si="1414"/>
        <v>26506</v>
      </c>
      <c r="K13" s="18">
        <f t="shared" si="141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15"/>
        <v>0</v>
      </c>
      <c r="S13" s="35">
        <f t="shared" si="1416"/>
        <v>26506</v>
      </c>
      <c r="T13" s="35">
        <f t="shared" si="1417"/>
        <v>0</v>
      </c>
      <c r="U13" s="19">
        <f t="shared" si="1418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12"/>
        <v>63385.585358015262</v>
      </c>
      <c r="F14" s="13">
        <v>0</v>
      </c>
      <c r="G14" s="13">
        <v>0</v>
      </c>
      <c r="H14" s="13">
        <v>0</v>
      </c>
      <c r="I14" s="16">
        <f t="shared" si="1413"/>
        <v>0</v>
      </c>
      <c r="J14" s="17">
        <f t="shared" si="1414"/>
        <v>7091</v>
      </c>
      <c r="K14" s="18">
        <f t="shared" si="1419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15"/>
        <v>7000</v>
      </c>
      <c r="S14" s="35">
        <f t="shared" si="1416"/>
        <v>7000</v>
      </c>
      <c r="T14" s="35">
        <f t="shared" si="1417"/>
        <v>-91</v>
      </c>
      <c r="U14" s="19">
        <f t="shared" si="1418"/>
        <v>0.98716683119447191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12"/>
        <v>0</v>
      </c>
      <c r="F15" s="13">
        <v>0</v>
      </c>
      <c r="G15" s="33">
        <v>0</v>
      </c>
      <c r="H15" s="13">
        <v>0</v>
      </c>
      <c r="I15" s="16">
        <f t="shared" si="1413"/>
        <v>0</v>
      </c>
      <c r="J15" s="17">
        <f t="shared" si="1414"/>
        <v>0</v>
      </c>
      <c r="K15" s="18">
        <f t="shared" si="1419"/>
        <v>0</v>
      </c>
      <c r="L15" s="19" t="e">
        <f t="shared" ref="L15:L20" si="1421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15"/>
        <v>0</v>
      </c>
      <c r="S15" s="35">
        <f t="shared" si="1416"/>
        <v>0</v>
      </c>
      <c r="T15" s="35">
        <f t="shared" si="1417"/>
        <v>0</v>
      </c>
      <c r="U15" s="19" t="e">
        <f t="shared" si="1418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12"/>
        <v>0</v>
      </c>
      <c r="F16" s="13">
        <v>0</v>
      </c>
      <c r="G16" s="33">
        <v>0</v>
      </c>
      <c r="H16" s="13">
        <v>0</v>
      </c>
      <c r="I16" s="16">
        <f t="shared" si="1413"/>
        <v>0</v>
      </c>
      <c r="J16" s="17">
        <f t="shared" si="1414"/>
        <v>0</v>
      </c>
      <c r="K16" s="18">
        <f t="shared" si="1419"/>
        <v>0</v>
      </c>
      <c r="L16" s="19" t="e">
        <f t="shared" si="1421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15"/>
        <v>0</v>
      </c>
      <c r="S16" s="35">
        <f t="shared" si="1416"/>
        <v>0</v>
      </c>
      <c r="T16" s="35">
        <f t="shared" si="1417"/>
        <v>0</v>
      </c>
      <c r="U16" s="19" t="e">
        <f t="shared" si="1418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12"/>
        <v>0</v>
      </c>
      <c r="F17" s="13">
        <v>0</v>
      </c>
      <c r="G17" s="33">
        <v>0</v>
      </c>
      <c r="H17" s="13">
        <v>0</v>
      </c>
      <c r="I17" s="16">
        <f t="shared" si="1413"/>
        <v>0</v>
      </c>
      <c r="J17" s="17">
        <f t="shared" si="1414"/>
        <v>0</v>
      </c>
      <c r="K17" s="18">
        <f t="shared" si="1419"/>
        <v>0</v>
      </c>
      <c r="L17" s="19" t="e">
        <f t="shared" si="1421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15"/>
        <v>0</v>
      </c>
      <c r="S17" s="35">
        <f t="shared" si="1416"/>
        <v>0</v>
      </c>
      <c r="T17" s="35">
        <f t="shared" si="1417"/>
        <v>0</v>
      </c>
      <c r="U17" s="19" t="e">
        <f t="shared" si="1418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12"/>
        <v>565975.79037586995</v>
      </c>
      <c r="F18" s="13">
        <v>0</v>
      </c>
      <c r="G18" s="13">
        <v>292307</v>
      </c>
      <c r="H18" s="13">
        <v>0</v>
      </c>
      <c r="I18" s="16">
        <f t="shared" si="1413"/>
        <v>0</v>
      </c>
      <c r="J18" s="17">
        <f t="shared" si="1414"/>
        <v>142078.5</v>
      </c>
      <c r="K18" s="18">
        <f t="shared" si="1419"/>
        <v>380856.83190944319</v>
      </c>
      <c r="L18" s="19">
        <f t="shared" si="1421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15"/>
        <v>290000</v>
      </c>
      <c r="S18" s="35">
        <f t="shared" si="1416"/>
        <v>582307</v>
      </c>
      <c r="T18" s="35">
        <f t="shared" si="1417"/>
        <v>147921.5</v>
      </c>
      <c r="U18" s="19">
        <f t="shared" si="1418"/>
        <v>1.3405304735079786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19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22">M19+N19+O19+P19+Q19</f>
        <v>0</v>
      </c>
      <c r="S19" s="35">
        <f t="shared" ref="S19:S20" si="1423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24">SUM(E3:E19)</f>
        <v>5286837.1464331709</v>
      </c>
      <c r="F20" s="24">
        <f t="shared" si="1424"/>
        <v>68792</v>
      </c>
      <c r="G20" s="24">
        <f t="shared" si="1424"/>
        <v>1424875</v>
      </c>
      <c r="H20" s="24">
        <f t="shared" si="1424"/>
        <v>276505</v>
      </c>
      <c r="I20" s="25">
        <f t="shared" si="1424"/>
        <v>345297</v>
      </c>
      <c r="J20" s="26">
        <f t="shared" si="1424"/>
        <v>1613663.5</v>
      </c>
      <c r="K20" s="26">
        <f t="shared" si="1424"/>
        <v>2016495.5909655634</v>
      </c>
      <c r="L20" s="27">
        <f t="shared" si="1421"/>
        <v>0.38141814001704533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22"/>
        <v>1</v>
      </c>
      <c r="S20" s="35">
        <f t="shared" si="1423"/>
        <v>1770173</v>
      </c>
      <c r="T20" s="41"/>
    </row>
    <row r="24">
      <c r="C24" s="28"/>
      <c r="D24" s="28"/>
      <c r="E24" s="28"/>
      <c r="F24" s="28"/>
    </row>
    <row r="25">
      <c r="E25" s="28"/>
      <c r="F25" s="28"/>
    </row>
    <row r="26">
      <c r="E26" s="28"/>
      <c r="F26" s="28"/>
    </row>
    <row r="27">
      <c r="E27" s="28"/>
      <c r="F27" s="28"/>
    </row>
    <row r="28">
      <c r="E28" s="28"/>
      <c r="F28" s="28"/>
    </row>
    <row r="36">
      <c r="E36" s="28"/>
      <c r="K36" t="s">
        <v>64</v>
      </c>
    </row>
    <row r="37"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110040-00FA-40E4-BDBE-00E7003F00F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CD00A1-00AD-45DA-82F7-00C9006F00A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3400C6-0018-4B0A-94FD-00760062001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A5008E-00F8-41A7-B2E9-002900D900B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13002E-00BF-426F-9E68-007F0075003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C300D5-006D-4DA4-A2AA-00CB00F7002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1B000E-00E3-4964-B02B-001D004C00C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680009-0013-4D30-B27A-0085003700B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75000B-00B2-4C47-A4F3-00840088008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K26" activeCellId="0" sqref="K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230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25">C3*D3</f>
        <v>1142706.2615954725</v>
      </c>
      <c r="F3" s="13">
        <v>55039</v>
      </c>
      <c r="G3" s="44">
        <v>36868</v>
      </c>
      <c r="H3" s="13">
        <v>0</v>
      </c>
      <c r="I3" s="16">
        <f t="shared" ref="I3:I18" si="1426">F3+H3</f>
        <v>55039</v>
      </c>
      <c r="J3" s="17">
        <f t="shared" ref="J3:J18" si="1427">C3-G3</f>
        <v>358207</v>
      </c>
      <c r="K3" s="18">
        <f>+G3*D3</f>
        <v>106636.19427324402</v>
      </c>
      <c r="L3" s="19">
        <f>K3/E3</f>
        <v>0.093318990065177507</v>
      </c>
      <c r="M3" s="34">
        <v>0</v>
      </c>
      <c r="N3" s="58">
        <v>240000</v>
      </c>
      <c r="O3" s="34">
        <v>129000</v>
      </c>
      <c r="P3" s="34">
        <v>129000</v>
      </c>
      <c r="Q3" s="34">
        <v>0</v>
      </c>
      <c r="R3" s="34">
        <f t="shared" ref="R3:R18" si="1428">M3+N3+O3+P3+Q3</f>
        <v>498000</v>
      </c>
      <c r="S3" s="35">
        <f t="shared" ref="S3:S18" si="1429">G3+I3+R3</f>
        <v>589907</v>
      </c>
      <c r="T3" s="35">
        <f t="shared" ref="T3:T18" si="1430">S3-C3</f>
        <v>194832</v>
      </c>
      <c r="U3" s="19">
        <f t="shared" ref="U3:U18" si="1431">S3/C3</f>
        <v>1.4931519331772449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25"/>
        <v>326534.8923560073</v>
      </c>
      <c r="F4" s="13">
        <v>74675</v>
      </c>
      <c r="G4" s="13">
        <v>135586</v>
      </c>
      <c r="H4" s="13">
        <v>0</v>
      </c>
      <c r="I4" s="16">
        <f t="shared" si="1426"/>
        <v>74675</v>
      </c>
      <c r="J4" s="17">
        <f t="shared" si="1427"/>
        <v>74414</v>
      </c>
      <c r="K4" s="18">
        <f>D4*G4</f>
        <v>210826.47578562671</v>
      </c>
      <c r="L4" s="19">
        <v>0</v>
      </c>
      <c r="M4" s="34">
        <v>0</v>
      </c>
      <c r="N4" s="58">
        <v>74000</v>
      </c>
      <c r="O4" s="34">
        <v>74000</v>
      </c>
      <c r="P4" s="34">
        <v>0</v>
      </c>
      <c r="Q4" s="34">
        <v>0</v>
      </c>
      <c r="R4" s="34">
        <f t="shared" si="1428"/>
        <v>148000</v>
      </c>
      <c r="S4" s="35">
        <f t="shared" si="1429"/>
        <v>358261</v>
      </c>
      <c r="T4" s="35">
        <f t="shared" si="1430"/>
        <v>148261</v>
      </c>
      <c r="U4" s="19">
        <f t="shared" si="1431"/>
        <v>1.7060047619047618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25"/>
        <v>179349.84618968569</v>
      </c>
      <c r="F5" s="13">
        <v>0</v>
      </c>
      <c r="G5" s="13">
        <v>12677</v>
      </c>
      <c r="H5" s="13">
        <v>0</v>
      </c>
      <c r="I5" s="16">
        <f t="shared" si="1426"/>
        <v>0</v>
      </c>
      <c r="J5" s="17">
        <f t="shared" si="1427"/>
        <v>155202</v>
      </c>
      <c r="K5" s="18">
        <f t="shared" ref="K5:K19" si="1432">+G5*D5</f>
        <v>13543.194801890919</v>
      </c>
      <c r="L5" s="19">
        <f t="shared" ref="L5:L10" si="1433">K5/E5</f>
        <v>0.07551272047129183</v>
      </c>
      <c r="M5" s="34">
        <v>0</v>
      </c>
      <c r="N5" s="58">
        <v>0</v>
      </c>
      <c r="O5" s="34">
        <v>312000</v>
      </c>
      <c r="P5" s="34">
        <v>0</v>
      </c>
      <c r="Q5" s="34">
        <v>0</v>
      </c>
      <c r="R5" s="34">
        <f t="shared" si="1428"/>
        <v>312000</v>
      </c>
      <c r="S5" s="35">
        <f t="shared" si="1429"/>
        <v>324677</v>
      </c>
      <c r="T5" s="35">
        <f t="shared" si="1430"/>
        <v>156798</v>
      </c>
      <c r="U5" s="19">
        <f t="shared" si="1431"/>
        <v>1.9339941267222225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25"/>
        <v>1207818.5514720667</v>
      </c>
      <c r="F6" s="13">
        <v>0</v>
      </c>
      <c r="G6" s="13">
        <v>189163</v>
      </c>
      <c r="H6" s="13">
        <v>163112</v>
      </c>
      <c r="I6" s="16">
        <f t="shared" si="1426"/>
        <v>163112</v>
      </c>
      <c r="J6" s="17">
        <f t="shared" si="1427"/>
        <v>367518</v>
      </c>
      <c r="K6" s="18">
        <f t="shared" si="1432"/>
        <v>410422.81064399634</v>
      </c>
      <c r="L6" s="19">
        <f t="shared" si="1433"/>
        <v>0.3398050229844381</v>
      </c>
      <c r="M6" s="34">
        <v>0</v>
      </c>
      <c r="N6" s="58">
        <v>192000</v>
      </c>
      <c r="O6" s="34">
        <v>192000</v>
      </c>
      <c r="P6" s="69">
        <v>234000</v>
      </c>
      <c r="Q6" s="34">
        <v>0</v>
      </c>
      <c r="R6" s="34">
        <f t="shared" si="1428"/>
        <v>618000</v>
      </c>
      <c r="S6" s="35">
        <f t="shared" si="1429"/>
        <v>970275</v>
      </c>
      <c r="T6" s="35">
        <f t="shared" si="1430"/>
        <v>413594</v>
      </c>
      <c r="U6" s="19">
        <f t="shared" si="1431"/>
        <v>1.7429641033194954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25"/>
        <v>0</v>
      </c>
      <c r="F7" s="13">
        <v>0</v>
      </c>
      <c r="G7" s="13">
        <v>0</v>
      </c>
      <c r="H7" s="13">
        <v>0</v>
      </c>
      <c r="I7" s="16">
        <f t="shared" si="1426"/>
        <v>0</v>
      </c>
      <c r="J7" s="17">
        <f t="shared" si="1427"/>
        <v>0</v>
      </c>
      <c r="K7" s="18">
        <f t="shared" si="1432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28"/>
        <v>0</v>
      </c>
      <c r="S7" s="35">
        <f t="shared" si="1429"/>
        <v>0</v>
      </c>
      <c r="T7" s="35">
        <f t="shared" si="1430"/>
        <v>0</v>
      </c>
      <c r="U7" s="19" t="e">
        <f t="shared" si="1431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25"/>
        <v>571514.02941906289</v>
      </c>
      <c r="F8" s="13">
        <v>0</v>
      </c>
      <c r="G8" s="44">
        <v>348053</v>
      </c>
      <c r="H8" s="44">
        <v>0</v>
      </c>
      <c r="I8" s="16">
        <f t="shared" si="1426"/>
        <v>0</v>
      </c>
      <c r="J8" s="17">
        <f t="shared" si="1427"/>
        <v>151947</v>
      </c>
      <c r="K8" s="18">
        <f t="shared" si="1432"/>
        <v>397834.34496278624</v>
      </c>
      <c r="L8" s="19">
        <f t="shared" si="1433"/>
        <v>0.69610600000000011</v>
      </c>
      <c r="M8" s="34">
        <v>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428"/>
        <v>440000</v>
      </c>
      <c r="S8" s="35">
        <f t="shared" si="1429"/>
        <v>788053</v>
      </c>
      <c r="T8" s="35">
        <f t="shared" si="1430"/>
        <v>288053</v>
      </c>
      <c r="U8" s="19">
        <f t="shared" si="1431"/>
        <v>1.576106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25"/>
        <v>190268.41765143772</v>
      </c>
      <c r="F9" s="13">
        <v>0</v>
      </c>
      <c r="G9" s="44">
        <v>149406</v>
      </c>
      <c r="H9" s="13">
        <v>0</v>
      </c>
      <c r="I9" s="16">
        <f t="shared" si="1426"/>
        <v>0</v>
      </c>
      <c r="J9" s="17">
        <f t="shared" si="1427"/>
        <v>150594</v>
      </c>
      <c r="K9" s="18">
        <f t="shared" si="1432"/>
        <v>94757.477358769014</v>
      </c>
      <c r="L9" s="19">
        <f t="shared" si="1433"/>
        <v>0.49802000000000002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428"/>
        <v>440000</v>
      </c>
      <c r="S9" s="35">
        <f t="shared" si="1429"/>
        <v>589406</v>
      </c>
      <c r="T9" s="35">
        <f t="shared" si="1430"/>
        <v>289406</v>
      </c>
      <c r="U9" s="19">
        <f t="shared" si="1431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425"/>
        <v>299629.4445543653</v>
      </c>
      <c r="F10" s="44">
        <v>0</v>
      </c>
      <c r="G10" s="13">
        <v>310946</v>
      </c>
      <c r="H10" s="44">
        <v>0</v>
      </c>
      <c r="I10" s="16">
        <f t="shared" si="1426"/>
        <v>0</v>
      </c>
      <c r="J10" s="17">
        <f t="shared" si="1427"/>
        <v>24387</v>
      </c>
      <c r="K10" s="18">
        <f t="shared" si="1432"/>
        <v>277838.97578347992</v>
      </c>
      <c r="L10" s="19">
        <f t="shared" si="1433"/>
        <v>0.92727527562154632</v>
      </c>
      <c r="M10" s="34">
        <v>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428"/>
        <v>616000</v>
      </c>
      <c r="S10" s="35">
        <f t="shared" si="1429"/>
        <v>926946</v>
      </c>
      <c r="T10" s="35">
        <f t="shared" si="1430"/>
        <v>591613</v>
      </c>
      <c r="U10" s="19">
        <f t="shared" si="1431"/>
        <v>2.7642552328580843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25"/>
        <v>0</v>
      </c>
      <c r="F11" s="13">
        <v>0</v>
      </c>
      <c r="G11" s="13">
        <v>0</v>
      </c>
      <c r="H11" s="13">
        <v>0</v>
      </c>
      <c r="I11" s="16">
        <f t="shared" si="1426"/>
        <v>0</v>
      </c>
      <c r="J11" s="17">
        <f t="shared" si="1427"/>
        <v>0</v>
      </c>
      <c r="K11" s="18">
        <f t="shared" si="1432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28"/>
        <v>0</v>
      </c>
      <c r="S11" s="35">
        <f t="shared" si="1429"/>
        <v>0</v>
      </c>
      <c r="T11" s="35">
        <f t="shared" si="1430"/>
        <v>0</v>
      </c>
      <c r="U11" s="19" t="e">
        <f t="shared" si="1431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25"/>
        <v>494208.76746118831</v>
      </c>
      <c r="F12" s="13">
        <v>63372</v>
      </c>
      <c r="G12" s="13">
        <v>63262</v>
      </c>
      <c r="H12" s="13">
        <v>0</v>
      </c>
      <c r="I12" s="16">
        <f t="shared" si="1426"/>
        <v>63372</v>
      </c>
      <c r="J12" s="17">
        <f t="shared" si="1427"/>
        <v>42326</v>
      </c>
      <c r="K12" s="18">
        <f t="shared" si="1432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28"/>
        <v>42000</v>
      </c>
      <c r="S12" s="35">
        <f t="shared" si="1429"/>
        <v>168634</v>
      </c>
      <c r="T12" s="35">
        <f t="shared" si="1430"/>
        <v>63046</v>
      </c>
      <c r="U12" s="19">
        <f t="shared" si="1431"/>
        <v>1.5970943667841042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25"/>
        <v>245445.56</v>
      </c>
      <c r="F13" s="13">
        <v>26506</v>
      </c>
      <c r="G13" s="13">
        <v>0</v>
      </c>
      <c r="H13" s="13">
        <v>0</v>
      </c>
      <c r="I13" s="16">
        <f t="shared" si="1426"/>
        <v>26506</v>
      </c>
      <c r="J13" s="17">
        <f t="shared" si="1427"/>
        <v>26506</v>
      </c>
      <c r="K13" s="18">
        <f t="shared" si="143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28"/>
        <v>0</v>
      </c>
      <c r="S13" s="35">
        <f t="shared" si="1429"/>
        <v>26506</v>
      </c>
      <c r="T13" s="35">
        <f t="shared" si="1430"/>
        <v>0</v>
      </c>
      <c r="U13" s="19">
        <f t="shared" si="1431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25"/>
        <v>63385.585358015262</v>
      </c>
      <c r="F14" s="13">
        <v>7077</v>
      </c>
      <c r="G14" s="13">
        <v>0</v>
      </c>
      <c r="H14" s="13">
        <v>0</v>
      </c>
      <c r="I14" s="16">
        <f t="shared" si="1426"/>
        <v>7077</v>
      </c>
      <c r="J14" s="17">
        <f t="shared" si="1427"/>
        <v>7091</v>
      </c>
      <c r="K14" s="18">
        <f t="shared" si="1432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28"/>
        <v>7000</v>
      </c>
      <c r="S14" s="35">
        <f t="shared" si="1429"/>
        <v>14077</v>
      </c>
      <c r="T14" s="35">
        <f t="shared" si="1430"/>
        <v>6986</v>
      </c>
      <c r="U14" s="19">
        <f t="shared" si="1431"/>
        <v>1.9851924975320829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25"/>
        <v>0</v>
      </c>
      <c r="F15" s="13">
        <v>0</v>
      </c>
      <c r="G15" s="33">
        <v>0</v>
      </c>
      <c r="H15" s="13">
        <v>0</v>
      </c>
      <c r="I15" s="16">
        <f t="shared" si="1426"/>
        <v>0</v>
      </c>
      <c r="J15" s="17">
        <f t="shared" si="1427"/>
        <v>0</v>
      </c>
      <c r="K15" s="18">
        <f t="shared" si="1432"/>
        <v>0</v>
      </c>
      <c r="L15" s="19" t="e">
        <f t="shared" ref="L15:L20" si="1434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28"/>
        <v>0</v>
      </c>
      <c r="S15" s="35">
        <f t="shared" si="1429"/>
        <v>0</v>
      </c>
      <c r="T15" s="35">
        <f t="shared" si="1430"/>
        <v>0</v>
      </c>
      <c r="U15" s="19" t="e">
        <f t="shared" si="1431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25"/>
        <v>0</v>
      </c>
      <c r="F16" s="13">
        <v>0</v>
      </c>
      <c r="G16" s="33">
        <v>0</v>
      </c>
      <c r="H16" s="13">
        <v>0</v>
      </c>
      <c r="I16" s="16">
        <f t="shared" si="1426"/>
        <v>0</v>
      </c>
      <c r="J16" s="17">
        <f t="shared" si="1427"/>
        <v>0</v>
      </c>
      <c r="K16" s="18">
        <f t="shared" si="1432"/>
        <v>0</v>
      </c>
      <c r="L16" s="19" t="e">
        <f t="shared" si="1434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28"/>
        <v>0</v>
      </c>
      <c r="S16" s="35">
        <f t="shared" si="1429"/>
        <v>0</v>
      </c>
      <c r="T16" s="35">
        <f t="shared" si="1430"/>
        <v>0</v>
      </c>
      <c r="U16" s="19" t="e">
        <f t="shared" si="1431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25"/>
        <v>0</v>
      </c>
      <c r="F17" s="13">
        <v>0</v>
      </c>
      <c r="G17" s="33">
        <v>0</v>
      </c>
      <c r="H17" s="13">
        <v>0</v>
      </c>
      <c r="I17" s="16">
        <f t="shared" si="1426"/>
        <v>0</v>
      </c>
      <c r="J17" s="17">
        <f t="shared" si="1427"/>
        <v>0</v>
      </c>
      <c r="K17" s="18">
        <f t="shared" si="1432"/>
        <v>0</v>
      </c>
      <c r="L17" s="19" t="e">
        <f t="shared" si="1434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28"/>
        <v>0</v>
      </c>
      <c r="S17" s="35">
        <f t="shared" si="1429"/>
        <v>0</v>
      </c>
      <c r="T17" s="35">
        <f t="shared" si="1430"/>
        <v>0</v>
      </c>
      <c r="U17" s="19" t="e">
        <f t="shared" si="1431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25"/>
        <v>565975.79037586995</v>
      </c>
      <c r="F18" s="13">
        <v>142641</v>
      </c>
      <c r="G18" s="13">
        <v>292307</v>
      </c>
      <c r="H18" s="13">
        <v>0</v>
      </c>
      <c r="I18" s="16">
        <f t="shared" si="1426"/>
        <v>142641</v>
      </c>
      <c r="J18" s="17">
        <f t="shared" si="1427"/>
        <v>142078.5</v>
      </c>
      <c r="K18" s="18">
        <f t="shared" si="1432"/>
        <v>380856.83190944319</v>
      </c>
      <c r="L18" s="19">
        <f t="shared" si="1434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28"/>
        <v>290000</v>
      </c>
      <c r="S18" s="35">
        <f t="shared" si="1429"/>
        <v>724948</v>
      </c>
      <c r="T18" s="35">
        <f t="shared" si="1430"/>
        <v>290562.5</v>
      </c>
      <c r="U18" s="19">
        <f t="shared" si="1431"/>
        <v>1.6689046941023584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3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35">M19+N19+O19+P19+Q19</f>
        <v>0</v>
      </c>
      <c r="S19" s="35">
        <f t="shared" ref="S19:S20" si="1436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37">SUM(E3:E19)</f>
        <v>5286837.1464331709</v>
      </c>
      <c r="F20" s="24">
        <f t="shared" si="1437"/>
        <v>369310</v>
      </c>
      <c r="G20" s="24">
        <f t="shared" si="1437"/>
        <v>1538268</v>
      </c>
      <c r="H20" s="24">
        <f t="shared" si="1437"/>
        <v>163112</v>
      </c>
      <c r="I20" s="25">
        <f t="shared" si="1437"/>
        <v>532422</v>
      </c>
      <c r="J20" s="26">
        <f t="shared" si="1437"/>
        <v>1500270.5</v>
      </c>
      <c r="K20" s="26">
        <f t="shared" si="1437"/>
        <v>2188816.5730413948</v>
      </c>
      <c r="L20" s="27">
        <f t="shared" si="1434"/>
        <v>0.41401248277868868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35"/>
        <v>1</v>
      </c>
      <c r="S20" s="35">
        <f t="shared" si="1436"/>
        <v>2070691</v>
      </c>
      <c r="T20" s="41"/>
    </row>
    <row r="24">
      <c r="C24" s="28"/>
      <c r="D24" s="28"/>
      <c r="E24" s="28"/>
      <c r="F24" s="28"/>
    </row>
    <row r="25">
      <c r="E25" s="28"/>
      <c r="F25" s="28"/>
    </row>
    <row r="26">
      <c r="E26" s="28"/>
      <c r="F26" s="28"/>
    </row>
    <row r="27">
      <c r="E27" s="28"/>
      <c r="F27" s="28"/>
    </row>
    <row r="28">
      <c r="E28" s="28"/>
      <c r="F28" s="28"/>
    </row>
    <row r="36">
      <c r="E36" s="28"/>
      <c r="K36" t="s">
        <v>64</v>
      </c>
    </row>
    <row r="37">
      <c r="G37" t="s">
        <v>64</v>
      </c>
    </row>
  </sheetData>
  <autoFilter ref="B2:U35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120010-0053-4243-9D8E-007E00D600A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CC001E-00FA-4310-AABC-00EC002D009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3E00C9-0039-47B6-8FC9-003000A3003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AA007D-0041-4C00-8C14-0036004E00C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EE006D-0008-4D4F-B54A-00F700FB001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850012-0010-4353-92CC-00F20059003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3C00A9-00B0-417B-AB92-00E6004200B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3700A8-00C2-4020-A834-004400DF00F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DD00FB-0000-43A8-B817-009200A000B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10" activeCellId="0" sqref="A10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231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38">C3*D3</f>
        <v>1142706.2615954725</v>
      </c>
      <c r="F3" s="13">
        <v>0</v>
      </c>
      <c r="G3" s="44">
        <v>36868</v>
      </c>
      <c r="H3" s="13">
        <v>184622</v>
      </c>
      <c r="I3" s="16">
        <f t="shared" ref="I3:I18" si="1439">F3+H3</f>
        <v>184622</v>
      </c>
      <c r="J3" s="17">
        <f t="shared" ref="J3:J18" si="1440">C3-G3</f>
        <v>358207</v>
      </c>
      <c r="K3" s="18">
        <f>+G3*D3</f>
        <v>106636.19427324402</v>
      </c>
      <c r="L3" s="19">
        <f>K3/E3</f>
        <v>0.093318990065177507</v>
      </c>
      <c r="M3" s="34">
        <v>0</v>
      </c>
      <c r="N3" s="58">
        <v>240000</v>
      </c>
      <c r="O3" s="34">
        <v>129000</v>
      </c>
      <c r="P3" s="34">
        <v>129000</v>
      </c>
      <c r="Q3" s="34">
        <v>0</v>
      </c>
      <c r="R3" s="34">
        <f t="shared" ref="R3:R18" si="1441">M3+N3+O3+P3+Q3</f>
        <v>498000</v>
      </c>
      <c r="S3" s="35">
        <f t="shared" ref="S3:S18" si="1442">G3+I3+R3</f>
        <v>719490</v>
      </c>
      <c r="T3" s="35">
        <f t="shared" ref="T3:T18" si="1443">S3-C3</f>
        <v>324415</v>
      </c>
      <c r="U3" s="19">
        <f t="shared" ref="U3:U18" si="1444">S3/C3</f>
        <v>1.821147883313295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38"/>
        <v>326534.8923560073</v>
      </c>
      <c r="F4" s="13">
        <v>0</v>
      </c>
      <c r="G4" s="13">
        <v>135586</v>
      </c>
      <c r="H4" s="13">
        <v>74675</v>
      </c>
      <c r="I4" s="16">
        <f t="shared" si="1439"/>
        <v>74675</v>
      </c>
      <c r="J4" s="17">
        <f t="shared" si="1440"/>
        <v>74414</v>
      </c>
      <c r="K4" s="18">
        <f>D4*G4</f>
        <v>210826.47578562671</v>
      </c>
      <c r="L4" s="19">
        <v>0</v>
      </c>
      <c r="M4" s="34">
        <v>0</v>
      </c>
      <c r="N4" s="58">
        <v>74000</v>
      </c>
      <c r="O4" s="34">
        <v>74000</v>
      </c>
      <c r="P4" s="34">
        <v>0</v>
      </c>
      <c r="Q4" s="34">
        <v>0</v>
      </c>
      <c r="R4" s="34">
        <f t="shared" si="1441"/>
        <v>148000</v>
      </c>
      <c r="S4" s="35">
        <f t="shared" si="1442"/>
        <v>358261</v>
      </c>
      <c r="T4" s="35">
        <f t="shared" si="1443"/>
        <v>148261</v>
      </c>
      <c r="U4" s="19">
        <f t="shared" si="1444"/>
        <v>1.7060047619047618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38"/>
        <v>179349.84618968569</v>
      </c>
      <c r="F5" s="13">
        <v>0</v>
      </c>
      <c r="G5" s="13">
        <v>12677</v>
      </c>
      <c r="H5" s="13">
        <v>0</v>
      </c>
      <c r="I5" s="16">
        <f t="shared" si="1439"/>
        <v>0</v>
      </c>
      <c r="J5" s="17">
        <f t="shared" si="1440"/>
        <v>155202</v>
      </c>
      <c r="K5" s="18">
        <f t="shared" ref="K5:K19" si="1445">+G5*D5</f>
        <v>13543.194801890919</v>
      </c>
      <c r="L5" s="19">
        <f t="shared" ref="L5:L10" si="1446">K5/E5</f>
        <v>0.07551272047129183</v>
      </c>
      <c r="M5" s="34">
        <v>0</v>
      </c>
      <c r="N5" s="58">
        <v>0</v>
      </c>
      <c r="O5" s="34">
        <v>312000</v>
      </c>
      <c r="P5" s="34">
        <v>0</v>
      </c>
      <c r="Q5" s="34">
        <v>0</v>
      </c>
      <c r="R5" s="34">
        <f t="shared" si="1441"/>
        <v>312000</v>
      </c>
      <c r="S5" s="35">
        <f t="shared" si="1442"/>
        <v>324677</v>
      </c>
      <c r="T5" s="35">
        <f t="shared" si="1443"/>
        <v>156798</v>
      </c>
      <c r="U5" s="19">
        <f t="shared" si="1444"/>
        <v>1.9339941267222225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38"/>
        <v>1207818.5514720667</v>
      </c>
      <c r="F6" s="13">
        <v>0</v>
      </c>
      <c r="G6" s="13">
        <v>256363</v>
      </c>
      <c r="H6" s="13">
        <v>133153</v>
      </c>
      <c r="I6" s="16">
        <f t="shared" si="1439"/>
        <v>133153</v>
      </c>
      <c r="J6" s="17">
        <f t="shared" si="1440"/>
        <v>300318</v>
      </c>
      <c r="K6" s="18">
        <f t="shared" si="1445"/>
        <v>556225.17619791836</v>
      </c>
      <c r="L6" s="19">
        <f t="shared" si="1446"/>
        <v>0.46052047761644455</v>
      </c>
      <c r="M6" s="34">
        <v>0</v>
      </c>
      <c r="N6" s="58">
        <v>192000</v>
      </c>
      <c r="O6" s="34">
        <v>192000</v>
      </c>
      <c r="P6" s="69">
        <v>234000</v>
      </c>
      <c r="Q6" s="34">
        <v>0</v>
      </c>
      <c r="R6" s="34">
        <f t="shared" si="1441"/>
        <v>618000</v>
      </c>
      <c r="S6" s="35">
        <f t="shared" si="1442"/>
        <v>1007516</v>
      </c>
      <c r="T6" s="35">
        <f t="shared" si="1443"/>
        <v>450835</v>
      </c>
      <c r="U6" s="19">
        <f t="shared" si="1444"/>
        <v>1.8098623807889977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38"/>
        <v>0</v>
      </c>
      <c r="F7" s="13">
        <v>0</v>
      </c>
      <c r="G7" s="13">
        <v>0</v>
      </c>
      <c r="H7" s="13">
        <v>0</v>
      </c>
      <c r="I7" s="16">
        <f t="shared" si="1439"/>
        <v>0</v>
      </c>
      <c r="J7" s="17">
        <f t="shared" si="1440"/>
        <v>0</v>
      </c>
      <c r="K7" s="18">
        <f t="shared" si="1445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41"/>
        <v>0</v>
      </c>
      <c r="S7" s="35">
        <f t="shared" si="1442"/>
        <v>0</v>
      </c>
      <c r="T7" s="35">
        <f t="shared" si="1443"/>
        <v>0</v>
      </c>
      <c r="U7" s="19" t="e">
        <f t="shared" si="1444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38"/>
        <v>571514.02941906289</v>
      </c>
      <c r="F8" s="13">
        <v>0</v>
      </c>
      <c r="G8" s="44">
        <v>348053</v>
      </c>
      <c r="H8" s="44">
        <v>0</v>
      </c>
      <c r="I8" s="16">
        <f t="shared" si="1439"/>
        <v>0</v>
      </c>
      <c r="J8" s="17">
        <f t="shared" si="1440"/>
        <v>151947</v>
      </c>
      <c r="K8" s="18">
        <f t="shared" si="1445"/>
        <v>397834.34496278624</v>
      </c>
      <c r="L8" s="19">
        <f t="shared" si="1446"/>
        <v>0.69610600000000011</v>
      </c>
      <c r="M8" s="34">
        <v>0</v>
      </c>
      <c r="N8" s="58">
        <v>220000</v>
      </c>
      <c r="O8" s="34">
        <v>220000</v>
      </c>
      <c r="P8" s="34">
        <v>0</v>
      </c>
      <c r="Q8" s="34">
        <v>0</v>
      </c>
      <c r="R8" s="34">
        <f t="shared" si="1441"/>
        <v>440000</v>
      </c>
      <c r="S8" s="35">
        <f t="shared" si="1442"/>
        <v>788053</v>
      </c>
      <c r="T8" s="35">
        <f t="shared" si="1443"/>
        <v>288053</v>
      </c>
      <c r="U8" s="19">
        <f t="shared" si="1444"/>
        <v>1.576106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38"/>
        <v>190268.41765143772</v>
      </c>
      <c r="F9" s="13">
        <v>0</v>
      </c>
      <c r="G9" s="44">
        <v>149406</v>
      </c>
      <c r="H9" s="13">
        <v>0</v>
      </c>
      <c r="I9" s="16">
        <f t="shared" si="1439"/>
        <v>0</v>
      </c>
      <c r="J9" s="17">
        <f t="shared" si="1440"/>
        <v>150594</v>
      </c>
      <c r="K9" s="18">
        <f t="shared" si="1445"/>
        <v>94757.477358769014</v>
      </c>
      <c r="L9" s="19">
        <f t="shared" si="1446"/>
        <v>0.49802000000000002</v>
      </c>
      <c r="M9" s="34">
        <v>0</v>
      </c>
      <c r="N9" s="58">
        <v>176000</v>
      </c>
      <c r="O9" s="34">
        <v>264000</v>
      </c>
      <c r="P9" s="34">
        <v>0</v>
      </c>
      <c r="Q9" s="34">
        <v>0</v>
      </c>
      <c r="R9" s="34">
        <f t="shared" si="1441"/>
        <v>440000</v>
      </c>
      <c r="S9" s="35">
        <f t="shared" si="1442"/>
        <v>589406</v>
      </c>
      <c r="T9" s="35">
        <f t="shared" si="1443"/>
        <v>289406</v>
      </c>
      <c r="U9" s="19">
        <f t="shared" si="1444"/>
        <v>1.9646866666666667</v>
      </c>
    </row>
    <row r="10">
      <c r="A10" s="9" t="s">
        <v>30</v>
      </c>
      <c r="B10" s="59" t="s">
        <v>31</v>
      </c>
      <c r="C10" s="14">
        <v>335333</v>
      </c>
      <c r="D10" s="50">
        <v>0.89352805883812592</v>
      </c>
      <c r="E10" s="14">
        <f t="shared" si="1438"/>
        <v>299629.4445543653</v>
      </c>
      <c r="F10" s="44">
        <v>0</v>
      </c>
      <c r="G10" s="13">
        <v>310946</v>
      </c>
      <c r="H10" s="44">
        <v>0</v>
      </c>
      <c r="I10" s="16">
        <f t="shared" si="1439"/>
        <v>0</v>
      </c>
      <c r="J10" s="17">
        <f t="shared" si="1440"/>
        <v>24387</v>
      </c>
      <c r="K10" s="18">
        <f t="shared" si="1445"/>
        <v>277838.97578347992</v>
      </c>
      <c r="L10" s="19">
        <f t="shared" si="1446"/>
        <v>0.92727527562154632</v>
      </c>
      <c r="M10" s="34">
        <v>0</v>
      </c>
      <c r="N10" s="58">
        <v>88000</v>
      </c>
      <c r="O10" s="34">
        <v>528000</v>
      </c>
      <c r="P10" s="34">
        <v>0</v>
      </c>
      <c r="Q10" s="34">
        <v>0</v>
      </c>
      <c r="R10" s="34">
        <f t="shared" si="1441"/>
        <v>616000</v>
      </c>
      <c r="S10" s="35">
        <f t="shared" si="1442"/>
        <v>926946</v>
      </c>
      <c r="T10" s="35">
        <f t="shared" si="1443"/>
        <v>591613</v>
      </c>
      <c r="U10" s="19">
        <f t="shared" si="1444"/>
        <v>2.7642552328580843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38"/>
        <v>0</v>
      </c>
      <c r="F11" s="13">
        <v>0</v>
      </c>
      <c r="G11" s="13">
        <v>0</v>
      </c>
      <c r="H11" s="13">
        <v>0</v>
      </c>
      <c r="I11" s="16">
        <f t="shared" si="1439"/>
        <v>0</v>
      </c>
      <c r="J11" s="17">
        <f t="shared" si="1440"/>
        <v>0</v>
      </c>
      <c r="K11" s="18">
        <f t="shared" si="1445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41"/>
        <v>0</v>
      </c>
      <c r="S11" s="35">
        <f t="shared" si="1442"/>
        <v>0</v>
      </c>
      <c r="T11" s="35">
        <f t="shared" si="1443"/>
        <v>0</v>
      </c>
      <c r="U11" s="19" t="e">
        <f t="shared" si="1444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38"/>
        <v>494208.76746118831</v>
      </c>
      <c r="F12" s="13">
        <v>84409</v>
      </c>
      <c r="G12" s="13">
        <v>63262</v>
      </c>
      <c r="H12" s="13">
        <v>0</v>
      </c>
      <c r="I12" s="16">
        <f t="shared" si="1439"/>
        <v>84409</v>
      </c>
      <c r="J12" s="17">
        <f t="shared" si="1440"/>
        <v>42326</v>
      </c>
      <c r="K12" s="18">
        <f t="shared" si="1445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41"/>
        <v>42000</v>
      </c>
      <c r="S12" s="35">
        <f t="shared" si="1442"/>
        <v>189671</v>
      </c>
      <c r="T12" s="35">
        <f t="shared" si="1443"/>
        <v>84083</v>
      </c>
      <c r="U12" s="19">
        <f t="shared" si="1444"/>
        <v>1.796331022464674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38"/>
        <v>245445.56</v>
      </c>
      <c r="F13" s="13">
        <v>26506</v>
      </c>
      <c r="G13" s="13">
        <v>0</v>
      </c>
      <c r="H13" s="13">
        <v>0</v>
      </c>
      <c r="I13" s="16">
        <f t="shared" si="1439"/>
        <v>26506</v>
      </c>
      <c r="J13" s="17">
        <f t="shared" si="1440"/>
        <v>26506</v>
      </c>
      <c r="K13" s="18">
        <f t="shared" si="144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41"/>
        <v>0</v>
      </c>
      <c r="S13" s="35">
        <f t="shared" si="1442"/>
        <v>26506</v>
      </c>
      <c r="T13" s="35">
        <f t="shared" si="1443"/>
        <v>0</v>
      </c>
      <c r="U13" s="19">
        <f t="shared" si="1444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38"/>
        <v>63385.585358015262</v>
      </c>
      <c r="F14" s="13">
        <v>7077</v>
      </c>
      <c r="G14" s="13">
        <v>0</v>
      </c>
      <c r="H14" s="13">
        <v>0</v>
      </c>
      <c r="I14" s="16">
        <f t="shared" si="1439"/>
        <v>7077</v>
      </c>
      <c r="J14" s="17">
        <f t="shared" si="1440"/>
        <v>7091</v>
      </c>
      <c r="K14" s="18">
        <f t="shared" si="1445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41"/>
        <v>7000</v>
      </c>
      <c r="S14" s="35">
        <f t="shared" si="1442"/>
        <v>14077</v>
      </c>
      <c r="T14" s="35">
        <f t="shared" si="1443"/>
        <v>6986</v>
      </c>
      <c r="U14" s="19">
        <f t="shared" si="1444"/>
        <v>1.9851924975320829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38"/>
        <v>0</v>
      </c>
      <c r="F15" s="13">
        <v>0</v>
      </c>
      <c r="G15" s="33">
        <v>0</v>
      </c>
      <c r="H15" s="13">
        <v>0</v>
      </c>
      <c r="I15" s="16">
        <f t="shared" si="1439"/>
        <v>0</v>
      </c>
      <c r="J15" s="17">
        <f t="shared" si="1440"/>
        <v>0</v>
      </c>
      <c r="K15" s="18">
        <f t="shared" si="1445"/>
        <v>0</v>
      </c>
      <c r="L15" s="19" t="e">
        <f t="shared" ref="L15:L20" si="1447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41"/>
        <v>0</v>
      </c>
      <c r="S15" s="35">
        <f t="shared" si="1442"/>
        <v>0</v>
      </c>
      <c r="T15" s="35">
        <f t="shared" si="1443"/>
        <v>0</v>
      </c>
      <c r="U15" s="19" t="e">
        <f t="shared" si="1444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38"/>
        <v>0</v>
      </c>
      <c r="F16" s="13">
        <v>0</v>
      </c>
      <c r="G16" s="33">
        <v>0</v>
      </c>
      <c r="H16" s="13">
        <v>0</v>
      </c>
      <c r="I16" s="16">
        <f t="shared" si="1439"/>
        <v>0</v>
      </c>
      <c r="J16" s="17">
        <f t="shared" si="1440"/>
        <v>0</v>
      </c>
      <c r="K16" s="18">
        <f t="shared" si="1445"/>
        <v>0</v>
      </c>
      <c r="L16" s="19" t="e">
        <f t="shared" si="1447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41"/>
        <v>0</v>
      </c>
      <c r="S16" s="35">
        <f t="shared" si="1442"/>
        <v>0</v>
      </c>
      <c r="T16" s="35">
        <f t="shared" si="1443"/>
        <v>0</v>
      </c>
      <c r="U16" s="19" t="e">
        <f t="shared" si="1444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38"/>
        <v>0</v>
      </c>
      <c r="F17" s="13">
        <v>0</v>
      </c>
      <c r="G17" s="33">
        <v>0</v>
      </c>
      <c r="H17" s="13">
        <v>0</v>
      </c>
      <c r="I17" s="16">
        <f t="shared" si="1439"/>
        <v>0</v>
      </c>
      <c r="J17" s="17">
        <f t="shared" si="1440"/>
        <v>0</v>
      </c>
      <c r="K17" s="18">
        <f t="shared" si="1445"/>
        <v>0</v>
      </c>
      <c r="L17" s="19" t="e">
        <f t="shared" si="1447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41"/>
        <v>0</v>
      </c>
      <c r="S17" s="35">
        <f t="shared" si="1442"/>
        <v>0</v>
      </c>
      <c r="T17" s="35">
        <f t="shared" si="1443"/>
        <v>0</v>
      </c>
      <c r="U17" s="19" t="e">
        <f t="shared" si="1444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38"/>
        <v>565975.79037586995</v>
      </c>
      <c r="F18" s="13">
        <v>290545</v>
      </c>
      <c r="G18" s="13">
        <v>292307</v>
      </c>
      <c r="H18" s="13">
        <v>0</v>
      </c>
      <c r="I18" s="16">
        <f t="shared" si="1439"/>
        <v>290545</v>
      </c>
      <c r="J18" s="17">
        <f t="shared" si="1440"/>
        <v>142078.5</v>
      </c>
      <c r="K18" s="18">
        <f t="shared" si="1445"/>
        <v>380856.83190944319</v>
      </c>
      <c r="L18" s="19">
        <f t="shared" si="1447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41"/>
        <v>290000</v>
      </c>
      <c r="S18" s="35">
        <f t="shared" si="1442"/>
        <v>872852</v>
      </c>
      <c r="T18" s="35">
        <f t="shared" si="1443"/>
        <v>438466.5</v>
      </c>
      <c r="U18" s="19">
        <f t="shared" si="1444"/>
        <v>2.009394880814392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45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48">M19+N19+O19+P19+Q19</f>
        <v>0</v>
      </c>
      <c r="S19" s="35">
        <f t="shared" ref="S19:S20" si="1449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50">SUM(E3:E19)</f>
        <v>5286837.1464331709</v>
      </c>
      <c r="F20" s="24">
        <f t="shared" si="1450"/>
        <v>408537</v>
      </c>
      <c r="G20" s="24">
        <f t="shared" si="1450"/>
        <v>1605468</v>
      </c>
      <c r="H20" s="24">
        <f t="shared" si="1450"/>
        <v>392450</v>
      </c>
      <c r="I20" s="25">
        <f t="shared" si="1450"/>
        <v>800987</v>
      </c>
      <c r="J20" s="26">
        <f t="shared" si="1450"/>
        <v>1433070.5</v>
      </c>
      <c r="K20" s="26">
        <f t="shared" si="1450"/>
        <v>2334618.9385953168</v>
      </c>
      <c r="L20" s="27">
        <f t="shared" si="1447"/>
        <v>0.44159085554023469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48"/>
        <v>1</v>
      </c>
      <c r="S20" s="35">
        <f t="shared" si="1449"/>
        <v>2406456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B10032-0036-48FD-B4CE-002300ED005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C60030-00C5-40C8-813B-001C0018007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F400FB-006D-4B37-9C78-00C5007500A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E70093-00FC-448E-9520-0001008E000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650098-00C6-4FEC-81EB-009400B600E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1D006E-0089-4679-817D-005900B400D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AE002A-00DC-41A0-B60E-00E1003300F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1000E0-00F6-4727-B6FA-0063002B006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1A00FE-008E-473B-8436-00F6007400A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21" activeCellId="0" sqref="H21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232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51">C3*D3</f>
        <v>1142706.2615954725</v>
      </c>
      <c r="F3" s="13">
        <v>0</v>
      </c>
      <c r="G3" s="44">
        <v>221490</v>
      </c>
      <c r="H3" s="13">
        <v>0</v>
      </c>
      <c r="I3" s="16">
        <f t="shared" ref="I3:I18" si="1452">F3+H3</f>
        <v>0</v>
      </c>
      <c r="J3" s="17">
        <f t="shared" ref="J3:J18" si="1453">C3-G3</f>
        <v>173585</v>
      </c>
      <c r="K3" s="18">
        <f>+G3*D3</f>
        <v>640632.81625205651</v>
      </c>
      <c r="L3" s="19">
        <f>K3/E3</f>
        <v>0.56062772891223189</v>
      </c>
      <c r="M3" s="34">
        <v>0</v>
      </c>
      <c r="N3" s="58">
        <v>0</v>
      </c>
      <c r="O3" s="34">
        <v>148000</v>
      </c>
      <c r="P3" s="34">
        <v>129000</v>
      </c>
      <c r="Q3" s="34">
        <v>0</v>
      </c>
      <c r="R3" s="34">
        <f t="shared" ref="R3:R18" si="1454">M3+N3+O3+P3+Q3</f>
        <v>277000</v>
      </c>
      <c r="S3" s="35">
        <f t="shared" ref="S3:S18" si="1455">G3+I3+R3</f>
        <v>498490</v>
      </c>
      <c r="T3" s="35">
        <f t="shared" ref="T3:T18" si="1456">S3-C3</f>
        <v>103415</v>
      </c>
      <c r="U3" s="19">
        <f t="shared" ref="U3:U18" si="1457">S3/C3</f>
        <v>1.2617604252357146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51"/>
        <v>326534.8923560073</v>
      </c>
      <c r="F4" s="13">
        <v>0</v>
      </c>
      <c r="G4" s="13">
        <v>210261</v>
      </c>
      <c r="H4" s="13">
        <v>0</v>
      </c>
      <c r="I4" s="16">
        <f t="shared" si="1452"/>
        <v>0</v>
      </c>
      <c r="J4" s="17">
        <f t="shared" si="1453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74000</v>
      </c>
      <c r="P4" s="34">
        <v>0</v>
      </c>
      <c r="Q4" s="34">
        <v>0</v>
      </c>
      <c r="R4" s="34">
        <f t="shared" si="1454"/>
        <v>74000</v>
      </c>
      <c r="S4" s="35">
        <f t="shared" si="1455"/>
        <v>284261</v>
      </c>
      <c r="T4" s="35">
        <f t="shared" si="1456"/>
        <v>74261</v>
      </c>
      <c r="U4" s="19">
        <f t="shared" si="1457"/>
        <v>1.3536238095238096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51"/>
        <v>179349.84618968569</v>
      </c>
      <c r="F5" s="13">
        <v>0</v>
      </c>
      <c r="G5" s="13">
        <v>12677</v>
      </c>
      <c r="H5" s="13">
        <v>0</v>
      </c>
      <c r="I5" s="16">
        <f t="shared" si="1452"/>
        <v>0</v>
      </c>
      <c r="J5" s="17">
        <f t="shared" si="1453"/>
        <v>155202</v>
      </c>
      <c r="K5" s="18">
        <f t="shared" ref="K5:K19" si="1458">+G5*D5</f>
        <v>13543.194801890919</v>
      </c>
      <c r="L5" s="19">
        <f t="shared" ref="L5:L10" si="1459">K5/E5</f>
        <v>0.07551272047129183</v>
      </c>
      <c r="M5" s="34">
        <v>0</v>
      </c>
      <c r="N5" s="58">
        <v>0</v>
      </c>
      <c r="O5" s="34">
        <v>0</v>
      </c>
      <c r="P5" s="73">
        <v>230000</v>
      </c>
      <c r="Q5" s="34">
        <v>0</v>
      </c>
      <c r="R5" s="34">
        <f t="shared" si="1454"/>
        <v>230000</v>
      </c>
      <c r="S5" s="35">
        <f t="shared" si="1455"/>
        <v>242677</v>
      </c>
      <c r="T5" s="35">
        <f t="shared" si="1456"/>
        <v>74798</v>
      </c>
      <c r="U5" s="19">
        <f t="shared" si="1457"/>
        <v>1.4455470904639651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51"/>
        <v>1207818.5514720667</v>
      </c>
      <c r="F6" s="13">
        <v>0</v>
      </c>
      <c r="G6" s="13">
        <v>389516</v>
      </c>
      <c r="H6" s="13">
        <v>0</v>
      </c>
      <c r="I6" s="16">
        <f t="shared" si="1452"/>
        <v>0</v>
      </c>
      <c r="J6" s="17">
        <f t="shared" si="1453"/>
        <v>167165</v>
      </c>
      <c r="K6" s="18">
        <f t="shared" si="1458"/>
        <v>845124.31876639137</v>
      </c>
      <c r="L6" s="19">
        <f t="shared" si="1459"/>
        <v>0.69971132479822373</v>
      </c>
      <c r="M6" s="34">
        <v>0</v>
      </c>
      <c r="N6" s="58">
        <v>0</v>
      </c>
      <c r="O6" s="34">
        <v>39000</v>
      </c>
      <c r="P6" s="69">
        <v>234000</v>
      </c>
      <c r="Q6" s="34">
        <v>0</v>
      </c>
      <c r="R6" s="34">
        <f t="shared" si="1454"/>
        <v>273000</v>
      </c>
      <c r="S6" s="35">
        <f t="shared" si="1455"/>
        <v>662516</v>
      </c>
      <c r="T6" s="35">
        <f t="shared" si="1456"/>
        <v>105835</v>
      </c>
      <c r="U6" s="19">
        <f t="shared" si="1457"/>
        <v>1.1901178592407502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51"/>
        <v>0</v>
      </c>
      <c r="F7" s="13">
        <v>0</v>
      </c>
      <c r="G7" s="13">
        <v>0</v>
      </c>
      <c r="H7" s="13">
        <v>0</v>
      </c>
      <c r="I7" s="16">
        <f t="shared" si="1452"/>
        <v>0</v>
      </c>
      <c r="J7" s="17">
        <f t="shared" si="1453"/>
        <v>0</v>
      </c>
      <c r="K7" s="18">
        <f t="shared" si="1458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54"/>
        <v>0</v>
      </c>
      <c r="S7" s="35">
        <f t="shared" si="1455"/>
        <v>0</v>
      </c>
      <c r="T7" s="35">
        <f t="shared" si="1456"/>
        <v>0</v>
      </c>
      <c r="U7" s="19" t="e">
        <f t="shared" si="1457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51"/>
        <v>571514.02941906289</v>
      </c>
      <c r="F8" s="13">
        <v>0</v>
      </c>
      <c r="G8" s="44">
        <v>348053</v>
      </c>
      <c r="H8" s="44">
        <v>0</v>
      </c>
      <c r="I8" s="16">
        <f t="shared" si="1452"/>
        <v>0</v>
      </c>
      <c r="J8" s="17">
        <f t="shared" si="1453"/>
        <v>151947</v>
      </c>
      <c r="K8" s="18">
        <f t="shared" si="1458"/>
        <v>397834.34496278624</v>
      </c>
      <c r="L8" s="19">
        <f t="shared" si="1459"/>
        <v>0.69610600000000011</v>
      </c>
      <c r="M8" s="34">
        <v>0</v>
      </c>
      <c r="N8" s="58">
        <v>0</v>
      </c>
      <c r="O8" s="34">
        <v>220000</v>
      </c>
      <c r="P8" s="34">
        <v>157000</v>
      </c>
      <c r="Q8" s="34">
        <v>0</v>
      </c>
      <c r="R8" s="34">
        <f t="shared" si="1454"/>
        <v>377000</v>
      </c>
      <c r="S8" s="35">
        <f t="shared" si="1455"/>
        <v>725053</v>
      </c>
      <c r="T8" s="35">
        <f t="shared" si="1456"/>
        <v>225053</v>
      </c>
      <c r="U8" s="19">
        <f t="shared" si="1457"/>
        <v>1.4501059999999999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51"/>
        <v>190268.41765143772</v>
      </c>
      <c r="F9" s="13">
        <v>0</v>
      </c>
      <c r="G9" s="44">
        <v>149406</v>
      </c>
      <c r="H9" s="13">
        <v>0</v>
      </c>
      <c r="I9" s="16">
        <f t="shared" si="1452"/>
        <v>0</v>
      </c>
      <c r="J9" s="17">
        <f t="shared" si="1453"/>
        <v>150594</v>
      </c>
      <c r="K9" s="18">
        <f t="shared" si="1458"/>
        <v>94757.477358769014</v>
      </c>
      <c r="L9" s="19">
        <f t="shared" si="1459"/>
        <v>0.49802000000000002</v>
      </c>
      <c r="M9" s="34">
        <v>0</v>
      </c>
      <c r="N9" s="58">
        <v>0</v>
      </c>
      <c r="O9" s="34">
        <v>176000</v>
      </c>
      <c r="P9" s="34">
        <v>264000</v>
      </c>
      <c r="Q9" s="34">
        <v>0</v>
      </c>
      <c r="R9" s="34">
        <f t="shared" si="1454"/>
        <v>440000</v>
      </c>
      <c r="S9" s="35">
        <f t="shared" si="1455"/>
        <v>589406</v>
      </c>
      <c r="T9" s="35">
        <f t="shared" si="1456"/>
        <v>289406</v>
      </c>
      <c r="U9" s="19">
        <f t="shared" si="1457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451"/>
        <v>299629.4445543653</v>
      </c>
      <c r="F10" s="44">
        <v>0</v>
      </c>
      <c r="G10" s="13">
        <v>310946</v>
      </c>
      <c r="H10" s="44">
        <v>0</v>
      </c>
      <c r="I10" s="16">
        <f t="shared" si="1452"/>
        <v>0</v>
      </c>
      <c r="J10" s="17">
        <f t="shared" si="1453"/>
        <v>24387</v>
      </c>
      <c r="K10" s="18">
        <f t="shared" si="1458"/>
        <v>277838.97578347992</v>
      </c>
      <c r="L10" s="19">
        <f t="shared" si="1459"/>
        <v>0.92727527562154632</v>
      </c>
      <c r="M10" s="34">
        <v>0</v>
      </c>
      <c r="N10" s="58">
        <v>0</v>
      </c>
      <c r="O10" s="34">
        <v>44000</v>
      </c>
      <c r="P10" s="34">
        <v>528000</v>
      </c>
      <c r="Q10" s="34">
        <v>0</v>
      </c>
      <c r="R10" s="34">
        <f t="shared" si="1454"/>
        <v>572000</v>
      </c>
      <c r="S10" s="35">
        <f t="shared" si="1455"/>
        <v>882946</v>
      </c>
      <c r="T10" s="35">
        <f t="shared" si="1456"/>
        <v>547613</v>
      </c>
      <c r="U10" s="19">
        <f t="shared" si="1457"/>
        <v>2.6330423787697601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51"/>
        <v>0</v>
      </c>
      <c r="F11" s="13">
        <v>0</v>
      </c>
      <c r="G11" s="13">
        <v>0</v>
      </c>
      <c r="H11" s="13">
        <v>0</v>
      </c>
      <c r="I11" s="16">
        <f t="shared" si="1452"/>
        <v>0</v>
      </c>
      <c r="J11" s="17">
        <f t="shared" si="1453"/>
        <v>0</v>
      </c>
      <c r="K11" s="18">
        <f t="shared" si="1458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54"/>
        <v>0</v>
      </c>
      <c r="S11" s="35">
        <f t="shared" si="1455"/>
        <v>0</v>
      </c>
      <c r="T11" s="35">
        <f t="shared" si="1456"/>
        <v>0</v>
      </c>
      <c r="U11" s="19" t="e">
        <f t="shared" si="1457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51"/>
        <v>494208.76746118831</v>
      </c>
      <c r="F12" s="13">
        <v>84409</v>
      </c>
      <c r="G12" s="13">
        <v>63262</v>
      </c>
      <c r="H12" s="13">
        <v>0</v>
      </c>
      <c r="I12" s="16">
        <f t="shared" si="1452"/>
        <v>84409</v>
      </c>
      <c r="J12" s="17">
        <f t="shared" si="1453"/>
        <v>42326</v>
      </c>
      <c r="K12" s="18">
        <f t="shared" si="1458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54"/>
        <v>42000</v>
      </c>
      <c r="S12" s="35">
        <f t="shared" si="1455"/>
        <v>189671</v>
      </c>
      <c r="T12" s="35">
        <f t="shared" si="1456"/>
        <v>84083</v>
      </c>
      <c r="U12" s="19">
        <f t="shared" si="1457"/>
        <v>1.796331022464674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51"/>
        <v>245445.56</v>
      </c>
      <c r="F13" s="13">
        <v>26506</v>
      </c>
      <c r="G13" s="13">
        <v>0</v>
      </c>
      <c r="H13" s="13">
        <v>0</v>
      </c>
      <c r="I13" s="16">
        <f t="shared" si="1452"/>
        <v>26506</v>
      </c>
      <c r="J13" s="17">
        <f t="shared" si="1453"/>
        <v>26506</v>
      </c>
      <c r="K13" s="18">
        <f t="shared" si="145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54"/>
        <v>0</v>
      </c>
      <c r="S13" s="35">
        <f t="shared" si="1455"/>
        <v>26506</v>
      </c>
      <c r="T13" s="35">
        <f t="shared" si="1456"/>
        <v>0</v>
      </c>
      <c r="U13" s="19">
        <f t="shared" si="1457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51"/>
        <v>63385.585358015262</v>
      </c>
      <c r="F14" s="13">
        <v>7077</v>
      </c>
      <c r="G14" s="13">
        <v>0</v>
      </c>
      <c r="H14" s="13">
        <v>0</v>
      </c>
      <c r="I14" s="16">
        <f t="shared" si="1452"/>
        <v>7077</v>
      </c>
      <c r="J14" s="17">
        <f t="shared" si="1453"/>
        <v>7091</v>
      </c>
      <c r="K14" s="18">
        <f t="shared" si="1458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54"/>
        <v>7000</v>
      </c>
      <c r="S14" s="35">
        <f t="shared" si="1455"/>
        <v>14077</v>
      </c>
      <c r="T14" s="35">
        <f t="shared" si="1456"/>
        <v>6986</v>
      </c>
      <c r="U14" s="19">
        <f t="shared" si="1457"/>
        <v>1.9851924975320829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51"/>
        <v>0</v>
      </c>
      <c r="F15" s="13">
        <v>0</v>
      </c>
      <c r="G15" s="33">
        <v>0</v>
      </c>
      <c r="H15" s="13">
        <v>0</v>
      </c>
      <c r="I15" s="16">
        <f t="shared" si="1452"/>
        <v>0</v>
      </c>
      <c r="J15" s="17">
        <f t="shared" si="1453"/>
        <v>0</v>
      </c>
      <c r="K15" s="18">
        <f t="shared" si="1458"/>
        <v>0</v>
      </c>
      <c r="L15" s="19" t="e">
        <f t="shared" ref="L15:L20" si="1460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54"/>
        <v>0</v>
      </c>
      <c r="S15" s="35">
        <f t="shared" si="1455"/>
        <v>0</v>
      </c>
      <c r="T15" s="35">
        <f t="shared" si="1456"/>
        <v>0</v>
      </c>
      <c r="U15" s="19" t="e">
        <f t="shared" si="1457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51"/>
        <v>0</v>
      </c>
      <c r="F16" s="13">
        <v>0</v>
      </c>
      <c r="G16" s="33">
        <v>0</v>
      </c>
      <c r="H16" s="13">
        <v>0</v>
      </c>
      <c r="I16" s="16">
        <f t="shared" si="1452"/>
        <v>0</v>
      </c>
      <c r="J16" s="17">
        <f t="shared" si="1453"/>
        <v>0</v>
      </c>
      <c r="K16" s="18">
        <f t="shared" si="1458"/>
        <v>0</v>
      </c>
      <c r="L16" s="19" t="e">
        <f t="shared" si="1460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54"/>
        <v>0</v>
      </c>
      <c r="S16" s="35">
        <f t="shared" si="1455"/>
        <v>0</v>
      </c>
      <c r="T16" s="35">
        <f t="shared" si="1456"/>
        <v>0</v>
      </c>
      <c r="U16" s="19" t="e">
        <f t="shared" si="1457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51"/>
        <v>0</v>
      </c>
      <c r="F17" s="13">
        <v>0</v>
      </c>
      <c r="G17" s="33">
        <v>0</v>
      </c>
      <c r="H17" s="13">
        <v>0</v>
      </c>
      <c r="I17" s="16">
        <f t="shared" si="1452"/>
        <v>0</v>
      </c>
      <c r="J17" s="17">
        <f t="shared" si="1453"/>
        <v>0</v>
      </c>
      <c r="K17" s="18">
        <f t="shared" si="1458"/>
        <v>0</v>
      </c>
      <c r="L17" s="19" t="e">
        <f t="shared" si="146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54"/>
        <v>0</v>
      </c>
      <c r="S17" s="35">
        <f t="shared" si="1455"/>
        <v>0</v>
      </c>
      <c r="T17" s="35">
        <f t="shared" si="1456"/>
        <v>0</v>
      </c>
      <c r="U17" s="19" t="e">
        <f t="shared" si="1457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51"/>
        <v>565975.79037586995</v>
      </c>
      <c r="F18" s="13">
        <v>290545</v>
      </c>
      <c r="G18" s="13">
        <v>292307</v>
      </c>
      <c r="H18" s="13">
        <v>0</v>
      </c>
      <c r="I18" s="16">
        <f t="shared" si="1452"/>
        <v>290545</v>
      </c>
      <c r="J18" s="17">
        <f t="shared" si="1453"/>
        <v>142078.5</v>
      </c>
      <c r="K18" s="18">
        <f t="shared" si="1458"/>
        <v>380856.83190944319</v>
      </c>
      <c r="L18" s="19">
        <f t="shared" si="1460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54"/>
        <v>290000</v>
      </c>
      <c r="S18" s="35">
        <f t="shared" si="1455"/>
        <v>872852</v>
      </c>
      <c r="T18" s="35">
        <f t="shared" si="1456"/>
        <v>438466.5</v>
      </c>
      <c r="U18" s="19">
        <f t="shared" si="1457"/>
        <v>2.009394880814392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5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61">M19+N19+O19+P19+Q19</f>
        <v>0</v>
      </c>
      <c r="S19" s="35">
        <f t="shared" ref="S19:S20" si="1462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63">SUM(E3:E19)</f>
        <v>5286837.1464331709</v>
      </c>
      <c r="F20" s="24">
        <f t="shared" si="1463"/>
        <v>408537</v>
      </c>
      <c r="G20" s="24">
        <f t="shared" si="1463"/>
        <v>1997918</v>
      </c>
      <c r="H20" s="24">
        <f t="shared" si="1463"/>
        <v>0</v>
      </c>
      <c r="I20" s="25">
        <f t="shared" si="1463"/>
        <v>408537</v>
      </c>
      <c r="J20" s="26">
        <f t="shared" si="1463"/>
        <v>1040620.5</v>
      </c>
      <c r="K20" s="26">
        <f t="shared" si="1463"/>
        <v>3273628.9559363401</v>
      </c>
      <c r="L20" s="27">
        <f t="shared" si="1460"/>
        <v>0.61920366851945374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61"/>
        <v>1</v>
      </c>
      <c r="S20" s="35">
        <f t="shared" si="1462"/>
        <v>2406456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DF00D8-002F-42E1-AA45-00C10057004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0000B1-003F-4E96-9712-001500B9006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B800A1-00D9-4E0B-B03D-00F90014006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6800A2-0050-4826-A788-00510097004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F60068-00FC-4C93-92AF-0024006400A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26004C-00AA-4CBC-92BE-00F9007D00B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6C0081-0058-4A1E-92EC-00B7004500B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CA007E-0097-4123-A42B-00F400D300E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540084-00BB-4E9E-9AD8-005300A200F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12" activeCellId="0" sqref="F12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233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64">C3*D3</f>
        <v>1142706.2615954725</v>
      </c>
      <c r="F3" s="13">
        <v>18354</v>
      </c>
      <c r="G3" s="44">
        <v>221490</v>
      </c>
      <c r="H3" s="13">
        <v>0</v>
      </c>
      <c r="I3" s="16">
        <f t="shared" ref="I3:I18" si="1465">F3+H3</f>
        <v>18354</v>
      </c>
      <c r="J3" s="17">
        <f t="shared" ref="J3:J18" si="1466">C3-G3</f>
        <v>173585</v>
      </c>
      <c r="K3" s="18">
        <f>+G3*D3</f>
        <v>640632.81625205651</v>
      </c>
      <c r="L3" s="19">
        <f>K3/E3</f>
        <v>0.56062772891223189</v>
      </c>
      <c r="M3" s="34">
        <v>0</v>
      </c>
      <c r="N3" s="58">
        <v>0</v>
      </c>
      <c r="O3" s="34">
        <v>148000</v>
      </c>
      <c r="P3" s="34">
        <v>129000</v>
      </c>
      <c r="Q3" s="34">
        <v>0</v>
      </c>
      <c r="R3" s="34">
        <f t="shared" ref="R3:R18" si="1467">M3+N3+O3+P3+Q3</f>
        <v>277000</v>
      </c>
      <c r="S3" s="35">
        <f t="shared" ref="S3:S18" si="1468">G3+I3+R3</f>
        <v>516844</v>
      </c>
      <c r="T3" s="35">
        <f t="shared" ref="T3:T18" si="1469">S3-C3</f>
        <v>121769</v>
      </c>
      <c r="U3" s="19">
        <f t="shared" ref="U3:U18" si="1470">S3/C3</f>
        <v>1.3082174270708093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64"/>
        <v>326534.8923560073</v>
      </c>
      <c r="F4" s="13">
        <v>0</v>
      </c>
      <c r="G4" s="13">
        <v>210261</v>
      </c>
      <c r="H4" s="13">
        <v>0</v>
      </c>
      <c r="I4" s="16">
        <f t="shared" si="1465"/>
        <v>0</v>
      </c>
      <c r="J4" s="17">
        <f t="shared" si="1466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74000</v>
      </c>
      <c r="P4" s="34">
        <v>0</v>
      </c>
      <c r="Q4" s="34">
        <v>0</v>
      </c>
      <c r="R4" s="34">
        <f t="shared" si="1467"/>
        <v>74000</v>
      </c>
      <c r="S4" s="35">
        <f t="shared" si="1468"/>
        <v>284261</v>
      </c>
      <c r="T4" s="35">
        <f t="shared" si="1469"/>
        <v>74261</v>
      </c>
      <c r="U4" s="19">
        <f t="shared" si="1470"/>
        <v>1.3536238095238096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64"/>
        <v>179349.84618968569</v>
      </c>
      <c r="F5" s="13">
        <v>0</v>
      </c>
      <c r="G5" s="13">
        <v>12677</v>
      </c>
      <c r="H5" s="13">
        <v>0</v>
      </c>
      <c r="I5" s="16">
        <f t="shared" si="1465"/>
        <v>0</v>
      </c>
      <c r="J5" s="17">
        <f t="shared" si="1466"/>
        <v>155202</v>
      </c>
      <c r="K5" s="18">
        <f t="shared" ref="K5:K19" si="1471">+G5*D5</f>
        <v>13543.194801890919</v>
      </c>
      <c r="L5" s="19">
        <f t="shared" ref="L5:L10" si="1472">K5/E5</f>
        <v>0.07551272047129183</v>
      </c>
      <c r="M5" s="34">
        <v>0</v>
      </c>
      <c r="N5" s="58">
        <v>0</v>
      </c>
      <c r="O5" s="34">
        <v>0</v>
      </c>
      <c r="P5" s="73">
        <v>230000</v>
      </c>
      <c r="Q5" s="34">
        <v>0</v>
      </c>
      <c r="R5" s="34">
        <f t="shared" si="1467"/>
        <v>230000</v>
      </c>
      <c r="S5" s="35">
        <f t="shared" si="1468"/>
        <v>242677</v>
      </c>
      <c r="T5" s="35">
        <f t="shared" si="1469"/>
        <v>74798</v>
      </c>
      <c r="U5" s="19">
        <f t="shared" si="1470"/>
        <v>1.4455470904639651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64"/>
        <v>1207818.5514720667</v>
      </c>
      <c r="F6" s="13">
        <v>0</v>
      </c>
      <c r="G6" s="13">
        <v>389516</v>
      </c>
      <c r="H6" s="13">
        <v>0</v>
      </c>
      <c r="I6" s="16">
        <f t="shared" si="1465"/>
        <v>0</v>
      </c>
      <c r="J6" s="17">
        <f t="shared" si="1466"/>
        <v>167165</v>
      </c>
      <c r="K6" s="18">
        <f t="shared" si="1471"/>
        <v>845124.31876639137</v>
      </c>
      <c r="L6" s="19">
        <f t="shared" si="1472"/>
        <v>0.69971132479822373</v>
      </c>
      <c r="M6" s="34">
        <v>0</v>
      </c>
      <c r="N6" s="58">
        <v>0</v>
      </c>
      <c r="O6" s="34">
        <v>39000</v>
      </c>
      <c r="P6" s="69">
        <v>234000</v>
      </c>
      <c r="Q6" s="34">
        <v>0</v>
      </c>
      <c r="R6" s="34">
        <f t="shared" si="1467"/>
        <v>273000</v>
      </c>
      <c r="S6" s="35">
        <f t="shared" si="1468"/>
        <v>662516</v>
      </c>
      <c r="T6" s="35">
        <f t="shared" si="1469"/>
        <v>105835</v>
      </c>
      <c r="U6" s="19">
        <f t="shared" si="1470"/>
        <v>1.1901178592407502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64"/>
        <v>0</v>
      </c>
      <c r="F7" s="13">
        <v>0</v>
      </c>
      <c r="G7" s="13">
        <v>0</v>
      </c>
      <c r="H7" s="13">
        <v>0</v>
      </c>
      <c r="I7" s="16">
        <f t="shared" si="1465"/>
        <v>0</v>
      </c>
      <c r="J7" s="17">
        <f t="shared" si="1466"/>
        <v>0</v>
      </c>
      <c r="K7" s="18">
        <f t="shared" si="1471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67"/>
        <v>0</v>
      </c>
      <c r="S7" s="35">
        <f t="shared" si="1468"/>
        <v>0</v>
      </c>
      <c r="T7" s="35">
        <f t="shared" si="1469"/>
        <v>0</v>
      </c>
      <c r="U7" s="19" t="e">
        <f t="shared" si="1470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64"/>
        <v>571514.02941906289</v>
      </c>
      <c r="F8" s="13">
        <v>158333</v>
      </c>
      <c r="G8" s="44">
        <v>348053</v>
      </c>
      <c r="H8" s="44">
        <v>0</v>
      </c>
      <c r="I8" s="16">
        <f t="shared" si="1465"/>
        <v>158333</v>
      </c>
      <c r="J8" s="17">
        <f t="shared" si="1466"/>
        <v>151947</v>
      </c>
      <c r="K8" s="18">
        <f t="shared" si="1471"/>
        <v>397834.34496278624</v>
      </c>
      <c r="L8" s="19">
        <f t="shared" si="1472"/>
        <v>0.69610600000000011</v>
      </c>
      <c r="M8" s="34">
        <v>0</v>
      </c>
      <c r="N8" s="58">
        <v>0</v>
      </c>
      <c r="O8" s="34">
        <v>220000</v>
      </c>
      <c r="P8" s="34">
        <v>157000</v>
      </c>
      <c r="Q8" s="34">
        <v>0</v>
      </c>
      <c r="R8" s="34">
        <f t="shared" si="1467"/>
        <v>377000</v>
      </c>
      <c r="S8" s="35">
        <f t="shared" si="1468"/>
        <v>883386</v>
      </c>
      <c r="T8" s="35">
        <f t="shared" si="1469"/>
        <v>383386</v>
      </c>
      <c r="U8" s="19">
        <f t="shared" si="1470"/>
        <v>1.766772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64"/>
        <v>190268.41765143772</v>
      </c>
      <c r="F9" s="13">
        <v>0</v>
      </c>
      <c r="G9" s="44">
        <v>149406</v>
      </c>
      <c r="H9" s="13">
        <v>0</v>
      </c>
      <c r="I9" s="16">
        <f t="shared" si="1465"/>
        <v>0</v>
      </c>
      <c r="J9" s="17">
        <f t="shared" si="1466"/>
        <v>150594</v>
      </c>
      <c r="K9" s="18">
        <f t="shared" si="1471"/>
        <v>94757.477358769014</v>
      </c>
      <c r="L9" s="19">
        <f t="shared" si="1472"/>
        <v>0.49802000000000002</v>
      </c>
      <c r="M9" s="34">
        <v>0</v>
      </c>
      <c r="N9" s="58">
        <v>0</v>
      </c>
      <c r="O9" s="34">
        <v>176000</v>
      </c>
      <c r="P9" s="34">
        <v>264000</v>
      </c>
      <c r="Q9" s="34">
        <v>0</v>
      </c>
      <c r="R9" s="34">
        <f t="shared" si="1467"/>
        <v>440000</v>
      </c>
      <c r="S9" s="35">
        <f t="shared" si="1468"/>
        <v>589406</v>
      </c>
      <c r="T9" s="35">
        <f t="shared" si="1469"/>
        <v>289406</v>
      </c>
      <c r="U9" s="19">
        <f t="shared" si="1470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464"/>
        <v>299629.4445543653</v>
      </c>
      <c r="F10" s="44">
        <v>0</v>
      </c>
      <c r="G10" s="13">
        <v>310946</v>
      </c>
      <c r="H10" s="44">
        <v>0</v>
      </c>
      <c r="I10" s="16">
        <f t="shared" si="1465"/>
        <v>0</v>
      </c>
      <c r="J10" s="17">
        <f t="shared" si="1466"/>
        <v>24387</v>
      </c>
      <c r="K10" s="18">
        <f t="shared" si="1471"/>
        <v>277838.97578347992</v>
      </c>
      <c r="L10" s="19">
        <f t="shared" si="1472"/>
        <v>0.92727527562154632</v>
      </c>
      <c r="M10" s="34">
        <v>0</v>
      </c>
      <c r="N10" s="58">
        <v>0</v>
      </c>
      <c r="O10" s="34">
        <v>44000</v>
      </c>
      <c r="P10" s="34">
        <v>528000</v>
      </c>
      <c r="Q10" s="34">
        <v>0</v>
      </c>
      <c r="R10" s="34">
        <f t="shared" si="1467"/>
        <v>572000</v>
      </c>
      <c r="S10" s="35">
        <f t="shared" si="1468"/>
        <v>882946</v>
      </c>
      <c r="T10" s="35">
        <f t="shared" si="1469"/>
        <v>547613</v>
      </c>
      <c r="U10" s="19">
        <f t="shared" si="1470"/>
        <v>2.6330423787697601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64"/>
        <v>0</v>
      </c>
      <c r="F11" s="13">
        <v>0</v>
      </c>
      <c r="G11" s="13">
        <v>0</v>
      </c>
      <c r="H11" s="13">
        <v>0</v>
      </c>
      <c r="I11" s="16">
        <f t="shared" si="1465"/>
        <v>0</v>
      </c>
      <c r="J11" s="17">
        <f t="shared" si="1466"/>
        <v>0</v>
      </c>
      <c r="K11" s="18">
        <f t="shared" si="1471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67"/>
        <v>0</v>
      </c>
      <c r="S11" s="35">
        <f t="shared" si="1468"/>
        <v>0</v>
      </c>
      <c r="T11" s="35">
        <f t="shared" si="1469"/>
        <v>0</v>
      </c>
      <c r="U11" s="19" t="e">
        <f t="shared" si="1470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64"/>
        <v>494208.76746118831</v>
      </c>
      <c r="F12" s="13">
        <v>84409</v>
      </c>
      <c r="G12" s="13">
        <v>63262</v>
      </c>
      <c r="H12" s="13">
        <v>0</v>
      </c>
      <c r="I12" s="16">
        <f t="shared" si="1465"/>
        <v>84409</v>
      </c>
      <c r="J12" s="17">
        <f t="shared" si="1466"/>
        <v>42326</v>
      </c>
      <c r="K12" s="18">
        <f t="shared" si="1471"/>
        <v>296100.26752215874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67"/>
        <v>42000</v>
      </c>
      <c r="S12" s="35">
        <f t="shared" si="1468"/>
        <v>189671</v>
      </c>
      <c r="T12" s="35">
        <f t="shared" si="1469"/>
        <v>84083</v>
      </c>
      <c r="U12" s="19">
        <f t="shared" si="1470"/>
        <v>1.796331022464674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64"/>
        <v>245445.56</v>
      </c>
      <c r="F13" s="13">
        <v>26506</v>
      </c>
      <c r="G13" s="13">
        <v>0</v>
      </c>
      <c r="H13" s="13">
        <v>0</v>
      </c>
      <c r="I13" s="16">
        <f t="shared" si="1465"/>
        <v>26506</v>
      </c>
      <c r="J13" s="17">
        <f t="shared" si="1466"/>
        <v>26506</v>
      </c>
      <c r="K13" s="18">
        <f t="shared" si="147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67"/>
        <v>0</v>
      </c>
      <c r="S13" s="35">
        <f t="shared" si="1468"/>
        <v>26506</v>
      </c>
      <c r="T13" s="35">
        <f t="shared" si="1469"/>
        <v>0</v>
      </c>
      <c r="U13" s="19">
        <f t="shared" si="1470"/>
        <v>1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64"/>
        <v>63385.585358015262</v>
      </c>
      <c r="F14" s="13">
        <v>7077</v>
      </c>
      <c r="G14" s="13">
        <v>0</v>
      </c>
      <c r="H14" s="13">
        <v>0</v>
      </c>
      <c r="I14" s="16">
        <f t="shared" si="1465"/>
        <v>7077</v>
      </c>
      <c r="J14" s="17">
        <f t="shared" si="1466"/>
        <v>7091</v>
      </c>
      <c r="K14" s="18">
        <f t="shared" si="1471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67"/>
        <v>7000</v>
      </c>
      <c r="S14" s="35">
        <f t="shared" si="1468"/>
        <v>14077</v>
      </c>
      <c r="T14" s="35">
        <f t="shared" si="1469"/>
        <v>6986</v>
      </c>
      <c r="U14" s="19">
        <f t="shared" si="1470"/>
        <v>1.9851924975320829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64"/>
        <v>0</v>
      </c>
      <c r="F15" s="13">
        <v>0</v>
      </c>
      <c r="G15" s="33">
        <v>0</v>
      </c>
      <c r="H15" s="13">
        <v>0</v>
      </c>
      <c r="I15" s="16">
        <f t="shared" si="1465"/>
        <v>0</v>
      </c>
      <c r="J15" s="17">
        <f t="shared" si="1466"/>
        <v>0</v>
      </c>
      <c r="K15" s="18">
        <f t="shared" si="1471"/>
        <v>0</v>
      </c>
      <c r="L15" s="19" t="e">
        <f t="shared" ref="L15:L20" si="1473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67"/>
        <v>0</v>
      </c>
      <c r="S15" s="35">
        <f t="shared" si="1468"/>
        <v>0</v>
      </c>
      <c r="T15" s="35">
        <f t="shared" si="1469"/>
        <v>0</v>
      </c>
      <c r="U15" s="19" t="e">
        <f t="shared" si="1470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64"/>
        <v>0</v>
      </c>
      <c r="F16" s="13">
        <v>0</v>
      </c>
      <c r="G16" s="33">
        <v>0</v>
      </c>
      <c r="H16" s="13">
        <v>0</v>
      </c>
      <c r="I16" s="16">
        <f t="shared" si="1465"/>
        <v>0</v>
      </c>
      <c r="J16" s="17">
        <f t="shared" si="1466"/>
        <v>0</v>
      </c>
      <c r="K16" s="18">
        <f t="shared" si="1471"/>
        <v>0</v>
      </c>
      <c r="L16" s="19" t="e">
        <f t="shared" si="1473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67"/>
        <v>0</v>
      </c>
      <c r="S16" s="35">
        <f t="shared" si="1468"/>
        <v>0</v>
      </c>
      <c r="T16" s="35">
        <f t="shared" si="1469"/>
        <v>0</v>
      </c>
      <c r="U16" s="19" t="e">
        <f t="shared" si="1470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64"/>
        <v>0</v>
      </c>
      <c r="F17" s="13">
        <v>0</v>
      </c>
      <c r="G17" s="33">
        <v>0</v>
      </c>
      <c r="H17" s="13">
        <v>0</v>
      </c>
      <c r="I17" s="16">
        <f t="shared" si="1465"/>
        <v>0</v>
      </c>
      <c r="J17" s="17">
        <f t="shared" si="1466"/>
        <v>0</v>
      </c>
      <c r="K17" s="18">
        <f t="shared" si="1471"/>
        <v>0</v>
      </c>
      <c r="L17" s="19" t="e">
        <f t="shared" si="1473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67"/>
        <v>0</v>
      </c>
      <c r="S17" s="35">
        <f t="shared" si="1468"/>
        <v>0</v>
      </c>
      <c r="T17" s="35">
        <f t="shared" si="1469"/>
        <v>0</v>
      </c>
      <c r="U17" s="19" t="e">
        <f t="shared" si="1470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64"/>
        <v>565975.79037586995</v>
      </c>
      <c r="F18" s="13">
        <v>290545</v>
      </c>
      <c r="G18" s="13">
        <v>292307</v>
      </c>
      <c r="H18" s="13">
        <v>0</v>
      </c>
      <c r="I18" s="16">
        <f t="shared" si="1465"/>
        <v>290545</v>
      </c>
      <c r="J18" s="17">
        <f t="shared" si="1466"/>
        <v>142078.5</v>
      </c>
      <c r="K18" s="18">
        <f t="shared" si="1471"/>
        <v>380856.83190944319</v>
      </c>
      <c r="L18" s="19">
        <f t="shared" si="1473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67"/>
        <v>290000</v>
      </c>
      <c r="S18" s="35">
        <f t="shared" si="1468"/>
        <v>872852</v>
      </c>
      <c r="T18" s="35">
        <f t="shared" si="1469"/>
        <v>438466.5</v>
      </c>
      <c r="U18" s="19">
        <f t="shared" si="1470"/>
        <v>2.009394880814392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71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74">M19+N19+O19+P19+Q19</f>
        <v>0</v>
      </c>
      <c r="S19" s="35">
        <f t="shared" ref="S19:S20" si="1475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76">SUM(E3:E19)</f>
        <v>5286837.1464331709</v>
      </c>
      <c r="F20" s="24">
        <f t="shared" si="1476"/>
        <v>585224</v>
      </c>
      <c r="G20" s="24">
        <f t="shared" si="1476"/>
        <v>1997918</v>
      </c>
      <c r="H20" s="24">
        <f t="shared" si="1476"/>
        <v>0</v>
      </c>
      <c r="I20" s="25">
        <f t="shared" si="1476"/>
        <v>585224</v>
      </c>
      <c r="J20" s="26">
        <f t="shared" si="1476"/>
        <v>1040620.5</v>
      </c>
      <c r="K20" s="26">
        <f t="shared" si="1476"/>
        <v>3273628.9559363401</v>
      </c>
      <c r="L20" s="27">
        <f t="shared" si="1473"/>
        <v>0.61920366851945374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74"/>
        <v>1</v>
      </c>
      <c r="S20" s="35">
        <f t="shared" si="1475"/>
        <v>2583143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E6001A-00ED-4127-8158-00A0007D003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1800BD-0031-4C29-8E5C-00AF00D1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4300F1-00AC-4A48-9D71-002E00B1000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370041-0056-4EFF-B5AE-00D20044004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0100E1-0045-4DCE-84FD-002B00E100D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C60058-000F-4FC2-ADEF-00520091001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80004C-00DE-4D32-A04B-00ED008600C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49005A-00AD-4075-9AA3-006C001E002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E1005E-0026-4ACB-A16A-00440085008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J7" activeCellId="0" sqref="J7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69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118">C3*D3</f>
        <v>1870761.2046759115</v>
      </c>
      <c r="F3" s="13">
        <v>0</v>
      </c>
      <c r="G3" s="43">
        <v>726764</v>
      </c>
      <c r="H3" s="13">
        <v>0</v>
      </c>
      <c r="I3" s="16">
        <f t="shared" ref="I3:I17" si="119">F3+H3</f>
        <v>0</v>
      </c>
      <c r="J3" s="17">
        <f t="shared" ref="J3:J17" si="120">C3-G3</f>
        <v>-79974</v>
      </c>
      <c r="K3" s="18">
        <f t="shared" ref="K3:K17" si="121">+G3*D3</f>
        <v>2102076.2475534319</v>
      </c>
      <c r="L3" s="19">
        <f t="shared" ref="L3:L11" si="122">K3/E3</f>
        <v>1.1236475517555931</v>
      </c>
      <c r="M3" s="33">
        <v>0</v>
      </c>
      <c r="N3" s="33">
        <v>0</v>
      </c>
      <c r="O3" s="33">
        <v>0</v>
      </c>
      <c r="P3" s="33">
        <v>0</v>
      </c>
      <c r="Q3" s="40">
        <v>259000</v>
      </c>
      <c r="R3" s="34">
        <f t="shared" ref="R3:R18" si="123">M3+N3+O3+P3+Q3</f>
        <v>259000</v>
      </c>
      <c r="S3" s="35">
        <f t="shared" ref="S3:S18" si="124">G3+I3+R3</f>
        <v>985764</v>
      </c>
      <c r="T3" s="35">
        <f t="shared" ref="T3:T17" si="125">S3-C3</f>
        <v>338974</v>
      </c>
      <c r="U3" s="19">
        <f t="shared" ref="U3:U17" si="126">S3/C3</f>
        <v>1.5240866432690672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118"/>
        <v>390880.30588673195</v>
      </c>
      <c r="F4" s="13">
        <v>142793</v>
      </c>
      <c r="G4" s="13">
        <v>299987</v>
      </c>
      <c r="H4" s="13">
        <v>0</v>
      </c>
      <c r="I4" s="16">
        <f t="shared" si="119"/>
        <v>142793</v>
      </c>
      <c r="J4" s="17">
        <f t="shared" si="120"/>
        <v>13</v>
      </c>
      <c r="K4" s="18">
        <f t="shared" si="121"/>
        <v>390863.3677401435</v>
      </c>
      <c r="L4" s="19">
        <f t="shared" si="12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23"/>
        <v>0</v>
      </c>
      <c r="S4" s="35">
        <f t="shared" si="124"/>
        <v>442780</v>
      </c>
      <c r="T4" s="35">
        <f t="shared" si="125"/>
        <v>142780</v>
      </c>
      <c r="U4" s="19">
        <f t="shared" si="12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18"/>
        <v>0</v>
      </c>
      <c r="F5" s="13">
        <v>0</v>
      </c>
      <c r="G5" s="13">
        <v>0</v>
      </c>
      <c r="H5" s="13">
        <v>0</v>
      </c>
      <c r="I5" s="16">
        <f t="shared" si="119"/>
        <v>0</v>
      </c>
      <c r="J5" s="17">
        <f t="shared" si="120"/>
        <v>0</v>
      </c>
      <c r="K5" s="18">
        <f t="shared" si="12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23"/>
        <v>0</v>
      </c>
      <c r="S5" s="35">
        <f t="shared" si="124"/>
        <v>0</v>
      </c>
      <c r="T5" s="35">
        <f t="shared" si="125"/>
        <v>0</v>
      </c>
      <c r="U5" s="19" t="e">
        <f t="shared" si="12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118"/>
        <v>644777.55587835144</v>
      </c>
      <c r="F6" s="13">
        <v>0</v>
      </c>
      <c r="G6" s="43">
        <v>601076</v>
      </c>
      <c r="H6" s="43">
        <v>125632</v>
      </c>
      <c r="I6" s="16">
        <f t="shared" si="119"/>
        <v>125632</v>
      </c>
      <c r="J6" s="17">
        <f t="shared" si="120"/>
        <v>-36980</v>
      </c>
      <c r="K6" s="18">
        <f t="shared" si="121"/>
        <v>687046.73349418538</v>
      </c>
      <c r="L6" s="19">
        <f t="shared" si="122"/>
        <v>1.0655562173814386</v>
      </c>
      <c r="M6" s="33">
        <v>0</v>
      </c>
      <c r="N6" s="33">
        <v>0</v>
      </c>
      <c r="O6" s="33">
        <v>0</v>
      </c>
      <c r="P6" s="33">
        <v>0</v>
      </c>
      <c r="Q6" s="33">
        <v>315000</v>
      </c>
      <c r="R6" s="34">
        <f t="shared" si="123"/>
        <v>315000</v>
      </c>
      <c r="S6" s="35">
        <f t="shared" si="124"/>
        <v>1041708</v>
      </c>
      <c r="T6" s="35">
        <f t="shared" si="125"/>
        <v>477612</v>
      </c>
      <c r="U6" s="19">
        <f t="shared" si="126"/>
        <v>1.8466856705241661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118"/>
        <v>221472.43814627349</v>
      </c>
      <c r="F7" s="13">
        <v>0</v>
      </c>
      <c r="G7" s="13">
        <v>342865</v>
      </c>
      <c r="H7" s="13">
        <v>0</v>
      </c>
      <c r="I7" s="16">
        <f t="shared" si="119"/>
        <v>0</v>
      </c>
      <c r="J7" s="17">
        <f t="shared" si="120"/>
        <v>6335</v>
      </c>
      <c r="K7" s="18">
        <f t="shared" si="121"/>
        <v>217454.60339353397</v>
      </c>
      <c r="L7" s="19">
        <f t="shared" si="122"/>
        <v>0.98185853379152355</v>
      </c>
      <c r="M7" s="33">
        <v>0</v>
      </c>
      <c r="N7" s="33">
        <v>0</v>
      </c>
      <c r="O7" s="33">
        <v>0</v>
      </c>
      <c r="P7" s="33">
        <v>0</v>
      </c>
      <c r="Q7" s="33">
        <v>435000</v>
      </c>
      <c r="R7" s="34">
        <f t="shared" si="123"/>
        <v>435000</v>
      </c>
      <c r="S7" s="35">
        <f t="shared" si="124"/>
        <v>777865</v>
      </c>
      <c r="T7" s="35">
        <f t="shared" si="125"/>
        <v>428665</v>
      </c>
      <c r="U7" s="19">
        <f t="shared" si="126"/>
        <v>2.2275630011454752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118"/>
        <v>585037.49652426294</v>
      </c>
      <c r="F8" s="13">
        <v>0</v>
      </c>
      <c r="G8" s="13">
        <v>781403</v>
      </c>
      <c r="H8" s="13">
        <v>0</v>
      </c>
      <c r="I8" s="16">
        <f t="shared" si="119"/>
        <v>0</v>
      </c>
      <c r="J8" s="17">
        <f t="shared" si="120"/>
        <v>-126653</v>
      </c>
      <c r="K8" s="18">
        <f t="shared" si="121"/>
        <v>698205.5057602881</v>
      </c>
      <c r="L8" s="19">
        <f t="shared" si="122"/>
        <v>1.1934371897670866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4">
        <f t="shared" si="123"/>
        <v>0</v>
      </c>
      <c r="S8" s="35">
        <f t="shared" si="124"/>
        <v>781403</v>
      </c>
      <c r="T8" s="35">
        <f t="shared" si="125"/>
        <v>126653</v>
      </c>
      <c r="U8" s="19">
        <f t="shared" si="126"/>
        <v>1.1934371897670866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118"/>
        <v>216656.93033237188</v>
      </c>
      <c r="F9" s="13">
        <v>0</v>
      </c>
      <c r="G9" s="13">
        <v>231850</v>
      </c>
      <c r="H9" s="13">
        <v>0</v>
      </c>
      <c r="I9" s="16">
        <f t="shared" si="119"/>
        <v>0</v>
      </c>
      <c r="J9" s="17">
        <f t="shared" si="120"/>
        <v>-29050</v>
      </c>
      <c r="K9" s="18">
        <f t="shared" si="121"/>
        <v>247691.86044161944</v>
      </c>
      <c r="L9" s="19">
        <f t="shared" si="122"/>
        <v>1.1432445759368837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4">
        <f t="shared" si="123"/>
        <v>0</v>
      </c>
      <c r="S9" s="35">
        <f t="shared" si="124"/>
        <v>231850</v>
      </c>
      <c r="T9" s="35">
        <f t="shared" si="125"/>
        <v>29050</v>
      </c>
      <c r="U9" s="19">
        <f t="shared" si="126"/>
        <v>1.1432445759368837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118"/>
        <v>505114.07016586867</v>
      </c>
      <c r="F10" s="13">
        <v>0</v>
      </c>
      <c r="G10" s="13">
        <v>233346</v>
      </c>
      <c r="H10" s="13">
        <v>0</v>
      </c>
      <c r="I10" s="16">
        <f t="shared" si="119"/>
        <v>0</v>
      </c>
      <c r="J10" s="17">
        <f t="shared" si="120"/>
        <v>-540</v>
      </c>
      <c r="K10" s="18">
        <f t="shared" si="121"/>
        <v>506285.6963176413</v>
      </c>
      <c r="L10" s="19">
        <f t="shared" si="122"/>
        <v>1.0023195278472206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123"/>
        <v>6</v>
      </c>
      <c r="S10" s="35">
        <f t="shared" si="124"/>
        <v>233352</v>
      </c>
      <c r="T10" s="35">
        <f t="shared" si="125"/>
        <v>546</v>
      </c>
      <c r="U10" s="19">
        <f t="shared" si="12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118"/>
        <v>58121.655911310321</v>
      </c>
      <c r="F11" s="13">
        <v>0</v>
      </c>
      <c r="G11" s="13">
        <v>37379</v>
      </c>
      <c r="H11" s="13">
        <v>0</v>
      </c>
      <c r="I11" s="16">
        <f t="shared" si="119"/>
        <v>0</v>
      </c>
      <c r="J11" s="17">
        <f t="shared" si="120"/>
        <v>0</v>
      </c>
      <c r="K11" s="18">
        <f t="shared" si="121"/>
        <v>58121.655911310321</v>
      </c>
      <c r="L11" s="19">
        <f t="shared" si="12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23"/>
        <v>0</v>
      </c>
      <c r="S11" s="35">
        <f t="shared" si="124"/>
        <v>37379</v>
      </c>
      <c r="T11" s="35">
        <f t="shared" si="125"/>
        <v>0</v>
      </c>
      <c r="U11" s="19">
        <f t="shared" si="12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18"/>
        <v>0</v>
      </c>
      <c r="F12" s="13"/>
      <c r="G12" s="13">
        <v>0</v>
      </c>
      <c r="H12" s="13">
        <v>0</v>
      </c>
      <c r="I12" s="16">
        <f t="shared" si="119"/>
        <v>0</v>
      </c>
      <c r="J12" s="17">
        <f t="shared" si="120"/>
        <v>0</v>
      </c>
      <c r="K12" s="18">
        <f t="shared" si="12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23"/>
        <v>0</v>
      </c>
      <c r="S12" s="35">
        <f t="shared" si="124"/>
        <v>0</v>
      </c>
      <c r="T12" s="35">
        <f t="shared" si="125"/>
        <v>0</v>
      </c>
      <c r="U12" s="19" t="e">
        <f t="shared" si="12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18"/>
        <v>0</v>
      </c>
      <c r="F13" s="13"/>
      <c r="G13" s="13">
        <v>0</v>
      </c>
      <c r="H13" s="13">
        <v>0</v>
      </c>
      <c r="I13" s="16">
        <f t="shared" si="119"/>
        <v>0</v>
      </c>
      <c r="J13" s="17">
        <f t="shared" si="120"/>
        <v>0</v>
      </c>
      <c r="K13" s="18">
        <f t="shared" si="12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23"/>
        <v>0</v>
      </c>
      <c r="S13" s="35">
        <f t="shared" si="124"/>
        <v>0</v>
      </c>
      <c r="T13" s="35">
        <f t="shared" si="125"/>
        <v>0</v>
      </c>
      <c r="U13" s="19" t="e">
        <f t="shared" si="12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18"/>
        <v>0</v>
      </c>
      <c r="F14" s="13"/>
      <c r="G14" s="13">
        <v>0</v>
      </c>
      <c r="H14" s="13">
        <v>0</v>
      </c>
      <c r="I14" s="16">
        <f t="shared" si="119"/>
        <v>0</v>
      </c>
      <c r="J14" s="17">
        <f t="shared" si="120"/>
        <v>0</v>
      </c>
      <c r="K14" s="18">
        <f t="shared" si="12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23"/>
        <v>0</v>
      </c>
      <c r="S14" s="35">
        <f t="shared" si="124"/>
        <v>0</v>
      </c>
      <c r="T14" s="35">
        <f t="shared" si="125"/>
        <v>0</v>
      </c>
      <c r="U14" s="19" t="e">
        <f t="shared" si="12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18"/>
        <v>0</v>
      </c>
      <c r="F15" s="13"/>
      <c r="G15" s="13">
        <v>0</v>
      </c>
      <c r="H15" s="13">
        <v>0</v>
      </c>
      <c r="I15" s="16">
        <f t="shared" si="119"/>
        <v>0</v>
      </c>
      <c r="J15" s="17">
        <f t="shared" si="120"/>
        <v>0</v>
      </c>
      <c r="K15" s="18">
        <f t="shared" si="12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23"/>
        <v>0</v>
      </c>
      <c r="S15" s="35">
        <f t="shared" si="124"/>
        <v>0</v>
      </c>
      <c r="T15" s="35">
        <f t="shared" si="125"/>
        <v>0</v>
      </c>
      <c r="U15" s="19" t="e">
        <f t="shared" si="12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18"/>
        <v>0</v>
      </c>
      <c r="F16" s="13"/>
      <c r="G16" s="13">
        <v>0</v>
      </c>
      <c r="H16" s="13">
        <v>0</v>
      </c>
      <c r="I16" s="16">
        <f t="shared" si="119"/>
        <v>0</v>
      </c>
      <c r="J16" s="17">
        <f t="shared" si="120"/>
        <v>0</v>
      </c>
      <c r="K16" s="18">
        <f t="shared" si="12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23"/>
        <v>0</v>
      </c>
      <c r="S16" s="35">
        <f t="shared" si="124"/>
        <v>0</v>
      </c>
      <c r="T16" s="35">
        <f t="shared" si="125"/>
        <v>0</v>
      </c>
      <c r="U16" s="19" t="e">
        <f t="shared" si="12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118"/>
        <v>3629.0452579287512</v>
      </c>
      <c r="F17" s="13">
        <v>50000</v>
      </c>
      <c r="G17" s="13">
        <v>787</v>
      </c>
      <c r="H17" s="13">
        <v>0</v>
      </c>
      <c r="I17" s="16">
        <f t="shared" si="119"/>
        <v>50000</v>
      </c>
      <c r="J17" s="17">
        <f t="shared" si="120"/>
        <v>400</v>
      </c>
      <c r="K17" s="18">
        <f t="shared" si="121"/>
        <v>2406.1150951894924</v>
      </c>
      <c r="L17" s="19">
        <f t="shared" ref="L17:L18" si="12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23"/>
        <v>0</v>
      </c>
      <c r="S17" s="35">
        <f t="shared" si="124"/>
        <v>50787</v>
      </c>
      <c r="T17" s="35">
        <f t="shared" si="125"/>
        <v>49600</v>
      </c>
      <c r="U17" s="19">
        <f t="shared" si="12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3255457</v>
      </c>
      <c r="H18" s="24">
        <f>SUM(H3:H17)</f>
        <v>125632</v>
      </c>
      <c r="I18" s="25">
        <f>SUM(I3:I17)</f>
        <v>318425</v>
      </c>
      <c r="J18" s="26">
        <f>SUM(J3:J17)</f>
        <v>-266449</v>
      </c>
      <c r="K18" s="26">
        <f>SUM(K3:K17)</f>
        <v>4910151.7857073434</v>
      </c>
      <c r="L18" s="27">
        <f t="shared" si="127"/>
        <v>1.0920061422385094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23"/>
        <v>0</v>
      </c>
      <c r="S18" s="35">
        <f t="shared" si="124"/>
        <v>3573882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110083-00B3-4CA6-B0E6-009E000100C4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F00018-00E9-4616-87AE-00C2007500E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BC00C2-00AB-4812-A5A9-006600E1003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3D0070-00E9-4679-9DA7-00C800C000F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A800A2-00B5-46C2-997B-0032000E00E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8D0031-0025-4F4D-A9A3-000C0064002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3E00D4-0082-4A43-9A00-00BF0097000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25" activeCellId="0" sqref="F25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234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77">C3*D3</f>
        <v>1142706.2615954725</v>
      </c>
      <c r="F3" s="13">
        <v>111454</v>
      </c>
      <c r="G3" s="44">
        <v>221490</v>
      </c>
      <c r="H3" s="13">
        <v>0</v>
      </c>
      <c r="I3" s="16">
        <f t="shared" ref="I3:I18" si="1478">F3+H3</f>
        <v>111454</v>
      </c>
      <c r="J3" s="17">
        <f t="shared" ref="J3:J18" si="1479">C3-G3</f>
        <v>173585</v>
      </c>
      <c r="K3" s="18">
        <f>+G3*D3</f>
        <v>640632.81625205651</v>
      </c>
      <c r="L3" s="19">
        <f>K3/E3</f>
        <v>0.56062772891223189</v>
      </c>
      <c r="M3" s="34">
        <v>0</v>
      </c>
      <c r="N3" s="58">
        <v>0</v>
      </c>
      <c r="O3" s="34">
        <v>148000</v>
      </c>
      <c r="P3" s="34">
        <v>129000</v>
      </c>
      <c r="Q3" s="34">
        <v>0</v>
      </c>
      <c r="R3" s="34">
        <f t="shared" ref="R3:R18" si="1480">M3+N3+O3+P3+Q3</f>
        <v>277000</v>
      </c>
      <c r="S3" s="35">
        <f t="shared" ref="S3:S18" si="1481">G3+I3+R3</f>
        <v>609944</v>
      </c>
      <c r="T3" s="35">
        <f t="shared" ref="T3:T18" si="1482">S3-C3</f>
        <v>214869</v>
      </c>
      <c r="U3" s="19">
        <f t="shared" ref="U3:U18" si="1483">S3/C3</f>
        <v>1.5438688856546225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77"/>
        <v>326534.8923560073</v>
      </c>
      <c r="F4" s="13">
        <v>74518</v>
      </c>
      <c r="G4" s="13">
        <v>210261</v>
      </c>
      <c r="H4" s="13">
        <v>0</v>
      </c>
      <c r="I4" s="16">
        <f t="shared" si="1478"/>
        <v>74518</v>
      </c>
      <c r="J4" s="17">
        <f t="shared" si="1479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74000</v>
      </c>
      <c r="P4" s="34">
        <v>0</v>
      </c>
      <c r="Q4" s="34">
        <v>0</v>
      </c>
      <c r="R4" s="34">
        <f t="shared" si="1480"/>
        <v>74000</v>
      </c>
      <c r="S4" s="35">
        <f t="shared" si="1481"/>
        <v>358779</v>
      </c>
      <c r="T4" s="35">
        <f t="shared" si="1482"/>
        <v>148779</v>
      </c>
      <c r="U4" s="19">
        <f t="shared" si="1483"/>
        <v>1.7084714285714286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77"/>
        <v>179349.84618968569</v>
      </c>
      <c r="F5" s="13">
        <v>0</v>
      </c>
      <c r="G5" s="13">
        <v>12677</v>
      </c>
      <c r="H5" s="13">
        <v>0</v>
      </c>
      <c r="I5" s="16">
        <f t="shared" si="1478"/>
        <v>0</v>
      </c>
      <c r="J5" s="17">
        <f t="shared" si="1479"/>
        <v>155202</v>
      </c>
      <c r="K5" s="18">
        <f t="shared" ref="K5:K19" si="1484">+G5*D5</f>
        <v>13543.194801890919</v>
      </c>
      <c r="L5" s="19">
        <f t="shared" ref="L5:L10" si="1485">K5/E5</f>
        <v>0.07551272047129183</v>
      </c>
      <c r="M5" s="34">
        <v>0</v>
      </c>
      <c r="N5" s="58">
        <v>0</v>
      </c>
      <c r="O5" s="34">
        <v>0</v>
      </c>
      <c r="P5" s="73">
        <v>230000</v>
      </c>
      <c r="Q5" s="34">
        <v>0</v>
      </c>
      <c r="R5" s="34">
        <f t="shared" si="1480"/>
        <v>230000</v>
      </c>
      <c r="S5" s="35">
        <f t="shared" si="1481"/>
        <v>242677</v>
      </c>
      <c r="T5" s="35">
        <f t="shared" si="1482"/>
        <v>74798</v>
      </c>
      <c r="U5" s="19">
        <f t="shared" si="1483"/>
        <v>1.4455470904639651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77"/>
        <v>1207818.5514720667</v>
      </c>
      <c r="F6" s="13">
        <v>0</v>
      </c>
      <c r="G6" s="13">
        <v>389516</v>
      </c>
      <c r="H6" s="13">
        <v>0</v>
      </c>
      <c r="I6" s="16">
        <f t="shared" si="1478"/>
        <v>0</v>
      </c>
      <c r="J6" s="17">
        <f t="shared" si="1479"/>
        <v>167165</v>
      </c>
      <c r="K6" s="18">
        <f t="shared" si="1484"/>
        <v>845124.31876639137</v>
      </c>
      <c r="L6" s="19">
        <f t="shared" si="1485"/>
        <v>0.69971132479822373</v>
      </c>
      <c r="M6" s="34">
        <v>0</v>
      </c>
      <c r="N6" s="58">
        <v>0</v>
      </c>
      <c r="O6" s="34">
        <v>39000</v>
      </c>
      <c r="P6" s="69">
        <v>234000</v>
      </c>
      <c r="Q6" s="34">
        <v>0</v>
      </c>
      <c r="R6" s="34">
        <f t="shared" si="1480"/>
        <v>273000</v>
      </c>
      <c r="S6" s="35">
        <f t="shared" si="1481"/>
        <v>662516</v>
      </c>
      <c r="T6" s="35">
        <f t="shared" si="1482"/>
        <v>105835</v>
      </c>
      <c r="U6" s="19">
        <f t="shared" si="1483"/>
        <v>1.1901178592407502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77"/>
        <v>0</v>
      </c>
      <c r="F7" s="13">
        <v>0</v>
      </c>
      <c r="G7" s="13">
        <v>0</v>
      </c>
      <c r="H7" s="13">
        <v>0</v>
      </c>
      <c r="I7" s="16">
        <f t="shared" si="1478"/>
        <v>0</v>
      </c>
      <c r="J7" s="17">
        <f t="shared" si="1479"/>
        <v>0</v>
      </c>
      <c r="K7" s="18">
        <f t="shared" si="1484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80"/>
        <v>0</v>
      </c>
      <c r="S7" s="35">
        <f t="shared" si="1481"/>
        <v>0</v>
      </c>
      <c r="T7" s="35">
        <f t="shared" si="1482"/>
        <v>0</v>
      </c>
      <c r="U7" s="19" t="e">
        <f t="shared" si="1483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77"/>
        <v>571514.02941906289</v>
      </c>
      <c r="F8" s="13">
        <v>158379</v>
      </c>
      <c r="G8" s="44">
        <v>482453</v>
      </c>
      <c r="H8" s="44">
        <v>23933</v>
      </c>
      <c r="I8" s="16">
        <f t="shared" si="1478"/>
        <v>182312</v>
      </c>
      <c r="J8" s="17">
        <f t="shared" si="1479"/>
        <v>17547</v>
      </c>
      <c r="K8" s="18">
        <f t="shared" si="1484"/>
        <v>551457.31607063033</v>
      </c>
      <c r="L8" s="19">
        <f t="shared" si="1485"/>
        <v>0.96490600000000004</v>
      </c>
      <c r="M8" s="34">
        <v>0</v>
      </c>
      <c r="N8" s="58">
        <v>0</v>
      </c>
      <c r="O8" s="34">
        <v>220000</v>
      </c>
      <c r="P8" s="34">
        <v>157000</v>
      </c>
      <c r="Q8" s="34">
        <v>0</v>
      </c>
      <c r="R8" s="34">
        <f t="shared" si="1480"/>
        <v>377000</v>
      </c>
      <c r="S8" s="35">
        <f t="shared" si="1481"/>
        <v>1041765</v>
      </c>
      <c r="T8" s="35">
        <f t="shared" si="1482"/>
        <v>541765</v>
      </c>
      <c r="U8" s="19">
        <f t="shared" si="1483"/>
        <v>2.0835300000000001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77"/>
        <v>190268.41765143772</v>
      </c>
      <c r="F9" s="13">
        <v>0</v>
      </c>
      <c r="G9" s="44">
        <v>149406</v>
      </c>
      <c r="H9" s="13">
        <v>0</v>
      </c>
      <c r="I9" s="16">
        <f t="shared" si="1478"/>
        <v>0</v>
      </c>
      <c r="J9" s="17">
        <f t="shared" si="1479"/>
        <v>150594</v>
      </c>
      <c r="K9" s="18">
        <f t="shared" si="1484"/>
        <v>94757.477358769014</v>
      </c>
      <c r="L9" s="19">
        <f t="shared" si="1485"/>
        <v>0.49802000000000002</v>
      </c>
      <c r="M9" s="34">
        <v>0</v>
      </c>
      <c r="N9" s="58">
        <v>0</v>
      </c>
      <c r="O9" s="34">
        <v>176000</v>
      </c>
      <c r="P9" s="34">
        <v>264000</v>
      </c>
      <c r="Q9" s="34">
        <v>0</v>
      </c>
      <c r="R9" s="34">
        <f t="shared" si="1480"/>
        <v>440000</v>
      </c>
      <c r="S9" s="35">
        <f t="shared" si="1481"/>
        <v>589406</v>
      </c>
      <c r="T9" s="35">
        <f t="shared" si="1482"/>
        <v>289406</v>
      </c>
      <c r="U9" s="19">
        <f t="shared" si="1483"/>
        <v>1.9646866666666667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477"/>
        <v>299629.4445543653</v>
      </c>
      <c r="F10" s="44">
        <v>85607</v>
      </c>
      <c r="G10" s="13">
        <v>310946</v>
      </c>
      <c r="H10" s="44">
        <v>0</v>
      </c>
      <c r="I10" s="16">
        <f t="shared" si="1478"/>
        <v>85607</v>
      </c>
      <c r="J10" s="17">
        <f t="shared" si="1479"/>
        <v>24387</v>
      </c>
      <c r="K10" s="18">
        <f t="shared" si="1484"/>
        <v>277838.97578347992</v>
      </c>
      <c r="L10" s="19">
        <f t="shared" si="1485"/>
        <v>0.92727527562154632</v>
      </c>
      <c r="M10" s="34">
        <v>0</v>
      </c>
      <c r="N10" s="58">
        <v>0</v>
      </c>
      <c r="O10" s="34">
        <v>44000</v>
      </c>
      <c r="P10" s="34">
        <v>528000</v>
      </c>
      <c r="Q10" s="34">
        <v>0</v>
      </c>
      <c r="R10" s="34">
        <f t="shared" si="1480"/>
        <v>572000</v>
      </c>
      <c r="S10" s="35">
        <f t="shared" si="1481"/>
        <v>968553</v>
      </c>
      <c r="T10" s="35">
        <f t="shared" si="1482"/>
        <v>633220</v>
      </c>
      <c r="U10" s="19">
        <f t="shared" si="1483"/>
        <v>2.8883318969501959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77"/>
        <v>0</v>
      </c>
      <c r="F11" s="13">
        <v>0</v>
      </c>
      <c r="G11" s="13">
        <v>0</v>
      </c>
      <c r="H11" s="13">
        <v>0</v>
      </c>
      <c r="I11" s="16">
        <f t="shared" si="1478"/>
        <v>0</v>
      </c>
      <c r="J11" s="17">
        <f t="shared" si="1479"/>
        <v>0</v>
      </c>
      <c r="K11" s="18">
        <f t="shared" si="1484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80"/>
        <v>0</v>
      </c>
      <c r="S11" s="35">
        <f t="shared" si="1481"/>
        <v>0</v>
      </c>
      <c r="T11" s="35">
        <f t="shared" si="1482"/>
        <v>0</v>
      </c>
      <c r="U11" s="19" t="e">
        <f t="shared" si="1483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77"/>
        <v>494208.76746118831</v>
      </c>
      <c r="F12" s="13">
        <v>65436</v>
      </c>
      <c r="G12" s="13">
        <v>84450</v>
      </c>
      <c r="H12" s="13">
        <v>0</v>
      </c>
      <c r="I12" s="16">
        <f t="shared" si="1478"/>
        <v>65436</v>
      </c>
      <c r="J12" s="17">
        <f t="shared" si="1479"/>
        <v>21138</v>
      </c>
      <c r="K12" s="18">
        <f t="shared" si="1484"/>
        <v>395271.53097035037</v>
      </c>
      <c r="L12" s="19">
        <v>0</v>
      </c>
      <c r="M12" s="34"/>
      <c r="N12" s="58">
        <v>0</v>
      </c>
      <c r="O12" s="34">
        <v>42000</v>
      </c>
      <c r="P12" s="34">
        <v>0</v>
      </c>
      <c r="Q12" s="34">
        <v>0</v>
      </c>
      <c r="R12" s="34">
        <f t="shared" si="1480"/>
        <v>42000</v>
      </c>
      <c r="S12" s="35">
        <f t="shared" si="1481"/>
        <v>191886</v>
      </c>
      <c r="T12" s="35">
        <f t="shared" si="1482"/>
        <v>86298</v>
      </c>
      <c r="U12" s="19">
        <f t="shared" si="1483"/>
        <v>1.8173087850892147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77"/>
        <v>245445.56</v>
      </c>
      <c r="F13" s="13">
        <v>12105</v>
      </c>
      <c r="G13" s="13">
        <v>26492</v>
      </c>
      <c r="H13" s="13">
        <v>0</v>
      </c>
      <c r="I13" s="16">
        <f t="shared" si="1478"/>
        <v>12105</v>
      </c>
      <c r="J13" s="17">
        <f t="shared" si="1479"/>
        <v>14</v>
      </c>
      <c r="K13" s="18">
        <f t="shared" si="1484"/>
        <v>245315.91999999998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80"/>
        <v>0</v>
      </c>
      <c r="S13" s="35">
        <f t="shared" si="1481"/>
        <v>38597</v>
      </c>
      <c r="T13" s="35">
        <f t="shared" si="1482"/>
        <v>12091</v>
      </c>
      <c r="U13" s="19">
        <f t="shared" si="1483"/>
        <v>1.4561608692371539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77"/>
        <v>63385.585358015262</v>
      </c>
      <c r="F14" s="13">
        <v>7077</v>
      </c>
      <c r="G14" s="13">
        <v>0</v>
      </c>
      <c r="H14" s="13">
        <v>0</v>
      </c>
      <c r="I14" s="16">
        <f t="shared" si="1478"/>
        <v>7077</v>
      </c>
      <c r="J14" s="17">
        <f t="shared" si="1479"/>
        <v>7091</v>
      </c>
      <c r="K14" s="18">
        <f t="shared" si="1484"/>
        <v>0</v>
      </c>
      <c r="L14" s="19">
        <v>0</v>
      </c>
      <c r="M14" s="34">
        <v>0</v>
      </c>
      <c r="N14" s="34">
        <v>0</v>
      </c>
      <c r="O14" s="34">
        <v>7000</v>
      </c>
      <c r="P14" s="34">
        <v>0</v>
      </c>
      <c r="Q14" s="34">
        <v>0</v>
      </c>
      <c r="R14" s="34">
        <f t="shared" si="1480"/>
        <v>7000</v>
      </c>
      <c r="S14" s="35">
        <f t="shared" si="1481"/>
        <v>14077</v>
      </c>
      <c r="T14" s="35">
        <f t="shared" si="1482"/>
        <v>6986</v>
      </c>
      <c r="U14" s="19">
        <f t="shared" si="1483"/>
        <v>1.9851924975320829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77"/>
        <v>0</v>
      </c>
      <c r="F15" s="13">
        <v>0</v>
      </c>
      <c r="G15" s="33">
        <v>0</v>
      </c>
      <c r="H15" s="13">
        <v>0</v>
      </c>
      <c r="I15" s="16">
        <f t="shared" si="1478"/>
        <v>0</v>
      </c>
      <c r="J15" s="17">
        <f t="shared" si="1479"/>
        <v>0</v>
      </c>
      <c r="K15" s="18">
        <f t="shared" si="1484"/>
        <v>0</v>
      </c>
      <c r="L15" s="19" t="e">
        <f t="shared" ref="L15:L20" si="1486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80"/>
        <v>0</v>
      </c>
      <c r="S15" s="35">
        <f t="shared" si="1481"/>
        <v>0</v>
      </c>
      <c r="T15" s="35">
        <f t="shared" si="1482"/>
        <v>0</v>
      </c>
      <c r="U15" s="19" t="e">
        <f t="shared" si="1483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77"/>
        <v>0</v>
      </c>
      <c r="F16" s="13">
        <v>0</v>
      </c>
      <c r="G16" s="33">
        <v>0</v>
      </c>
      <c r="H16" s="13">
        <v>0</v>
      </c>
      <c r="I16" s="16">
        <f t="shared" si="1478"/>
        <v>0</v>
      </c>
      <c r="J16" s="17">
        <f t="shared" si="1479"/>
        <v>0</v>
      </c>
      <c r="K16" s="18">
        <f t="shared" si="1484"/>
        <v>0</v>
      </c>
      <c r="L16" s="19" t="e">
        <f t="shared" si="1486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80"/>
        <v>0</v>
      </c>
      <c r="S16" s="35">
        <f t="shared" si="1481"/>
        <v>0</v>
      </c>
      <c r="T16" s="35">
        <f t="shared" si="1482"/>
        <v>0</v>
      </c>
      <c r="U16" s="19" t="e">
        <f t="shared" si="1483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77"/>
        <v>0</v>
      </c>
      <c r="F17" s="13">
        <v>0</v>
      </c>
      <c r="G17" s="33">
        <v>0</v>
      </c>
      <c r="H17" s="13">
        <v>0</v>
      </c>
      <c r="I17" s="16">
        <f t="shared" si="1478"/>
        <v>0</v>
      </c>
      <c r="J17" s="17">
        <f t="shared" si="1479"/>
        <v>0</v>
      </c>
      <c r="K17" s="18">
        <f t="shared" si="1484"/>
        <v>0</v>
      </c>
      <c r="L17" s="19" t="e">
        <f t="shared" si="1486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80"/>
        <v>0</v>
      </c>
      <c r="S17" s="35">
        <f t="shared" si="1481"/>
        <v>0</v>
      </c>
      <c r="T17" s="35">
        <f t="shared" si="1482"/>
        <v>0</v>
      </c>
      <c r="U17" s="19" t="e">
        <f t="shared" si="1483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77"/>
        <v>565975.79037586995</v>
      </c>
      <c r="F18" s="13">
        <v>290545</v>
      </c>
      <c r="G18" s="13">
        <v>292307</v>
      </c>
      <c r="H18" s="13">
        <v>0</v>
      </c>
      <c r="I18" s="16">
        <f t="shared" si="1478"/>
        <v>290545</v>
      </c>
      <c r="J18" s="17">
        <f t="shared" si="1479"/>
        <v>142078.5</v>
      </c>
      <c r="K18" s="18">
        <f t="shared" si="1484"/>
        <v>380856.83190944319</v>
      </c>
      <c r="L18" s="19">
        <f t="shared" si="1486"/>
        <v>0.67292071213242621</v>
      </c>
      <c r="M18" s="34">
        <v>0</v>
      </c>
      <c r="N18" s="58">
        <v>290000</v>
      </c>
      <c r="O18" s="34">
        <v>0</v>
      </c>
      <c r="P18" s="34">
        <v>0</v>
      </c>
      <c r="Q18" s="34">
        <v>0</v>
      </c>
      <c r="R18" s="34">
        <f t="shared" si="1480"/>
        <v>290000</v>
      </c>
      <c r="S18" s="35">
        <f t="shared" si="1481"/>
        <v>872852</v>
      </c>
      <c r="T18" s="35">
        <f t="shared" si="1482"/>
        <v>438466.5</v>
      </c>
      <c r="U18" s="19">
        <f t="shared" si="1483"/>
        <v>2.009394880814392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8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487">M19+N19+O19+P19+Q19</f>
        <v>0</v>
      </c>
      <c r="S19" s="35">
        <f t="shared" ref="S19:S20" si="1488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489">SUM(E3:E19)</f>
        <v>5286837.1464331709</v>
      </c>
      <c r="F20" s="24">
        <f t="shared" si="1489"/>
        <v>805121</v>
      </c>
      <c r="G20" s="24">
        <f t="shared" si="1489"/>
        <v>2179998</v>
      </c>
      <c r="H20" s="24">
        <f t="shared" si="1489"/>
        <v>23933</v>
      </c>
      <c r="I20" s="25">
        <f t="shared" si="1489"/>
        <v>829054</v>
      </c>
      <c r="J20" s="26">
        <f t="shared" si="1489"/>
        <v>858540.5</v>
      </c>
      <c r="K20" s="26">
        <f t="shared" si="1489"/>
        <v>3771739.1104923757</v>
      </c>
      <c r="L20" s="27">
        <f t="shared" si="1486"/>
        <v>0.71342070996777829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f t="shared" si="1487"/>
        <v>1</v>
      </c>
      <c r="S20" s="35">
        <f t="shared" si="1488"/>
        <v>3009053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80003F-0079-4ABF-BCB9-002100B000B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8" operator="lessThan" id="{002D00B1-00D5-490A-AB1D-0089002C00F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7" operator="between" id="{005A00B2-00AA-4FCB-900B-0050001D00F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L3:L20 U3:U19</xm:sqref>
        </x14:conditionalFormatting>
        <x14:conditionalFormatting xmlns:xm="http://schemas.microsoft.com/office/excel/2006/main">
          <x14:cfRule type="cellIs" priority="6" operator="greaterThan" id="{00D300DC-0016-471C-B674-00B700F6002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750006-008B-4D76-9BB9-004C00FD00C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5800EF-0057-4164-AF2D-00A6008F00B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190099-0073-4EE9-9154-00C1003F007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2D005A-00EF-4767-9C8E-00130051006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E900D7-00B9-4532-B06E-00B300A600E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26" activeCellId="0" sqref="I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235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490">C3*D3</f>
        <v>1142706.2615954725</v>
      </c>
      <c r="F3" s="13">
        <v>73876</v>
      </c>
      <c r="G3" s="44">
        <v>221490</v>
      </c>
      <c r="H3" s="13">
        <v>111454</v>
      </c>
      <c r="I3" s="16">
        <f t="shared" ref="I3:I18" si="1491">F3+H3</f>
        <v>185330</v>
      </c>
      <c r="J3" s="17">
        <f t="shared" ref="J3:J18" si="1492">C3-G3</f>
        <v>173585</v>
      </c>
      <c r="K3" s="18">
        <f>+G3*D3</f>
        <v>640632.81625205651</v>
      </c>
      <c r="L3" s="19">
        <f>K3/E3</f>
        <v>0.56062772891223189</v>
      </c>
      <c r="M3" s="34">
        <v>0</v>
      </c>
      <c r="N3" s="58">
        <v>0</v>
      </c>
      <c r="O3" s="34">
        <v>0</v>
      </c>
      <c r="P3" s="34">
        <v>111000</v>
      </c>
      <c r="Q3" s="34">
        <v>0</v>
      </c>
      <c r="R3" s="34">
        <f t="shared" ref="R3:R18" si="1493">M3+N3+O3+P3+Q3</f>
        <v>111000</v>
      </c>
      <c r="S3" s="35">
        <f t="shared" ref="S3:S18" si="1494">G3+I3+R3</f>
        <v>517820</v>
      </c>
      <c r="T3" s="35">
        <f t="shared" ref="T3:T18" si="1495">S3-C3</f>
        <v>122745</v>
      </c>
      <c r="U3" s="19">
        <f t="shared" ref="U3:U18" si="1496">S3/C3</f>
        <v>1.3106878440802379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490"/>
        <v>326534.8923560073</v>
      </c>
      <c r="F4" s="13">
        <v>74518</v>
      </c>
      <c r="G4" s="13">
        <v>210261</v>
      </c>
      <c r="H4" s="13">
        <v>0</v>
      </c>
      <c r="I4" s="16">
        <f t="shared" si="1491"/>
        <v>74518</v>
      </c>
      <c r="J4" s="17">
        <f t="shared" si="1492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493"/>
        <v>0</v>
      </c>
      <c r="S4" s="35">
        <f t="shared" si="1494"/>
        <v>284779</v>
      </c>
      <c r="T4" s="35">
        <f t="shared" si="1495"/>
        <v>74779</v>
      </c>
      <c r="U4" s="19">
        <f t="shared" si="1496"/>
        <v>1.3560904761904762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490"/>
        <v>179349.84618968569</v>
      </c>
      <c r="F5" s="13">
        <v>0</v>
      </c>
      <c r="G5" s="13">
        <v>12677</v>
      </c>
      <c r="H5" s="13">
        <v>0</v>
      </c>
      <c r="I5" s="16">
        <f t="shared" si="1491"/>
        <v>0</v>
      </c>
      <c r="J5" s="17">
        <f t="shared" si="1492"/>
        <v>155202</v>
      </c>
      <c r="K5" s="18">
        <f t="shared" ref="K5:K19" si="1497">+G5*D5</f>
        <v>13543.194801890919</v>
      </c>
      <c r="L5" s="19">
        <f t="shared" ref="L5:L9" si="1498">K5/E5</f>
        <v>0.07551272047129183</v>
      </c>
      <c r="M5" s="34">
        <v>0</v>
      </c>
      <c r="N5" s="58">
        <v>0</v>
      </c>
      <c r="O5" s="34">
        <v>0</v>
      </c>
      <c r="P5" s="73">
        <v>310000</v>
      </c>
      <c r="Q5" s="34">
        <v>0</v>
      </c>
      <c r="R5" s="34">
        <f t="shared" si="1493"/>
        <v>310000</v>
      </c>
      <c r="S5" s="35">
        <f t="shared" si="1494"/>
        <v>322677</v>
      </c>
      <c r="T5" s="35">
        <f t="shared" si="1495"/>
        <v>154798</v>
      </c>
      <c r="U5" s="19">
        <f t="shared" si="1496"/>
        <v>1.9220807843744603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490"/>
        <v>1207818.5514720667</v>
      </c>
      <c r="F6" s="13">
        <v>0</v>
      </c>
      <c r="G6" s="13">
        <v>389516</v>
      </c>
      <c r="H6" s="13">
        <v>0</v>
      </c>
      <c r="I6" s="16">
        <f t="shared" si="1491"/>
        <v>0</v>
      </c>
      <c r="J6" s="17">
        <f t="shared" si="1492"/>
        <v>167165</v>
      </c>
      <c r="K6" s="18">
        <f t="shared" si="1497"/>
        <v>845124.31876639137</v>
      </c>
      <c r="L6" s="19">
        <f t="shared" si="1498"/>
        <v>0.69971132479822373</v>
      </c>
      <c r="M6" s="34">
        <v>0</v>
      </c>
      <c r="N6" s="58">
        <v>0</v>
      </c>
      <c r="O6" s="34">
        <v>0</v>
      </c>
      <c r="P6" s="34">
        <v>39000</v>
      </c>
      <c r="Q6" s="34">
        <v>0</v>
      </c>
      <c r="R6" s="34">
        <f t="shared" si="1493"/>
        <v>39000</v>
      </c>
      <c r="S6" s="35">
        <f t="shared" si="1494"/>
        <v>428516</v>
      </c>
      <c r="T6" s="35">
        <f t="shared" si="1495"/>
        <v>-128165</v>
      </c>
      <c r="U6" s="19">
        <f t="shared" si="1496"/>
        <v>0.76976940114715608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490"/>
        <v>0</v>
      </c>
      <c r="F7" s="13">
        <v>0</v>
      </c>
      <c r="G7" s="13">
        <v>0</v>
      </c>
      <c r="H7" s="13">
        <v>0</v>
      </c>
      <c r="I7" s="16">
        <f t="shared" si="1491"/>
        <v>0</v>
      </c>
      <c r="J7" s="17">
        <f t="shared" si="1492"/>
        <v>0</v>
      </c>
      <c r="K7" s="18">
        <f t="shared" si="1497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493"/>
        <v>0</v>
      </c>
      <c r="S7" s="35">
        <f t="shared" si="1494"/>
        <v>0</v>
      </c>
      <c r="T7" s="35">
        <f t="shared" si="1495"/>
        <v>0</v>
      </c>
      <c r="U7" s="19" t="e">
        <f t="shared" si="1496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490"/>
        <v>571514.02941906289</v>
      </c>
      <c r="F8" s="13">
        <v>189967</v>
      </c>
      <c r="G8" s="44">
        <v>506386</v>
      </c>
      <c r="H8" s="44">
        <v>0</v>
      </c>
      <c r="I8" s="16">
        <f t="shared" si="1491"/>
        <v>189967</v>
      </c>
      <c r="J8" s="17">
        <f t="shared" si="1492"/>
        <v>-6386</v>
      </c>
      <c r="K8" s="18">
        <f t="shared" si="1497"/>
        <v>578813.40660280315</v>
      </c>
      <c r="L8" s="19">
        <f t="shared" si="1498"/>
        <v>1.012772</v>
      </c>
      <c r="M8" s="34">
        <v>0</v>
      </c>
      <c r="N8" s="58">
        <v>0</v>
      </c>
      <c r="O8" s="34">
        <v>0</v>
      </c>
      <c r="P8" s="34">
        <v>157000</v>
      </c>
      <c r="Q8" s="34">
        <v>0</v>
      </c>
      <c r="R8" s="34">
        <f t="shared" si="1493"/>
        <v>157000</v>
      </c>
      <c r="S8" s="35">
        <f t="shared" si="1494"/>
        <v>853353</v>
      </c>
      <c r="T8" s="35">
        <f t="shared" si="1495"/>
        <v>353353</v>
      </c>
      <c r="U8" s="19">
        <f t="shared" si="1496"/>
        <v>1.7067060000000001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490"/>
        <v>190268.41765143772</v>
      </c>
      <c r="F9" s="13">
        <v>0</v>
      </c>
      <c r="G9" s="44">
        <v>149406</v>
      </c>
      <c r="H9" s="13">
        <v>0</v>
      </c>
      <c r="I9" s="16">
        <f t="shared" si="1491"/>
        <v>0</v>
      </c>
      <c r="J9" s="17">
        <f t="shared" si="1492"/>
        <v>150594</v>
      </c>
      <c r="K9" s="18">
        <f t="shared" si="1497"/>
        <v>94757.477358769014</v>
      </c>
      <c r="L9" s="19">
        <f t="shared" si="1498"/>
        <v>0.49802000000000002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493"/>
        <v>0</v>
      </c>
      <c r="S9" s="35">
        <f t="shared" si="1494"/>
        <v>149406</v>
      </c>
      <c r="T9" s="35">
        <f t="shared" si="1495"/>
        <v>-150594</v>
      </c>
      <c r="U9" s="19">
        <f t="shared" si="1496"/>
        <v>0.49802000000000002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490"/>
        <v>299629.4445543653</v>
      </c>
      <c r="F10" s="44">
        <v>46553</v>
      </c>
      <c r="G10" s="13">
        <v>310946</v>
      </c>
      <c r="H10" s="44">
        <v>39054</v>
      </c>
      <c r="I10" s="16">
        <f t="shared" si="1491"/>
        <v>85607</v>
      </c>
      <c r="J10" s="17">
        <f t="shared" si="1492"/>
        <v>24387</v>
      </c>
      <c r="K10" s="18">
        <f t="shared" si="1497"/>
        <v>277838.97578347992</v>
      </c>
      <c r="L10" s="19">
        <f>K10/E10</f>
        <v>0.92727527562154632</v>
      </c>
      <c r="M10" s="34">
        <v>0</v>
      </c>
      <c r="N10" s="58">
        <v>0</v>
      </c>
      <c r="O10" s="34">
        <v>0</v>
      </c>
      <c r="P10" s="34">
        <v>528000</v>
      </c>
      <c r="Q10" s="34">
        <v>0</v>
      </c>
      <c r="R10" s="34">
        <f t="shared" si="1493"/>
        <v>528000</v>
      </c>
      <c r="S10" s="35">
        <f t="shared" si="1494"/>
        <v>924553</v>
      </c>
      <c r="T10" s="35">
        <f t="shared" si="1495"/>
        <v>589220</v>
      </c>
      <c r="U10" s="19">
        <f t="shared" si="1496"/>
        <v>2.7571190428618717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490"/>
        <v>0</v>
      </c>
      <c r="F11" s="13">
        <v>0</v>
      </c>
      <c r="G11" s="13">
        <v>0</v>
      </c>
      <c r="H11" s="13">
        <v>0</v>
      </c>
      <c r="I11" s="16">
        <f t="shared" si="1491"/>
        <v>0</v>
      </c>
      <c r="J11" s="17">
        <f t="shared" si="1492"/>
        <v>0</v>
      </c>
      <c r="K11" s="18">
        <f t="shared" si="1497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493"/>
        <v>0</v>
      </c>
      <c r="S11" s="35">
        <f t="shared" si="1494"/>
        <v>0</v>
      </c>
      <c r="T11" s="35">
        <f t="shared" si="1495"/>
        <v>0</v>
      </c>
      <c r="U11" s="19" t="e">
        <f t="shared" si="1496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490"/>
        <v>494208.76746118831</v>
      </c>
      <c r="F12" s="13">
        <v>23332</v>
      </c>
      <c r="G12" s="13">
        <v>126554</v>
      </c>
      <c r="H12" s="13">
        <v>0</v>
      </c>
      <c r="I12" s="16">
        <f t="shared" si="1491"/>
        <v>23332</v>
      </c>
      <c r="J12" s="17">
        <f>C12-G12</f>
        <v>-20966</v>
      </c>
      <c r="K12" s="18">
        <f t="shared" si="1497"/>
        <v>592340.95121872972</v>
      </c>
      <c r="L12" s="19"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493"/>
        <v>0</v>
      </c>
      <c r="S12" s="35">
        <f t="shared" si="1494"/>
        <v>149886</v>
      </c>
      <c r="T12" s="35">
        <f t="shared" si="1495"/>
        <v>44298</v>
      </c>
      <c r="U12" s="19">
        <f t="shared" si="1496"/>
        <v>1.4195363109444255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490"/>
        <v>245445.56</v>
      </c>
      <c r="F13" s="13">
        <v>12105</v>
      </c>
      <c r="G13" s="13">
        <v>26492</v>
      </c>
      <c r="H13" s="13">
        <v>0</v>
      </c>
      <c r="I13" s="16">
        <f t="shared" si="1491"/>
        <v>12105</v>
      </c>
      <c r="J13" s="17">
        <f t="shared" si="1492"/>
        <v>14</v>
      </c>
      <c r="K13" s="18">
        <f t="shared" si="1497"/>
        <v>245315.91999999998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493"/>
        <v>0</v>
      </c>
      <c r="S13" s="35">
        <f t="shared" si="1494"/>
        <v>38597</v>
      </c>
      <c r="T13" s="35">
        <f t="shared" si="1495"/>
        <v>12091</v>
      </c>
      <c r="U13" s="19">
        <f t="shared" si="1496"/>
        <v>1.4561608692371539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490"/>
        <v>63385.585358015262</v>
      </c>
      <c r="F14" s="13">
        <v>0</v>
      </c>
      <c r="G14" s="13">
        <v>7077</v>
      </c>
      <c r="H14" s="13">
        <v>0</v>
      </c>
      <c r="I14" s="16">
        <f t="shared" si="1491"/>
        <v>0</v>
      </c>
      <c r="J14" s="17">
        <f t="shared" si="1492"/>
        <v>14</v>
      </c>
      <c r="K14" s="18">
        <f t="shared" si="1497"/>
        <v>63260.441063132705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493"/>
        <v>0</v>
      </c>
      <c r="S14" s="35">
        <f t="shared" si="1494"/>
        <v>7077</v>
      </c>
      <c r="T14" s="35">
        <f t="shared" si="1495"/>
        <v>-14</v>
      </c>
      <c r="U14" s="19">
        <f t="shared" si="1496"/>
        <v>0.99802566633761103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490"/>
        <v>0</v>
      </c>
      <c r="F15" s="13">
        <v>0</v>
      </c>
      <c r="G15" s="33">
        <v>0</v>
      </c>
      <c r="H15" s="13">
        <v>0</v>
      </c>
      <c r="I15" s="16">
        <f t="shared" si="1491"/>
        <v>0</v>
      </c>
      <c r="J15" s="17">
        <f t="shared" si="1492"/>
        <v>0</v>
      </c>
      <c r="K15" s="18">
        <f t="shared" si="1497"/>
        <v>0</v>
      </c>
      <c r="L15" s="19" t="e">
        <f t="shared" ref="L15:L20" si="1499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493"/>
        <v>0</v>
      </c>
      <c r="S15" s="35">
        <f t="shared" si="1494"/>
        <v>0</v>
      </c>
      <c r="T15" s="35">
        <f t="shared" si="1495"/>
        <v>0</v>
      </c>
      <c r="U15" s="19" t="e">
        <f t="shared" si="1496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490"/>
        <v>0</v>
      </c>
      <c r="F16" s="13">
        <v>0</v>
      </c>
      <c r="G16" s="33">
        <v>0</v>
      </c>
      <c r="H16" s="13">
        <v>0</v>
      </c>
      <c r="I16" s="16">
        <f t="shared" si="1491"/>
        <v>0</v>
      </c>
      <c r="J16" s="17">
        <f t="shared" si="1492"/>
        <v>0</v>
      </c>
      <c r="K16" s="18">
        <f t="shared" si="1497"/>
        <v>0</v>
      </c>
      <c r="L16" s="19" t="e">
        <f t="shared" si="1499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493"/>
        <v>0</v>
      </c>
      <c r="S16" s="35">
        <f t="shared" si="1494"/>
        <v>0</v>
      </c>
      <c r="T16" s="35">
        <f t="shared" si="1495"/>
        <v>0</v>
      </c>
      <c r="U16" s="19" t="e">
        <f t="shared" si="1496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490"/>
        <v>0</v>
      </c>
      <c r="F17" s="13">
        <v>0</v>
      </c>
      <c r="G17" s="33">
        <v>0</v>
      </c>
      <c r="H17" s="13">
        <v>0</v>
      </c>
      <c r="I17" s="16">
        <f t="shared" si="1491"/>
        <v>0</v>
      </c>
      <c r="J17" s="17">
        <f t="shared" si="1492"/>
        <v>0</v>
      </c>
      <c r="K17" s="18">
        <f t="shared" si="1497"/>
        <v>0</v>
      </c>
      <c r="L17" s="19" t="e">
        <f t="shared" si="1499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493"/>
        <v>0</v>
      </c>
      <c r="S17" s="35">
        <f t="shared" si="1494"/>
        <v>0</v>
      </c>
      <c r="T17" s="35">
        <f t="shared" si="1495"/>
        <v>0</v>
      </c>
      <c r="U17" s="19" t="e">
        <f t="shared" si="1496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490"/>
        <v>565975.79037586995</v>
      </c>
      <c r="F18" s="13">
        <v>222136</v>
      </c>
      <c r="G18" s="13">
        <v>360716</v>
      </c>
      <c r="H18" s="13">
        <v>0</v>
      </c>
      <c r="I18" s="16">
        <f t="shared" si="1491"/>
        <v>222136</v>
      </c>
      <c r="J18" s="17">
        <f t="shared" si="1492"/>
        <v>73669.5</v>
      </c>
      <c r="K18" s="18">
        <f t="shared" si="1497"/>
        <v>469989.26806079462</v>
      </c>
      <c r="L18" s="19">
        <f t="shared" si="1499"/>
        <v>0.83040525063566806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493"/>
        <v>0</v>
      </c>
      <c r="S18" s="35">
        <f t="shared" si="1494"/>
        <v>582852</v>
      </c>
      <c r="T18" s="35">
        <f t="shared" si="1495"/>
        <v>148466.5</v>
      </c>
      <c r="U18" s="19">
        <f t="shared" si="1496"/>
        <v>1.3417851194388395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497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00">M19+N19+O19+P19+Q19</f>
        <v>0</v>
      </c>
      <c r="S19" s="35">
        <f t="shared" ref="S19:S20" si="1501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502">SUM(E3:E19)</f>
        <v>5286837.1464331709</v>
      </c>
      <c r="F20" s="24">
        <f t="shared" si="1502"/>
        <v>642487</v>
      </c>
      <c r="G20" s="24">
        <f t="shared" si="1502"/>
        <v>2321521</v>
      </c>
      <c r="H20" s="24">
        <f t="shared" si="1502"/>
        <v>150508</v>
      </c>
      <c r="I20" s="25">
        <f t="shared" si="1502"/>
        <v>792995</v>
      </c>
      <c r="J20" s="26">
        <f t="shared" si="1502"/>
        <v>717017.5</v>
      </c>
      <c r="K20" s="26">
        <f t="shared" si="1502"/>
        <v>4148557.498487412</v>
      </c>
      <c r="L20" s="27">
        <f t="shared" si="1499"/>
        <v>0.7846955341316475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00"/>
        <v>0</v>
      </c>
      <c r="S20" s="35">
        <f t="shared" si="1501"/>
        <v>3114516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490005-009B-47D4-A52A-00AB007D004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A400DD-0022-483A-9445-008800C700D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CC0007-0085-4CE0-87D5-002B00F0007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BD0047-0006-4B74-85A9-002F00BB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6800A1-006F-4A8D-83A6-006A00F2008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BF0015-0009-474C-AFC9-002C002A003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F100A6-00A0-4CC5-A96C-0099004000F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5F008D-0095-49DB-911A-004E00D5005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9D007D-0059-4466-AD6D-00B800F7008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12" activeCellId="0" sqref="I12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236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503">C3*D3</f>
        <v>1142706.2615954725</v>
      </c>
      <c r="F3" s="13">
        <v>0</v>
      </c>
      <c r="G3" s="44">
        <v>332944</v>
      </c>
      <c r="H3" s="13">
        <v>73876</v>
      </c>
      <c r="I3" s="16">
        <f t="shared" ref="I3:I18" si="1504">F3+H3</f>
        <v>73876</v>
      </c>
      <c r="J3" s="17">
        <f t="shared" ref="J3:J18" si="1505">C3-G3</f>
        <v>62131</v>
      </c>
      <c r="K3" s="18">
        <f>+G3*D3</f>
        <v>962999.92042180093</v>
      </c>
      <c r="L3" s="19">
        <f>K3/E3</f>
        <v>0.8427361893311397</v>
      </c>
      <c r="M3" s="34">
        <v>0</v>
      </c>
      <c r="N3" s="58">
        <v>0</v>
      </c>
      <c r="O3" s="34">
        <v>0</v>
      </c>
      <c r="P3" s="34">
        <v>111000</v>
      </c>
      <c r="Q3" s="34">
        <v>0</v>
      </c>
      <c r="R3" s="34">
        <f t="shared" ref="R3:R18" si="1506">M3+N3+O3+P3+Q3</f>
        <v>111000</v>
      </c>
      <c r="S3" s="35">
        <f t="shared" ref="S3:S18" si="1507">G3+I3+R3</f>
        <v>517820</v>
      </c>
      <c r="T3" s="35">
        <f t="shared" ref="T3:T18" si="1508">S3-C3</f>
        <v>122745</v>
      </c>
      <c r="U3" s="19">
        <f t="shared" ref="U3:U18" si="1509">S3/C3</f>
        <v>1.3106878440802379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503"/>
        <v>326534.8923560073</v>
      </c>
      <c r="F4" s="13">
        <v>74518</v>
      </c>
      <c r="G4" s="13">
        <v>210261</v>
      </c>
      <c r="H4" s="13">
        <v>0</v>
      </c>
      <c r="I4" s="16">
        <f t="shared" si="1504"/>
        <v>74518</v>
      </c>
      <c r="J4" s="17">
        <f t="shared" si="1505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506"/>
        <v>0</v>
      </c>
      <c r="S4" s="35">
        <f t="shared" si="1507"/>
        <v>284779</v>
      </c>
      <c r="T4" s="35">
        <f t="shared" si="1508"/>
        <v>74779</v>
      </c>
      <c r="U4" s="19">
        <f t="shared" si="1509"/>
        <v>1.3560904761904762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503"/>
        <v>179349.84618968569</v>
      </c>
      <c r="F5" s="13">
        <v>0</v>
      </c>
      <c r="G5" s="13">
        <v>12677</v>
      </c>
      <c r="H5" s="13">
        <v>0</v>
      </c>
      <c r="I5" s="16">
        <f t="shared" si="1504"/>
        <v>0</v>
      </c>
      <c r="J5" s="17">
        <f t="shared" si="1505"/>
        <v>155202</v>
      </c>
      <c r="K5" s="18">
        <f t="shared" ref="K5:K19" si="1510">+G5*D5</f>
        <v>13543.194801890919</v>
      </c>
      <c r="L5" s="19">
        <f t="shared" ref="L5:L9" si="1511">K5/E5</f>
        <v>0.07551272047129183</v>
      </c>
      <c r="M5" s="34">
        <v>0</v>
      </c>
      <c r="N5" s="58">
        <v>0</v>
      </c>
      <c r="O5" s="34">
        <v>0</v>
      </c>
      <c r="P5" s="73">
        <v>310000</v>
      </c>
      <c r="Q5" s="34">
        <v>0</v>
      </c>
      <c r="R5" s="34">
        <f t="shared" si="1506"/>
        <v>310000</v>
      </c>
      <c r="S5" s="35">
        <f t="shared" si="1507"/>
        <v>322677</v>
      </c>
      <c r="T5" s="35">
        <f t="shared" si="1508"/>
        <v>154798</v>
      </c>
      <c r="U5" s="19">
        <f t="shared" si="1509"/>
        <v>1.9220807843744603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503"/>
        <v>1207818.5514720667</v>
      </c>
      <c r="F6" s="13">
        <v>0</v>
      </c>
      <c r="G6" s="13">
        <v>389516</v>
      </c>
      <c r="H6" s="13">
        <v>0</v>
      </c>
      <c r="I6" s="16">
        <f t="shared" si="1504"/>
        <v>0</v>
      </c>
      <c r="J6" s="17">
        <f t="shared" si="1505"/>
        <v>167165</v>
      </c>
      <c r="K6" s="18">
        <f t="shared" si="1510"/>
        <v>845124.31876639137</v>
      </c>
      <c r="L6" s="19">
        <f t="shared" si="1511"/>
        <v>0.69971132479822373</v>
      </c>
      <c r="M6" s="34">
        <v>0</v>
      </c>
      <c r="N6" s="58">
        <v>0</v>
      </c>
      <c r="O6" s="34">
        <v>0</v>
      </c>
      <c r="P6" s="34">
        <v>39000</v>
      </c>
      <c r="Q6" s="34">
        <v>0</v>
      </c>
      <c r="R6" s="34">
        <f t="shared" si="1506"/>
        <v>39000</v>
      </c>
      <c r="S6" s="35">
        <f t="shared" si="1507"/>
        <v>428516</v>
      </c>
      <c r="T6" s="35">
        <f t="shared" si="1508"/>
        <v>-128165</v>
      </c>
      <c r="U6" s="19">
        <f t="shared" si="1509"/>
        <v>0.76976940114715608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03"/>
        <v>0</v>
      </c>
      <c r="F7" s="13">
        <v>0</v>
      </c>
      <c r="G7" s="13">
        <v>0</v>
      </c>
      <c r="H7" s="13">
        <v>0</v>
      </c>
      <c r="I7" s="16">
        <f t="shared" si="1504"/>
        <v>0</v>
      </c>
      <c r="J7" s="17">
        <f t="shared" si="1505"/>
        <v>0</v>
      </c>
      <c r="K7" s="18">
        <f t="shared" si="1510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06"/>
        <v>0</v>
      </c>
      <c r="S7" s="35">
        <f t="shared" si="1507"/>
        <v>0</v>
      </c>
      <c r="T7" s="35">
        <f t="shared" si="1508"/>
        <v>0</v>
      </c>
      <c r="U7" s="19" t="e">
        <f t="shared" si="1509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503"/>
        <v>571514.02941906289</v>
      </c>
      <c r="F8" s="13">
        <v>189967</v>
      </c>
      <c r="G8" s="44">
        <v>506386</v>
      </c>
      <c r="H8" s="44">
        <v>0</v>
      </c>
      <c r="I8" s="16">
        <f t="shared" si="1504"/>
        <v>189967</v>
      </c>
      <c r="J8" s="17">
        <f t="shared" si="1505"/>
        <v>-6386</v>
      </c>
      <c r="K8" s="18">
        <f t="shared" si="1510"/>
        <v>578813.40660280315</v>
      </c>
      <c r="L8" s="19">
        <f t="shared" si="1511"/>
        <v>1.012772</v>
      </c>
      <c r="M8" s="34">
        <v>0</v>
      </c>
      <c r="N8" s="58">
        <v>0</v>
      </c>
      <c r="O8" s="34">
        <v>0</v>
      </c>
      <c r="P8" s="34">
        <v>157000</v>
      </c>
      <c r="Q8" s="34">
        <v>0</v>
      </c>
      <c r="R8" s="34">
        <f t="shared" si="1506"/>
        <v>157000</v>
      </c>
      <c r="S8" s="35">
        <f t="shared" si="1507"/>
        <v>853353</v>
      </c>
      <c r="T8" s="35">
        <f t="shared" si="1508"/>
        <v>353353</v>
      </c>
      <c r="U8" s="19">
        <f t="shared" si="1509"/>
        <v>1.7067060000000001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503"/>
        <v>190268.41765143772</v>
      </c>
      <c r="F9" s="13">
        <v>0</v>
      </c>
      <c r="G9" s="44">
        <v>149406</v>
      </c>
      <c r="H9" s="13">
        <v>0</v>
      </c>
      <c r="I9" s="16">
        <f t="shared" si="1504"/>
        <v>0</v>
      </c>
      <c r="J9" s="17">
        <f t="shared" si="1505"/>
        <v>150594</v>
      </c>
      <c r="K9" s="18">
        <f t="shared" si="1510"/>
        <v>94757.477358769014</v>
      </c>
      <c r="L9" s="19">
        <f t="shared" si="1511"/>
        <v>0.49802000000000002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506"/>
        <v>0</v>
      </c>
      <c r="S9" s="35">
        <f t="shared" si="1507"/>
        <v>149406</v>
      </c>
      <c r="T9" s="35">
        <f t="shared" si="1508"/>
        <v>-150594</v>
      </c>
      <c r="U9" s="19">
        <f t="shared" si="1509"/>
        <v>0.49802000000000002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503"/>
        <v>299629.4445543653</v>
      </c>
      <c r="F10" s="44">
        <v>266020</v>
      </c>
      <c r="G10" s="13">
        <v>350000</v>
      </c>
      <c r="H10" s="44">
        <v>0</v>
      </c>
      <c r="I10" s="16">
        <f t="shared" si="1504"/>
        <v>266020</v>
      </c>
      <c r="J10" s="17">
        <f t="shared" si="1505"/>
        <v>-14667</v>
      </c>
      <c r="K10" s="18">
        <f t="shared" si="1510"/>
        <v>312734.82059334405</v>
      </c>
      <c r="L10" s="19">
        <f>K10/E10</f>
        <v>1.0437386120662147</v>
      </c>
      <c r="M10" s="34">
        <v>0</v>
      </c>
      <c r="N10" s="58">
        <v>0</v>
      </c>
      <c r="O10" s="34">
        <v>0</v>
      </c>
      <c r="P10" s="34">
        <v>528000</v>
      </c>
      <c r="Q10" s="34">
        <v>0</v>
      </c>
      <c r="R10" s="34">
        <f t="shared" si="1506"/>
        <v>528000</v>
      </c>
      <c r="S10" s="35">
        <f t="shared" si="1507"/>
        <v>1144020</v>
      </c>
      <c r="T10" s="35">
        <f t="shared" si="1508"/>
        <v>808687</v>
      </c>
      <c r="U10" s="19">
        <f t="shared" si="1509"/>
        <v>3.4115938485028314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03"/>
        <v>0</v>
      </c>
      <c r="F11" s="13">
        <v>0</v>
      </c>
      <c r="G11" s="13">
        <v>0</v>
      </c>
      <c r="H11" s="13">
        <v>0</v>
      </c>
      <c r="I11" s="16">
        <f t="shared" si="1504"/>
        <v>0</v>
      </c>
      <c r="J11" s="17">
        <f t="shared" si="1505"/>
        <v>0</v>
      </c>
      <c r="K11" s="18">
        <f t="shared" si="1510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06"/>
        <v>0</v>
      </c>
      <c r="S11" s="35">
        <f t="shared" si="1507"/>
        <v>0</v>
      </c>
      <c r="T11" s="35">
        <f t="shared" si="1508"/>
        <v>0</v>
      </c>
      <c r="U11" s="19" t="e">
        <f t="shared" si="1509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503"/>
        <v>494208.76746118831</v>
      </c>
      <c r="F12" s="13">
        <v>2246</v>
      </c>
      <c r="G12" s="13">
        <v>126554</v>
      </c>
      <c r="H12" s="13">
        <v>21086</v>
      </c>
      <c r="I12" s="16">
        <f t="shared" si="1504"/>
        <v>23332</v>
      </c>
      <c r="J12" s="17">
        <f>C12-G12</f>
        <v>-20966</v>
      </c>
      <c r="K12" s="18">
        <f t="shared" si="1510"/>
        <v>592340.95121872972</v>
      </c>
      <c r="L12" s="19"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06"/>
        <v>0</v>
      </c>
      <c r="S12" s="35">
        <f t="shared" si="1507"/>
        <v>149886</v>
      </c>
      <c r="T12" s="35">
        <f t="shared" si="1508"/>
        <v>44298</v>
      </c>
      <c r="U12" s="19">
        <f t="shared" si="1509"/>
        <v>1.4195363109444255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503"/>
        <v>245445.56</v>
      </c>
      <c r="F13" s="13">
        <v>12105</v>
      </c>
      <c r="G13" s="13">
        <v>26492</v>
      </c>
      <c r="H13" s="13">
        <v>0</v>
      </c>
      <c r="I13" s="16">
        <f t="shared" si="1504"/>
        <v>12105</v>
      </c>
      <c r="J13" s="17">
        <f t="shared" si="1505"/>
        <v>14</v>
      </c>
      <c r="K13" s="18">
        <f t="shared" si="1510"/>
        <v>245315.91999999998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06"/>
        <v>0</v>
      </c>
      <c r="S13" s="35">
        <f t="shared" si="1507"/>
        <v>38597</v>
      </c>
      <c r="T13" s="35">
        <f t="shared" si="1508"/>
        <v>12091</v>
      </c>
      <c r="U13" s="19">
        <f t="shared" si="1509"/>
        <v>1.4561608692371539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503"/>
        <v>63385.585358015262</v>
      </c>
      <c r="F14" s="13">
        <v>0</v>
      </c>
      <c r="G14" s="13">
        <v>7077</v>
      </c>
      <c r="H14" s="13">
        <v>0</v>
      </c>
      <c r="I14" s="16">
        <f t="shared" si="1504"/>
        <v>0</v>
      </c>
      <c r="J14" s="17">
        <f t="shared" si="1505"/>
        <v>14</v>
      </c>
      <c r="K14" s="18">
        <f t="shared" si="1510"/>
        <v>63260.441063132705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06"/>
        <v>0</v>
      </c>
      <c r="S14" s="35">
        <f t="shared" si="1507"/>
        <v>7077</v>
      </c>
      <c r="T14" s="35">
        <f t="shared" si="1508"/>
        <v>-14</v>
      </c>
      <c r="U14" s="19">
        <f t="shared" si="1509"/>
        <v>0.99802566633761103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03"/>
        <v>0</v>
      </c>
      <c r="F15" s="13">
        <v>0</v>
      </c>
      <c r="G15" s="33">
        <v>0</v>
      </c>
      <c r="H15" s="13">
        <v>0</v>
      </c>
      <c r="I15" s="16">
        <f t="shared" si="1504"/>
        <v>0</v>
      </c>
      <c r="J15" s="17">
        <f t="shared" si="1505"/>
        <v>0</v>
      </c>
      <c r="K15" s="18">
        <f t="shared" si="1510"/>
        <v>0</v>
      </c>
      <c r="L15" s="19" t="e">
        <f t="shared" ref="L15:L20" si="1512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06"/>
        <v>0</v>
      </c>
      <c r="S15" s="35">
        <f t="shared" si="1507"/>
        <v>0</v>
      </c>
      <c r="T15" s="35">
        <f t="shared" si="1508"/>
        <v>0</v>
      </c>
      <c r="U15" s="19" t="e">
        <f t="shared" si="1509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03"/>
        <v>0</v>
      </c>
      <c r="F16" s="13">
        <v>0</v>
      </c>
      <c r="G16" s="33">
        <v>0</v>
      </c>
      <c r="H16" s="13">
        <v>0</v>
      </c>
      <c r="I16" s="16">
        <f t="shared" si="1504"/>
        <v>0</v>
      </c>
      <c r="J16" s="17">
        <f t="shared" si="1505"/>
        <v>0</v>
      </c>
      <c r="K16" s="18">
        <f t="shared" si="1510"/>
        <v>0</v>
      </c>
      <c r="L16" s="19" t="e">
        <f t="shared" si="1512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06"/>
        <v>0</v>
      </c>
      <c r="S16" s="35">
        <f t="shared" si="1507"/>
        <v>0</v>
      </c>
      <c r="T16" s="35">
        <f t="shared" si="1508"/>
        <v>0</v>
      </c>
      <c r="U16" s="19" t="e">
        <f t="shared" si="1509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03"/>
        <v>0</v>
      </c>
      <c r="F17" s="13">
        <v>0</v>
      </c>
      <c r="G17" s="33">
        <v>0</v>
      </c>
      <c r="H17" s="13">
        <v>0</v>
      </c>
      <c r="I17" s="16">
        <f t="shared" si="1504"/>
        <v>0</v>
      </c>
      <c r="J17" s="17">
        <f t="shared" si="1505"/>
        <v>0</v>
      </c>
      <c r="K17" s="18">
        <f t="shared" si="1510"/>
        <v>0</v>
      </c>
      <c r="L17" s="19" t="e">
        <f t="shared" si="151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06"/>
        <v>0</v>
      </c>
      <c r="S17" s="35">
        <f t="shared" si="1507"/>
        <v>0</v>
      </c>
      <c r="T17" s="35">
        <f t="shared" si="1508"/>
        <v>0</v>
      </c>
      <c r="U17" s="19" t="e">
        <f t="shared" si="1509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503"/>
        <v>565975.79037586995</v>
      </c>
      <c r="F18" s="13">
        <v>148466</v>
      </c>
      <c r="G18" s="13">
        <v>360716</v>
      </c>
      <c r="H18" s="13">
        <v>73670</v>
      </c>
      <c r="I18" s="16">
        <f t="shared" si="1504"/>
        <v>222136</v>
      </c>
      <c r="J18" s="17">
        <f t="shared" si="1505"/>
        <v>73669.5</v>
      </c>
      <c r="K18" s="18">
        <f t="shared" si="1510"/>
        <v>469989.26806079462</v>
      </c>
      <c r="L18" s="19">
        <f t="shared" si="1512"/>
        <v>0.83040525063566806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06"/>
        <v>0</v>
      </c>
      <c r="S18" s="35">
        <f t="shared" si="1507"/>
        <v>582852</v>
      </c>
      <c r="T18" s="35">
        <f t="shared" si="1508"/>
        <v>148466.5</v>
      </c>
      <c r="U18" s="19">
        <f t="shared" si="1509"/>
        <v>1.3417851194388395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1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13">M19+N19+O19+P19+Q19</f>
        <v>0</v>
      </c>
      <c r="S19" s="35">
        <f t="shared" ref="S19:S20" si="1514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515">SUM(E3:E19)</f>
        <v>5286837.1464331709</v>
      </c>
      <c r="F20" s="24">
        <f t="shared" si="1515"/>
        <v>693322</v>
      </c>
      <c r="G20" s="24">
        <f t="shared" si="1515"/>
        <v>2472029</v>
      </c>
      <c r="H20" s="24">
        <f t="shared" si="1515"/>
        <v>168632</v>
      </c>
      <c r="I20" s="25">
        <f t="shared" si="1515"/>
        <v>861954</v>
      </c>
      <c r="J20" s="26">
        <f t="shared" si="1515"/>
        <v>566509.5</v>
      </c>
      <c r="K20" s="26">
        <f t="shared" si="1515"/>
        <v>4505820.4474670207</v>
      </c>
      <c r="L20" s="27">
        <f t="shared" si="1512"/>
        <v>0.85227146641105211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13"/>
        <v>0</v>
      </c>
      <c r="S20" s="35">
        <f t="shared" si="1514"/>
        <v>3333983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AC008E-0023-4AB2-8DE5-000E00A9008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23001A-002B-41C8-BE16-00850027006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86003B-0080-4FFE-9E0F-00F30069000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D0007B-0019-4F4D-A083-009C00F3007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100021-002E-40AC-A68F-00A0008900C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D30041-0054-4CD2-ADB8-003A00A7005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2D0042-00EA-47B5-94F8-00AF003500B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BB00FB-0086-4BF8-BA07-000B00DE00D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000CC-0052-47CA-8F41-0030009B000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9" activeCellId="0" sqref="I9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237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516">C3*D3</f>
        <v>1142706.2615954725</v>
      </c>
      <c r="F3" s="13">
        <v>0</v>
      </c>
      <c r="G3" s="44">
        <v>406820</v>
      </c>
      <c r="H3" s="13">
        <v>110662</v>
      </c>
      <c r="I3" s="16">
        <f t="shared" ref="I3:I18" si="1517">F3+H3</f>
        <v>110662</v>
      </c>
      <c r="J3" s="17">
        <f t="shared" ref="J3:J18" si="1518">C3-G3</f>
        <v>-11745</v>
      </c>
      <c r="K3" s="18">
        <f>+G3*D3</f>
        <v>1176677.2418965264</v>
      </c>
      <c r="L3" s="19">
        <f>K3/E3</f>
        <v>1.0297285325571095</v>
      </c>
      <c r="M3" s="34">
        <v>0</v>
      </c>
      <c r="N3" s="58">
        <v>0</v>
      </c>
      <c r="O3" s="34">
        <v>0</v>
      </c>
      <c r="P3" s="34">
        <v>111000</v>
      </c>
      <c r="Q3" s="34">
        <v>0</v>
      </c>
      <c r="R3" s="34">
        <f t="shared" ref="R3:R18" si="1519">M3+N3+O3+P3+Q3</f>
        <v>111000</v>
      </c>
      <c r="S3" s="35">
        <f t="shared" ref="S3:S18" si="1520">G3+I3+R3</f>
        <v>628482</v>
      </c>
      <c r="T3" s="35">
        <f t="shared" ref="T3:T18" si="1521">S3-C3</f>
        <v>233407</v>
      </c>
      <c r="U3" s="19">
        <f t="shared" ref="U3:U18" si="1522">S3/C3</f>
        <v>1.5907916218439537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516"/>
        <v>326534.8923560073</v>
      </c>
      <c r="F4" s="13">
        <v>74518</v>
      </c>
      <c r="G4" s="13">
        <v>210261</v>
      </c>
      <c r="H4" s="13">
        <v>0</v>
      </c>
      <c r="I4" s="16">
        <f t="shared" si="1517"/>
        <v>74518</v>
      </c>
      <c r="J4" s="17">
        <f t="shared" si="1518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519"/>
        <v>0</v>
      </c>
      <c r="S4" s="35">
        <f t="shared" si="1520"/>
        <v>284779</v>
      </c>
      <c r="T4" s="35">
        <f t="shared" si="1521"/>
        <v>74779</v>
      </c>
      <c r="U4" s="19">
        <f t="shared" si="1522"/>
        <v>1.3560904761904762</v>
      </c>
    </row>
    <row r="5">
      <c r="A5" s="9" t="s">
        <v>32</v>
      </c>
      <c r="B5" s="64" t="s">
        <v>33</v>
      </c>
      <c r="C5" s="14">
        <v>167879</v>
      </c>
      <c r="D5" s="11">
        <v>1.0683280588381256</v>
      </c>
      <c r="E5" s="12">
        <f t="shared" si="1516"/>
        <v>179349.84618968569</v>
      </c>
      <c r="F5" s="13">
        <v>309976</v>
      </c>
      <c r="G5" s="13">
        <v>12677</v>
      </c>
      <c r="H5" s="13">
        <v>0</v>
      </c>
      <c r="I5" s="16">
        <f t="shared" si="1517"/>
        <v>309976</v>
      </c>
      <c r="J5" s="17">
        <f t="shared" si="1518"/>
        <v>155202</v>
      </c>
      <c r="K5" s="18">
        <f t="shared" ref="K5:K19" si="1523">+G5*D5</f>
        <v>13543.194801890919</v>
      </c>
      <c r="L5" s="19">
        <f t="shared" ref="L5:L9" si="1524">K5/E5</f>
        <v>0.07551272047129183</v>
      </c>
      <c r="M5" s="34">
        <v>0</v>
      </c>
      <c r="N5" s="58">
        <v>0</v>
      </c>
      <c r="O5" s="34">
        <v>0</v>
      </c>
      <c r="P5" s="73">
        <v>310000</v>
      </c>
      <c r="Q5" s="34">
        <v>0</v>
      </c>
      <c r="R5" s="34">
        <f t="shared" si="1519"/>
        <v>310000</v>
      </c>
      <c r="S5" s="35">
        <f t="shared" si="1520"/>
        <v>632653</v>
      </c>
      <c r="T5" s="35">
        <f t="shared" si="1521"/>
        <v>464774</v>
      </c>
      <c r="U5" s="19">
        <f t="shared" si="1522"/>
        <v>3.7685058881694555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516"/>
        <v>1207818.5514720667</v>
      </c>
      <c r="F6" s="13">
        <v>0</v>
      </c>
      <c r="G6" s="13">
        <v>389516</v>
      </c>
      <c r="H6" s="13">
        <v>37959</v>
      </c>
      <c r="I6" s="16">
        <f t="shared" si="1517"/>
        <v>37959</v>
      </c>
      <c r="J6" s="17">
        <f t="shared" si="1518"/>
        <v>167165</v>
      </c>
      <c r="K6" s="18">
        <f t="shared" si="1523"/>
        <v>845124.31876639137</v>
      </c>
      <c r="L6" s="19">
        <f t="shared" si="1524"/>
        <v>0.69971132479822373</v>
      </c>
      <c r="M6" s="34">
        <v>0</v>
      </c>
      <c r="N6" s="58">
        <v>0</v>
      </c>
      <c r="O6" s="34">
        <v>0</v>
      </c>
      <c r="P6" s="34">
        <v>39000</v>
      </c>
      <c r="Q6" s="34">
        <v>0</v>
      </c>
      <c r="R6" s="34">
        <f t="shared" si="1519"/>
        <v>39000</v>
      </c>
      <c r="S6" s="35">
        <f t="shared" si="1520"/>
        <v>466475</v>
      </c>
      <c r="T6" s="35">
        <f t="shared" si="1521"/>
        <v>-90206</v>
      </c>
      <c r="U6" s="19">
        <f t="shared" si="1522"/>
        <v>0.83795746576585151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16"/>
        <v>0</v>
      </c>
      <c r="F7" s="13">
        <v>0</v>
      </c>
      <c r="G7" s="13">
        <v>0</v>
      </c>
      <c r="H7" s="13">
        <v>0</v>
      </c>
      <c r="I7" s="16">
        <f t="shared" si="1517"/>
        <v>0</v>
      </c>
      <c r="J7" s="17">
        <f t="shared" si="1518"/>
        <v>0</v>
      </c>
      <c r="K7" s="18">
        <f t="shared" si="1523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19"/>
        <v>0</v>
      </c>
      <c r="S7" s="35">
        <f t="shared" si="1520"/>
        <v>0</v>
      </c>
      <c r="T7" s="35">
        <f t="shared" si="1521"/>
        <v>0</v>
      </c>
      <c r="U7" s="19" t="e">
        <f t="shared" si="1522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516"/>
        <v>571514.02941906289</v>
      </c>
      <c r="F8" s="13">
        <v>189967</v>
      </c>
      <c r="G8" s="44">
        <v>506386</v>
      </c>
      <c r="H8" s="44">
        <v>0</v>
      </c>
      <c r="I8" s="16">
        <f t="shared" si="1517"/>
        <v>189967</v>
      </c>
      <c r="J8" s="17">
        <f t="shared" si="1518"/>
        <v>-6386</v>
      </c>
      <c r="K8" s="18">
        <f t="shared" si="1523"/>
        <v>578813.40660280315</v>
      </c>
      <c r="L8" s="19">
        <f t="shared" si="1524"/>
        <v>1.012772</v>
      </c>
      <c r="M8" s="34">
        <v>0</v>
      </c>
      <c r="N8" s="58">
        <v>0</v>
      </c>
      <c r="O8" s="34">
        <v>0</v>
      </c>
      <c r="P8" s="34">
        <v>157000</v>
      </c>
      <c r="Q8" s="34">
        <v>0</v>
      </c>
      <c r="R8" s="34">
        <f t="shared" si="1519"/>
        <v>157000</v>
      </c>
      <c r="S8" s="35">
        <f t="shared" si="1520"/>
        <v>853353</v>
      </c>
      <c r="T8" s="35">
        <f t="shared" si="1521"/>
        <v>353353</v>
      </c>
      <c r="U8" s="19">
        <f t="shared" si="1522"/>
        <v>1.7067060000000001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516"/>
        <v>190268.41765143772</v>
      </c>
      <c r="F9" s="13">
        <v>0</v>
      </c>
      <c r="G9" s="44">
        <v>149406</v>
      </c>
      <c r="H9" s="13">
        <v>0</v>
      </c>
      <c r="I9" s="16">
        <f t="shared" si="1517"/>
        <v>0</v>
      </c>
      <c r="J9" s="17">
        <f t="shared" si="1518"/>
        <v>150594</v>
      </c>
      <c r="K9" s="18">
        <f t="shared" si="1523"/>
        <v>94757.477358769014</v>
      </c>
      <c r="L9" s="19">
        <f t="shared" si="1524"/>
        <v>0.49802000000000002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519"/>
        <v>0</v>
      </c>
      <c r="S9" s="35">
        <f t="shared" si="1520"/>
        <v>149406</v>
      </c>
      <c r="T9" s="35">
        <f t="shared" si="1521"/>
        <v>-150594</v>
      </c>
      <c r="U9" s="19">
        <f t="shared" si="1522"/>
        <v>0.49802000000000002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516"/>
        <v>299629.4445543653</v>
      </c>
      <c r="F10" s="44">
        <v>266020</v>
      </c>
      <c r="G10" s="13">
        <v>350000</v>
      </c>
      <c r="H10" s="44">
        <v>0</v>
      </c>
      <c r="I10" s="16">
        <f t="shared" si="1517"/>
        <v>266020</v>
      </c>
      <c r="J10" s="17">
        <f t="shared" si="1518"/>
        <v>-14667</v>
      </c>
      <c r="K10" s="18">
        <f t="shared" si="1523"/>
        <v>312734.82059334405</v>
      </c>
      <c r="L10" s="19">
        <f>K10/E10</f>
        <v>1.0437386120662147</v>
      </c>
      <c r="M10" s="34">
        <v>0</v>
      </c>
      <c r="N10" s="58">
        <v>0</v>
      </c>
      <c r="O10" s="34">
        <v>0</v>
      </c>
      <c r="P10" s="34">
        <v>528000</v>
      </c>
      <c r="Q10" s="34">
        <v>0</v>
      </c>
      <c r="R10" s="34">
        <f t="shared" si="1519"/>
        <v>528000</v>
      </c>
      <c r="S10" s="35">
        <f t="shared" si="1520"/>
        <v>1144020</v>
      </c>
      <c r="T10" s="35">
        <f t="shared" si="1521"/>
        <v>808687</v>
      </c>
      <c r="U10" s="19">
        <f t="shared" si="1522"/>
        <v>3.4115938485028314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16"/>
        <v>0</v>
      </c>
      <c r="F11" s="13">
        <v>0</v>
      </c>
      <c r="G11" s="13">
        <v>0</v>
      </c>
      <c r="H11" s="13">
        <v>0</v>
      </c>
      <c r="I11" s="16">
        <f t="shared" si="1517"/>
        <v>0</v>
      </c>
      <c r="J11" s="17">
        <f t="shared" si="1518"/>
        <v>0</v>
      </c>
      <c r="K11" s="18">
        <f t="shared" si="1523"/>
        <v>0</v>
      </c>
      <c r="L11" s="19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19"/>
        <v>0</v>
      </c>
      <c r="S11" s="35">
        <f t="shared" si="1520"/>
        <v>0</v>
      </c>
      <c r="T11" s="35">
        <f t="shared" si="1521"/>
        <v>0</v>
      </c>
      <c r="U11" s="19" t="e">
        <f t="shared" si="1522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516"/>
        <v>494208.76746118831</v>
      </c>
      <c r="F12" s="13">
        <v>2246</v>
      </c>
      <c r="G12" s="13">
        <v>147640</v>
      </c>
      <c r="H12" s="13">
        <v>0</v>
      </c>
      <c r="I12" s="16">
        <f t="shared" si="1517"/>
        <v>2246</v>
      </c>
      <c r="J12" s="17">
        <f>C12-G12</f>
        <v>-42052</v>
      </c>
      <c r="K12" s="18">
        <f t="shared" si="1523"/>
        <v>691034.7996739198</v>
      </c>
      <c r="L12" s="19"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19"/>
        <v>0</v>
      </c>
      <c r="S12" s="35">
        <f t="shared" si="1520"/>
        <v>149886</v>
      </c>
      <c r="T12" s="35">
        <f t="shared" si="1521"/>
        <v>44298</v>
      </c>
      <c r="U12" s="19">
        <f t="shared" si="1522"/>
        <v>1.4195363109444255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516"/>
        <v>245445.56</v>
      </c>
      <c r="F13" s="13">
        <v>12105</v>
      </c>
      <c r="G13" s="13">
        <v>26492</v>
      </c>
      <c r="H13" s="13">
        <v>0</v>
      </c>
      <c r="I13" s="16">
        <f t="shared" si="1517"/>
        <v>12105</v>
      </c>
      <c r="J13" s="17">
        <f t="shared" si="1518"/>
        <v>14</v>
      </c>
      <c r="K13" s="18">
        <f t="shared" si="1523"/>
        <v>245315.91999999998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19"/>
        <v>0</v>
      </c>
      <c r="S13" s="35">
        <f t="shared" si="1520"/>
        <v>38597</v>
      </c>
      <c r="T13" s="35">
        <f t="shared" si="1521"/>
        <v>12091</v>
      </c>
      <c r="U13" s="19">
        <f t="shared" si="1522"/>
        <v>1.4561608692371539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516"/>
        <v>63385.585358015262</v>
      </c>
      <c r="F14" s="13">
        <v>0</v>
      </c>
      <c r="G14" s="13">
        <v>7077</v>
      </c>
      <c r="H14" s="13">
        <v>0</v>
      </c>
      <c r="I14" s="16">
        <f t="shared" si="1517"/>
        <v>0</v>
      </c>
      <c r="J14" s="17">
        <f t="shared" si="1518"/>
        <v>14</v>
      </c>
      <c r="K14" s="18">
        <f t="shared" si="1523"/>
        <v>63260.441063132705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19"/>
        <v>0</v>
      </c>
      <c r="S14" s="35">
        <f t="shared" si="1520"/>
        <v>7077</v>
      </c>
      <c r="T14" s="35">
        <f t="shared" si="1521"/>
        <v>-14</v>
      </c>
      <c r="U14" s="19">
        <f t="shared" si="1522"/>
        <v>0.99802566633761103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16"/>
        <v>0</v>
      </c>
      <c r="F15" s="13">
        <v>0</v>
      </c>
      <c r="G15" s="33">
        <v>0</v>
      </c>
      <c r="H15" s="13">
        <v>0</v>
      </c>
      <c r="I15" s="16">
        <f t="shared" si="1517"/>
        <v>0</v>
      </c>
      <c r="J15" s="17">
        <f t="shared" si="1518"/>
        <v>0</v>
      </c>
      <c r="K15" s="18">
        <f t="shared" si="1523"/>
        <v>0</v>
      </c>
      <c r="L15" s="19" t="e">
        <f t="shared" ref="L15:L20" si="1525">K15/E15</f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19"/>
        <v>0</v>
      </c>
      <c r="S15" s="35">
        <f t="shared" si="1520"/>
        <v>0</v>
      </c>
      <c r="T15" s="35">
        <f t="shared" si="1521"/>
        <v>0</v>
      </c>
      <c r="U15" s="19" t="e">
        <f t="shared" si="1522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16"/>
        <v>0</v>
      </c>
      <c r="F16" s="13">
        <v>0</v>
      </c>
      <c r="G16" s="33">
        <v>0</v>
      </c>
      <c r="H16" s="13">
        <v>0</v>
      </c>
      <c r="I16" s="16">
        <f t="shared" si="1517"/>
        <v>0</v>
      </c>
      <c r="J16" s="17">
        <f t="shared" si="1518"/>
        <v>0</v>
      </c>
      <c r="K16" s="18">
        <f t="shared" si="1523"/>
        <v>0</v>
      </c>
      <c r="L16" s="19" t="e">
        <f t="shared" si="1525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19"/>
        <v>0</v>
      </c>
      <c r="S16" s="35">
        <f t="shared" si="1520"/>
        <v>0</v>
      </c>
      <c r="T16" s="35">
        <f t="shared" si="1521"/>
        <v>0</v>
      </c>
      <c r="U16" s="19" t="e">
        <f t="shared" si="1522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16"/>
        <v>0</v>
      </c>
      <c r="F17" s="13">
        <v>0</v>
      </c>
      <c r="G17" s="33">
        <v>0</v>
      </c>
      <c r="H17" s="13">
        <v>0</v>
      </c>
      <c r="I17" s="16">
        <f t="shared" si="1517"/>
        <v>0</v>
      </c>
      <c r="J17" s="17">
        <f t="shared" si="1518"/>
        <v>0</v>
      </c>
      <c r="K17" s="18">
        <f t="shared" si="1523"/>
        <v>0</v>
      </c>
      <c r="L17" s="19" t="e">
        <f t="shared" si="152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19"/>
        <v>0</v>
      </c>
      <c r="S17" s="35">
        <f t="shared" si="1520"/>
        <v>0</v>
      </c>
      <c r="T17" s="35">
        <f t="shared" si="1521"/>
        <v>0</v>
      </c>
      <c r="U17" s="19" t="e">
        <f t="shared" si="1522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516"/>
        <v>565975.79037586995</v>
      </c>
      <c r="F18" s="13">
        <v>299666</v>
      </c>
      <c r="G18" s="13">
        <v>434386</v>
      </c>
      <c r="H18" s="13">
        <v>0</v>
      </c>
      <c r="I18" s="16">
        <f t="shared" si="1517"/>
        <v>299666</v>
      </c>
      <c r="J18" s="17">
        <f t="shared" si="1518"/>
        <v>-0.5</v>
      </c>
      <c r="K18" s="18">
        <f t="shared" si="1523"/>
        <v>565976.44184304646</v>
      </c>
      <c r="L18" s="19">
        <f t="shared" si="1525"/>
        <v>1.0000011510513127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19"/>
        <v>0</v>
      </c>
      <c r="S18" s="35">
        <f t="shared" si="1520"/>
        <v>734052</v>
      </c>
      <c r="T18" s="35">
        <f t="shared" si="1521"/>
        <v>299666.5</v>
      </c>
      <c r="U18" s="19">
        <f t="shared" si="1522"/>
        <v>1.6898630364042999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23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26">M19+N19+O19+P19+Q19</f>
        <v>0</v>
      </c>
      <c r="S19" s="35">
        <f t="shared" ref="S19:S20" si="1527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528">SUM(E3:E19)</f>
        <v>5286837.1464331709</v>
      </c>
      <c r="F20" s="24">
        <f t="shared" si="1528"/>
        <v>1154498</v>
      </c>
      <c r="G20" s="24">
        <f t="shared" si="1528"/>
        <v>2640661</v>
      </c>
      <c r="H20" s="24">
        <f t="shared" si="1528"/>
        <v>148621</v>
      </c>
      <c r="I20" s="25">
        <f t="shared" si="1528"/>
        <v>1303119</v>
      </c>
      <c r="J20" s="26">
        <f t="shared" si="1528"/>
        <v>397877.5</v>
      </c>
      <c r="K20" s="26">
        <f t="shared" si="1528"/>
        <v>4914178.7911791885</v>
      </c>
      <c r="L20" s="27">
        <f t="shared" si="1525"/>
        <v>0.92951204190100678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26"/>
        <v>0</v>
      </c>
      <c r="S20" s="35">
        <f t="shared" si="1527"/>
        <v>3943780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18009E-007F-465A-AC83-003E000600F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160097-0016-4B38-98D5-00D4004D00B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3700A8-003C-4128-A9AE-004100A200F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2300C2-00BE-4A2A-A59A-00F200D800D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340037-008D-437F-AA59-00EF000000C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160029-0035-4221-85A3-009E000B00D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7E0036-00AB-46A6-9B25-0003006A00D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AB00D2-00E2-43E7-8DEB-00200028008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90096-0001-444E-87A5-00CA00C100E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9" activeCellId="0" sqref="H9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238</v>
      </c>
      <c r="J2" s="7" t="s">
        <v>17</v>
      </c>
      <c r="K2" s="7" t="s">
        <v>18</v>
      </c>
      <c r="L2" s="7" t="s">
        <v>19</v>
      </c>
      <c r="M2" s="47" t="s">
        <v>219</v>
      </c>
      <c r="N2" s="72" t="s">
        <v>220</v>
      </c>
      <c r="O2" s="72" t="s">
        <v>221</v>
      </c>
      <c r="P2" s="72" t="s">
        <v>222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529">C3*D3</f>
        <v>1142706.2615954725</v>
      </c>
      <c r="F3" s="74">
        <v>55482</v>
      </c>
      <c r="G3" s="44">
        <v>461998</v>
      </c>
      <c r="H3" s="13">
        <v>55484</v>
      </c>
      <c r="I3" s="16">
        <f t="shared" ref="I3:I18" si="1530">F3+H3</f>
        <v>110966</v>
      </c>
      <c r="J3" s="17">
        <f t="shared" ref="J3:J18" si="1531">C3-G3</f>
        <v>-66923</v>
      </c>
      <c r="K3" s="18">
        <f>+G3*D3</f>
        <v>1336272.8784270964</v>
      </c>
      <c r="L3" s="19">
        <f>K3/E3</f>
        <v>1.1693931531987598</v>
      </c>
      <c r="M3" s="34">
        <v>0</v>
      </c>
      <c r="N3" s="58">
        <v>0</v>
      </c>
      <c r="O3" s="34">
        <v>0</v>
      </c>
      <c r="P3" s="34">
        <v>111000</v>
      </c>
      <c r="Q3" s="34">
        <v>0</v>
      </c>
      <c r="R3" s="34">
        <f t="shared" ref="R3:R18" si="1532">M3+N3+O3+P3+Q3</f>
        <v>111000</v>
      </c>
      <c r="S3" s="35">
        <f t="shared" ref="S3:S18" si="1533">G3+I3+R3</f>
        <v>683964</v>
      </c>
      <c r="T3" s="35">
        <f t="shared" ref="T3:T18" si="1534">S3-C3</f>
        <v>288889</v>
      </c>
      <c r="U3" s="19">
        <f t="shared" ref="U3:U18" si="1535">S3/C3</f>
        <v>1.7312257166360818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529"/>
        <v>326534.8923560073</v>
      </c>
      <c r="F4" s="74">
        <v>74518</v>
      </c>
      <c r="G4" s="13">
        <v>210261</v>
      </c>
      <c r="H4" s="13">
        <v>0</v>
      </c>
      <c r="I4" s="16">
        <f t="shared" si="1530"/>
        <v>74518</v>
      </c>
      <c r="J4" s="17">
        <f t="shared" si="1531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532"/>
        <v>0</v>
      </c>
      <c r="S4" s="35">
        <f t="shared" si="1533"/>
        <v>284779</v>
      </c>
      <c r="T4" s="35">
        <f t="shared" si="1534"/>
        <v>74779</v>
      </c>
      <c r="U4" s="19">
        <f t="shared" si="1535"/>
        <v>1.3560904761904762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529"/>
        <v>179349.84618968569</v>
      </c>
      <c r="F5" s="13">
        <v>154774</v>
      </c>
      <c r="G5" s="13">
        <v>12677</v>
      </c>
      <c r="H5" s="13">
        <v>155202</v>
      </c>
      <c r="I5" s="16">
        <f t="shared" si="1530"/>
        <v>309976</v>
      </c>
      <c r="J5" s="17">
        <f t="shared" si="1531"/>
        <v>155202</v>
      </c>
      <c r="K5" s="18">
        <f t="shared" ref="K5:K19" si="1536">+G5*D5</f>
        <v>13543.194801890919</v>
      </c>
      <c r="L5" s="19">
        <f t="shared" ref="L5:L9" si="1537">K5/E5</f>
        <v>0.07551272047129183</v>
      </c>
      <c r="M5" s="34">
        <v>0</v>
      </c>
      <c r="N5" s="58">
        <v>0</v>
      </c>
      <c r="O5" s="34">
        <v>0</v>
      </c>
      <c r="P5" s="73">
        <v>310000</v>
      </c>
      <c r="Q5" s="34">
        <v>0</v>
      </c>
      <c r="R5" s="34">
        <f t="shared" si="1532"/>
        <v>310000</v>
      </c>
      <c r="S5" s="35">
        <f t="shared" si="1533"/>
        <v>632653</v>
      </c>
      <c r="T5" s="35">
        <f t="shared" si="1534"/>
        <v>464774</v>
      </c>
      <c r="U5" s="19">
        <f t="shared" si="1535"/>
        <v>3.7685058881694555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529"/>
        <v>1207818.5514720667</v>
      </c>
      <c r="F6" s="13">
        <v>0</v>
      </c>
      <c r="G6" s="13">
        <v>427475</v>
      </c>
      <c r="H6" s="13">
        <v>0</v>
      </c>
      <c r="I6" s="16">
        <f t="shared" si="1530"/>
        <v>0</v>
      </c>
      <c r="J6" s="17">
        <f t="shared" si="1531"/>
        <v>129206</v>
      </c>
      <c r="K6" s="18">
        <f t="shared" si="1536"/>
        <v>927483.12820182776</v>
      </c>
      <c r="L6" s="19">
        <f t="shared" si="1537"/>
        <v>0.76789938941691915</v>
      </c>
      <c r="M6" s="34">
        <v>0</v>
      </c>
      <c r="N6" s="58">
        <v>0</v>
      </c>
      <c r="O6" s="34">
        <v>0</v>
      </c>
      <c r="P6" s="34">
        <v>39000</v>
      </c>
      <c r="Q6" s="34">
        <v>0</v>
      </c>
      <c r="R6" s="34">
        <f t="shared" si="1532"/>
        <v>39000</v>
      </c>
      <c r="S6" s="35">
        <f t="shared" si="1533"/>
        <v>466475</v>
      </c>
      <c r="T6" s="35">
        <f t="shared" si="1534"/>
        <v>-90206</v>
      </c>
      <c r="U6" s="19">
        <f t="shared" si="1535"/>
        <v>0.83795746576585151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29"/>
        <v>0</v>
      </c>
      <c r="F7" s="13">
        <v>0</v>
      </c>
      <c r="G7" s="13">
        <v>0</v>
      </c>
      <c r="H7" s="13">
        <v>0</v>
      </c>
      <c r="I7" s="16">
        <f t="shared" si="1530"/>
        <v>0</v>
      </c>
      <c r="J7" s="17">
        <f t="shared" si="1531"/>
        <v>0</v>
      </c>
      <c r="K7" s="18">
        <f t="shared" si="1536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32"/>
        <v>0</v>
      </c>
      <c r="S7" s="35">
        <f t="shared" si="1533"/>
        <v>0</v>
      </c>
      <c r="T7" s="35">
        <f t="shared" si="1534"/>
        <v>0</v>
      </c>
      <c r="U7" s="19" t="e">
        <f t="shared" si="1535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529"/>
        <v>571514.02941906289</v>
      </c>
      <c r="F8" s="74">
        <v>189967</v>
      </c>
      <c r="G8" s="44">
        <v>506386</v>
      </c>
      <c r="H8" s="44">
        <v>0</v>
      </c>
      <c r="I8" s="16">
        <f t="shared" si="1530"/>
        <v>189967</v>
      </c>
      <c r="J8" s="17">
        <f t="shared" si="1531"/>
        <v>-6386</v>
      </c>
      <c r="K8" s="18">
        <f t="shared" si="1536"/>
        <v>578813.40660280315</v>
      </c>
      <c r="L8" s="19">
        <f t="shared" si="1537"/>
        <v>1.012772</v>
      </c>
      <c r="M8" s="34">
        <v>0</v>
      </c>
      <c r="N8" s="58">
        <v>0</v>
      </c>
      <c r="O8" s="34">
        <v>0</v>
      </c>
      <c r="P8" s="34">
        <v>157000</v>
      </c>
      <c r="Q8" s="34">
        <v>0</v>
      </c>
      <c r="R8" s="34">
        <f t="shared" si="1532"/>
        <v>157000</v>
      </c>
      <c r="S8" s="35">
        <f t="shared" si="1533"/>
        <v>853353</v>
      </c>
      <c r="T8" s="35">
        <f t="shared" si="1534"/>
        <v>353353</v>
      </c>
      <c r="U8" s="19">
        <f t="shared" si="1535"/>
        <v>1.7067060000000001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529"/>
        <v>190268.41765143772</v>
      </c>
      <c r="F9" s="13">
        <v>0</v>
      </c>
      <c r="G9" s="44">
        <v>149406</v>
      </c>
      <c r="H9" s="13">
        <v>0</v>
      </c>
      <c r="I9" s="16">
        <f t="shared" si="1530"/>
        <v>0</v>
      </c>
      <c r="J9" s="17">
        <f t="shared" si="1531"/>
        <v>150594</v>
      </c>
      <c r="K9" s="18">
        <f t="shared" si="1536"/>
        <v>94757.477358769014</v>
      </c>
      <c r="L9" s="19">
        <f t="shared" si="1537"/>
        <v>0.49802000000000002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1532"/>
        <v>0</v>
      </c>
      <c r="S9" s="35">
        <f t="shared" si="1533"/>
        <v>149406</v>
      </c>
      <c r="T9" s="35">
        <f t="shared" si="1534"/>
        <v>-150594</v>
      </c>
      <c r="U9" s="19">
        <f t="shared" si="1535"/>
        <v>0.49802000000000002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529"/>
        <v>299629.4445543653</v>
      </c>
      <c r="F10" s="44">
        <v>266020</v>
      </c>
      <c r="G10" s="13">
        <v>350000</v>
      </c>
      <c r="H10" s="44">
        <v>0</v>
      </c>
      <c r="I10" s="16">
        <f t="shared" si="1530"/>
        <v>266020</v>
      </c>
      <c r="J10" s="17">
        <f t="shared" si="1531"/>
        <v>-14667</v>
      </c>
      <c r="K10" s="18">
        <f t="shared" si="1536"/>
        <v>312734.82059334405</v>
      </c>
      <c r="L10" s="19">
        <f t="shared" ref="L10:L20" si="1538">K10/E10</f>
        <v>1.0437386120662147</v>
      </c>
      <c r="M10" s="34">
        <v>0</v>
      </c>
      <c r="N10" s="58">
        <v>0</v>
      </c>
      <c r="O10" s="34">
        <v>0</v>
      </c>
      <c r="P10" s="34">
        <v>528000</v>
      </c>
      <c r="Q10" s="34">
        <v>0</v>
      </c>
      <c r="R10" s="34">
        <f t="shared" si="1532"/>
        <v>528000</v>
      </c>
      <c r="S10" s="35">
        <f t="shared" si="1533"/>
        <v>1144020</v>
      </c>
      <c r="T10" s="35">
        <f t="shared" si="1534"/>
        <v>808687</v>
      </c>
      <c r="U10" s="19">
        <f t="shared" si="1535"/>
        <v>3.4115938485028314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29"/>
        <v>0</v>
      </c>
      <c r="F11" s="13">
        <v>0</v>
      </c>
      <c r="G11" s="13">
        <v>0</v>
      </c>
      <c r="H11" s="13">
        <v>0</v>
      </c>
      <c r="I11" s="16">
        <f t="shared" si="1530"/>
        <v>0</v>
      </c>
      <c r="J11" s="17">
        <f t="shared" si="1531"/>
        <v>0</v>
      </c>
      <c r="K11" s="18">
        <f t="shared" si="1536"/>
        <v>0</v>
      </c>
      <c r="L11" s="19" t="e">
        <f t="shared" si="153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32"/>
        <v>0</v>
      </c>
      <c r="S11" s="35">
        <f t="shared" si="1533"/>
        <v>0</v>
      </c>
      <c r="T11" s="35">
        <f t="shared" si="1534"/>
        <v>0</v>
      </c>
      <c r="U11" s="19" t="e">
        <f t="shared" si="1535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529"/>
        <v>494208.76746118831</v>
      </c>
      <c r="F12" s="13">
        <v>2246</v>
      </c>
      <c r="G12" s="13">
        <v>147640</v>
      </c>
      <c r="H12" s="13">
        <v>0</v>
      </c>
      <c r="I12" s="16">
        <f t="shared" si="1530"/>
        <v>2246</v>
      </c>
      <c r="J12" s="17">
        <f>C12-G12</f>
        <v>-42052</v>
      </c>
      <c r="K12" s="18">
        <f t="shared" si="1536"/>
        <v>691034.7996739198</v>
      </c>
      <c r="L12" s="19">
        <f t="shared" si="1538"/>
        <v>1.3982649543508732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32"/>
        <v>0</v>
      </c>
      <c r="S12" s="35">
        <f t="shared" si="1533"/>
        <v>149886</v>
      </c>
      <c r="T12" s="35">
        <f t="shared" si="1534"/>
        <v>44298</v>
      </c>
      <c r="U12" s="19">
        <f t="shared" si="1535"/>
        <v>1.4195363109444255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529"/>
        <v>245445.56</v>
      </c>
      <c r="F13" s="13">
        <v>12105</v>
      </c>
      <c r="G13" s="13">
        <v>26492</v>
      </c>
      <c r="H13" s="13">
        <v>0</v>
      </c>
      <c r="I13" s="16">
        <f t="shared" si="1530"/>
        <v>12105</v>
      </c>
      <c r="J13" s="17">
        <f t="shared" si="1531"/>
        <v>14</v>
      </c>
      <c r="K13" s="18">
        <f t="shared" si="1536"/>
        <v>245315.91999999998</v>
      </c>
      <c r="L13" s="19">
        <f t="shared" si="1538"/>
        <v>0.99947181770165239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32"/>
        <v>0</v>
      </c>
      <c r="S13" s="35">
        <f t="shared" si="1533"/>
        <v>38597</v>
      </c>
      <c r="T13" s="35">
        <f t="shared" si="1534"/>
        <v>12091</v>
      </c>
      <c r="U13" s="19">
        <f t="shared" si="1535"/>
        <v>1.4561608692371539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529"/>
        <v>63385.585358015262</v>
      </c>
      <c r="F14" s="13">
        <v>0</v>
      </c>
      <c r="G14" s="13">
        <v>7077</v>
      </c>
      <c r="H14" s="13">
        <v>0</v>
      </c>
      <c r="I14" s="16">
        <f t="shared" si="1530"/>
        <v>0</v>
      </c>
      <c r="J14" s="17">
        <f t="shared" si="1531"/>
        <v>14</v>
      </c>
      <c r="K14" s="18">
        <f t="shared" si="1536"/>
        <v>63260.441063132705</v>
      </c>
      <c r="L14" s="19">
        <f t="shared" si="1538"/>
        <v>0.99802566633761103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32"/>
        <v>0</v>
      </c>
      <c r="S14" s="35">
        <f t="shared" si="1533"/>
        <v>7077</v>
      </c>
      <c r="T14" s="35">
        <f t="shared" si="1534"/>
        <v>-14</v>
      </c>
      <c r="U14" s="19">
        <f t="shared" si="1535"/>
        <v>0.99802566633761103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29"/>
        <v>0</v>
      </c>
      <c r="F15" s="13">
        <v>0</v>
      </c>
      <c r="G15" s="33">
        <v>0</v>
      </c>
      <c r="H15" s="13">
        <v>0</v>
      </c>
      <c r="I15" s="16">
        <f t="shared" si="1530"/>
        <v>0</v>
      </c>
      <c r="J15" s="17">
        <f t="shared" si="1531"/>
        <v>0</v>
      </c>
      <c r="K15" s="18">
        <f t="shared" si="1536"/>
        <v>0</v>
      </c>
      <c r="L15" s="19" t="e">
        <f t="shared" si="1538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32"/>
        <v>0</v>
      </c>
      <c r="S15" s="35">
        <f t="shared" si="1533"/>
        <v>0</v>
      </c>
      <c r="T15" s="35">
        <f t="shared" si="1534"/>
        <v>0</v>
      </c>
      <c r="U15" s="19" t="e">
        <f t="shared" si="1535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29"/>
        <v>0</v>
      </c>
      <c r="F16" s="13">
        <v>0</v>
      </c>
      <c r="G16" s="33">
        <v>0</v>
      </c>
      <c r="H16" s="13">
        <v>0</v>
      </c>
      <c r="I16" s="16">
        <f t="shared" si="1530"/>
        <v>0</v>
      </c>
      <c r="J16" s="17">
        <f t="shared" si="1531"/>
        <v>0</v>
      </c>
      <c r="K16" s="18">
        <f t="shared" si="1536"/>
        <v>0</v>
      </c>
      <c r="L16" s="19" t="e">
        <f t="shared" si="1538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32"/>
        <v>0</v>
      </c>
      <c r="S16" s="35">
        <f t="shared" si="1533"/>
        <v>0</v>
      </c>
      <c r="T16" s="35">
        <f t="shared" si="1534"/>
        <v>0</v>
      </c>
      <c r="U16" s="19" t="e">
        <f t="shared" si="1535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29"/>
        <v>0</v>
      </c>
      <c r="F17" s="13">
        <v>0</v>
      </c>
      <c r="G17" s="33">
        <v>0</v>
      </c>
      <c r="H17" s="13">
        <v>0</v>
      </c>
      <c r="I17" s="16">
        <f t="shared" si="1530"/>
        <v>0</v>
      </c>
      <c r="J17" s="17">
        <f t="shared" si="1531"/>
        <v>0</v>
      </c>
      <c r="K17" s="18">
        <f t="shared" si="1536"/>
        <v>0</v>
      </c>
      <c r="L17" s="19" t="e">
        <f t="shared" si="153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32"/>
        <v>0</v>
      </c>
      <c r="S17" s="35">
        <f t="shared" si="1533"/>
        <v>0</v>
      </c>
      <c r="T17" s="35">
        <f t="shared" si="1534"/>
        <v>0</v>
      </c>
      <c r="U17" s="19" t="e">
        <f t="shared" si="1535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529"/>
        <v>565975.79037586995</v>
      </c>
      <c r="F18" s="13">
        <v>444590</v>
      </c>
      <c r="G18" s="13">
        <v>434386</v>
      </c>
      <c r="H18" s="13">
        <v>0</v>
      </c>
      <c r="I18" s="16">
        <f t="shared" si="1530"/>
        <v>444590</v>
      </c>
      <c r="J18" s="17">
        <f t="shared" si="1531"/>
        <v>-0.5</v>
      </c>
      <c r="K18" s="18">
        <f t="shared" si="1536"/>
        <v>565976.44184304646</v>
      </c>
      <c r="L18" s="19">
        <f t="shared" si="1538"/>
        <v>1.0000011510513127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32"/>
        <v>0</v>
      </c>
      <c r="S18" s="35">
        <f t="shared" si="1533"/>
        <v>878976</v>
      </c>
      <c r="T18" s="35">
        <f t="shared" si="1534"/>
        <v>444590.5</v>
      </c>
      <c r="U18" s="19">
        <f t="shared" si="1535"/>
        <v>2.0234929572925431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36"/>
        <v>0</v>
      </c>
      <c r="L19" s="19" t="e">
        <f t="shared" si="1538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39">M19+N19+O19+P19+Q19</f>
        <v>0</v>
      </c>
      <c r="S19" s="35">
        <f t="shared" ref="S19:S20" si="1540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541">SUM(E3:E19)</f>
        <v>5286837.1464331709</v>
      </c>
      <c r="F20" s="24">
        <f t="shared" si="1541"/>
        <v>1199702</v>
      </c>
      <c r="G20" s="24">
        <f t="shared" si="1541"/>
        <v>2733798</v>
      </c>
      <c r="H20" s="24">
        <f t="shared" si="1541"/>
        <v>210686</v>
      </c>
      <c r="I20" s="25">
        <f t="shared" si="1541"/>
        <v>1410388</v>
      </c>
      <c r="J20" s="26">
        <f t="shared" si="1541"/>
        <v>304740.5</v>
      </c>
      <c r="K20" s="26">
        <f t="shared" si="1541"/>
        <v>5156133.2371451948</v>
      </c>
      <c r="L20" s="19">
        <f t="shared" si="1538"/>
        <v>0.97527748525861879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39"/>
        <v>0</v>
      </c>
      <c r="S20" s="35">
        <f t="shared" si="1540"/>
        <v>4144186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400044-0065-4F69-A58A-003C0034000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7700F4-0075-4FF3-9002-003F004800C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DA0030-00F8-40F7-97C5-00260015009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080031-00D2-42FC-8402-003C00FA00B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A200AF-007B-40D3-B051-0036006D000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00002E-000D-4C63-842F-001800EE00C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0500F3-00B5-454C-8682-00850054002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0700B4-003D-4D01-BD15-000C002F00A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80020-0025-4665-AFCF-007600EA00A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22" activeCellId="0" sqref="A22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239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395075</v>
      </c>
      <c r="D3" s="11">
        <v>2.8923780588381258</v>
      </c>
      <c r="E3" s="12">
        <f t="shared" ref="E3:E18" si="1542">C3*D3</f>
        <v>1142706.2615954725</v>
      </c>
      <c r="F3" s="13">
        <v>55482</v>
      </c>
      <c r="G3" s="44">
        <v>517482</v>
      </c>
      <c r="H3" s="13">
        <v>0</v>
      </c>
      <c r="I3" s="16">
        <f t="shared" ref="I3:I18" si="1543">F3+H3</f>
        <v>55482</v>
      </c>
      <c r="J3" s="17">
        <f t="shared" ref="J3:J18" si="1544">C3-G3</f>
        <v>-122407</v>
      </c>
      <c r="K3" s="18">
        <f>+G3*D3</f>
        <v>1496753.582643671</v>
      </c>
      <c r="L3" s="19">
        <f>K3/E3</f>
        <v>1.3098323103208251</v>
      </c>
      <c r="M3" s="34">
        <v>130000</v>
      </c>
      <c r="N3" s="58">
        <v>148000</v>
      </c>
      <c r="O3" s="34">
        <v>148000</v>
      </c>
      <c r="P3" s="34">
        <v>185000</v>
      </c>
      <c r="Q3" s="69">
        <v>74000</v>
      </c>
      <c r="R3" s="34">
        <f t="shared" ref="R3:R18" si="1545">M3+N3+O3+P3+Q3</f>
        <v>685000</v>
      </c>
      <c r="S3" s="35">
        <f t="shared" ref="S3:S18" si="1546">G3+I3+R3</f>
        <v>1257964</v>
      </c>
      <c r="T3" s="35">
        <f t="shared" ref="T3:T18" si="1547">S3-C3</f>
        <v>862889</v>
      </c>
      <c r="U3" s="19">
        <f t="shared" ref="U3:U18" si="1548">S3/C3</f>
        <v>3.1841144086565842</v>
      </c>
    </row>
    <row r="4">
      <c r="A4" s="9" t="s">
        <v>36</v>
      </c>
      <c r="B4" s="9" t="s">
        <v>37</v>
      </c>
      <c r="C4" s="14">
        <v>210000</v>
      </c>
      <c r="D4" s="11">
        <v>1.55492805883813</v>
      </c>
      <c r="E4" s="12">
        <f t="shared" si="1542"/>
        <v>326534.8923560073</v>
      </c>
      <c r="F4" s="13">
        <v>74518</v>
      </c>
      <c r="G4" s="13">
        <v>210261</v>
      </c>
      <c r="H4" s="13">
        <v>0</v>
      </c>
      <c r="I4" s="16">
        <f t="shared" si="1543"/>
        <v>74518</v>
      </c>
      <c r="J4" s="17">
        <f t="shared" si="1544"/>
        <v>-261</v>
      </c>
      <c r="K4" s="18">
        <f>D4*G4</f>
        <v>326940.72857936408</v>
      </c>
      <c r="L4" s="19">
        <v>0</v>
      </c>
      <c r="M4" s="34">
        <v>0</v>
      </c>
      <c r="N4" s="58">
        <v>0</v>
      </c>
      <c r="O4" s="34">
        <v>34000</v>
      </c>
      <c r="P4" s="34">
        <v>0</v>
      </c>
      <c r="Q4" s="34">
        <v>0</v>
      </c>
      <c r="R4" s="34">
        <f t="shared" si="1545"/>
        <v>34000</v>
      </c>
      <c r="S4" s="35">
        <f t="shared" si="1546"/>
        <v>318779</v>
      </c>
      <c r="T4" s="35">
        <f t="shared" si="1547"/>
        <v>108779</v>
      </c>
      <c r="U4" s="19">
        <f t="shared" si="1548"/>
        <v>1.5179952380952382</v>
      </c>
    </row>
    <row r="5">
      <c r="A5" s="9" t="s">
        <v>32</v>
      </c>
      <c r="B5" s="9" t="s">
        <v>33</v>
      </c>
      <c r="C5" s="14">
        <v>167879</v>
      </c>
      <c r="D5" s="11">
        <v>1.0683280588381256</v>
      </c>
      <c r="E5" s="12">
        <f t="shared" si="1542"/>
        <v>179349.84618968569</v>
      </c>
      <c r="F5" s="13">
        <v>154774</v>
      </c>
      <c r="G5" s="13">
        <v>167879</v>
      </c>
      <c r="H5" s="13">
        <v>0</v>
      </c>
      <c r="I5" s="16">
        <f t="shared" si="1543"/>
        <v>154774</v>
      </c>
      <c r="J5" s="17">
        <f t="shared" si="1544"/>
        <v>0</v>
      </c>
      <c r="K5" s="18">
        <f t="shared" ref="K5:K19" si="1549">+G5*D5</f>
        <v>179349.84618968569</v>
      </c>
      <c r="L5" s="19">
        <f t="shared" ref="L5:L9" si="1550">K5/E5</f>
        <v>1</v>
      </c>
      <c r="M5" s="34">
        <v>0</v>
      </c>
      <c r="N5" s="58">
        <v>320000</v>
      </c>
      <c r="O5" s="34">
        <v>0</v>
      </c>
      <c r="P5" s="73">
        <v>0</v>
      </c>
      <c r="Q5" s="34">
        <v>0</v>
      </c>
      <c r="R5" s="34">
        <f t="shared" si="1545"/>
        <v>320000</v>
      </c>
      <c r="S5" s="35">
        <f t="shared" si="1546"/>
        <v>642653</v>
      </c>
      <c r="T5" s="35">
        <f t="shared" si="1547"/>
        <v>474774</v>
      </c>
      <c r="U5" s="19">
        <f t="shared" si="1548"/>
        <v>3.8280725999082672</v>
      </c>
    </row>
    <row r="6">
      <c r="A6" s="9" t="s">
        <v>34</v>
      </c>
      <c r="B6" s="9" t="s">
        <v>35</v>
      </c>
      <c r="C6" s="14">
        <v>556681</v>
      </c>
      <c r="D6" s="50">
        <v>2.1696780588381257</v>
      </c>
      <c r="E6" s="14">
        <f t="shared" si="1542"/>
        <v>1207818.5514720667</v>
      </c>
      <c r="F6" s="13">
        <v>0</v>
      </c>
      <c r="G6" s="13">
        <v>427475</v>
      </c>
      <c r="H6" s="13">
        <v>0</v>
      </c>
      <c r="I6" s="16">
        <f t="shared" si="1543"/>
        <v>0</v>
      </c>
      <c r="J6" s="17">
        <f t="shared" si="1544"/>
        <v>129206</v>
      </c>
      <c r="K6" s="18">
        <f t="shared" si="1549"/>
        <v>927483.12820182776</v>
      </c>
      <c r="L6" s="19">
        <f t="shared" si="1550"/>
        <v>0.76789938941691915</v>
      </c>
      <c r="M6" s="34">
        <v>234000</v>
      </c>
      <c r="N6" s="58">
        <v>350000</v>
      </c>
      <c r="O6" s="34">
        <v>234000</v>
      </c>
      <c r="P6" s="34">
        <v>234000</v>
      </c>
      <c r="Q6" s="34">
        <v>0</v>
      </c>
      <c r="R6" s="34">
        <f t="shared" si="1545"/>
        <v>1052000</v>
      </c>
      <c r="S6" s="35">
        <f t="shared" si="1546"/>
        <v>1479475</v>
      </c>
      <c r="T6" s="35">
        <f t="shared" si="1547"/>
        <v>922794</v>
      </c>
      <c r="U6" s="19">
        <f t="shared" si="1548"/>
        <v>2.6576710899060685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42"/>
        <v>0</v>
      </c>
      <c r="F7" s="13">
        <v>0</v>
      </c>
      <c r="G7" s="13">
        <v>0</v>
      </c>
      <c r="H7" s="13">
        <v>0</v>
      </c>
      <c r="I7" s="16">
        <f t="shared" si="1543"/>
        <v>0</v>
      </c>
      <c r="J7" s="17">
        <f t="shared" si="1544"/>
        <v>0</v>
      </c>
      <c r="K7" s="18">
        <f t="shared" si="1549"/>
        <v>0</v>
      </c>
      <c r="L7" s="19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45"/>
        <v>0</v>
      </c>
      <c r="S7" s="35">
        <f t="shared" si="1546"/>
        <v>0</v>
      </c>
      <c r="T7" s="35">
        <f t="shared" si="1547"/>
        <v>0</v>
      </c>
      <c r="U7" s="19" t="e">
        <f t="shared" si="1548"/>
        <v>#DIV/0!</v>
      </c>
    </row>
    <row r="8">
      <c r="A8" s="9" t="s">
        <v>26</v>
      </c>
      <c r="B8" s="9" t="s">
        <v>27</v>
      </c>
      <c r="C8" s="14">
        <v>500000</v>
      </c>
      <c r="D8" s="11">
        <v>1.1430280588381259</v>
      </c>
      <c r="E8" s="12">
        <f t="shared" si="1542"/>
        <v>571514.02941906289</v>
      </c>
      <c r="F8" s="13">
        <v>189967</v>
      </c>
      <c r="G8" s="44">
        <v>506386</v>
      </c>
      <c r="H8" s="44">
        <v>0</v>
      </c>
      <c r="I8" s="16">
        <f t="shared" si="1543"/>
        <v>189967</v>
      </c>
      <c r="J8" s="17">
        <f t="shared" si="1544"/>
        <v>-6386</v>
      </c>
      <c r="K8" s="18">
        <f t="shared" si="1549"/>
        <v>578813.40660280315</v>
      </c>
      <c r="L8" s="19">
        <f t="shared" si="1550"/>
        <v>1.012772</v>
      </c>
      <c r="M8" s="34">
        <v>190000</v>
      </c>
      <c r="N8" s="58">
        <v>283000</v>
      </c>
      <c r="O8" s="34">
        <v>220000</v>
      </c>
      <c r="P8" s="34">
        <v>0</v>
      </c>
      <c r="Q8" s="34">
        <v>0</v>
      </c>
      <c r="R8" s="34">
        <f t="shared" si="1545"/>
        <v>693000</v>
      </c>
      <c r="S8" s="35">
        <f t="shared" si="1546"/>
        <v>1389353</v>
      </c>
      <c r="T8" s="35">
        <f t="shared" si="1547"/>
        <v>889353</v>
      </c>
      <c r="U8" s="19">
        <f t="shared" si="1548"/>
        <v>2.7787060000000001</v>
      </c>
    </row>
    <row r="9">
      <c r="A9" s="9" t="s">
        <v>28</v>
      </c>
      <c r="B9" s="9" t="s">
        <v>29</v>
      </c>
      <c r="C9" s="14">
        <v>300000</v>
      </c>
      <c r="D9" s="11">
        <v>0.63422805883812572</v>
      </c>
      <c r="E9" s="12">
        <f t="shared" si="1542"/>
        <v>190268.41765143772</v>
      </c>
      <c r="F9" s="13">
        <v>0</v>
      </c>
      <c r="G9" s="44">
        <v>149406</v>
      </c>
      <c r="H9" s="13">
        <v>0</v>
      </c>
      <c r="I9" s="16">
        <f t="shared" si="1543"/>
        <v>0</v>
      </c>
      <c r="J9" s="17">
        <f t="shared" si="1544"/>
        <v>150594</v>
      </c>
      <c r="K9" s="18">
        <f t="shared" si="1549"/>
        <v>94757.477358769014</v>
      </c>
      <c r="L9" s="19">
        <f t="shared" si="1550"/>
        <v>0.49802000000000002</v>
      </c>
      <c r="M9" s="34">
        <v>440000</v>
      </c>
      <c r="N9" s="58">
        <v>0</v>
      </c>
      <c r="O9" s="34">
        <v>0</v>
      </c>
      <c r="P9" s="34">
        <v>260000</v>
      </c>
      <c r="Q9" s="34">
        <v>0</v>
      </c>
      <c r="R9" s="34">
        <f t="shared" si="1545"/>
        <v>700000</v>
      </c>
      <c r="S9" s="35">
        <f t="shared" si="1546"/>
        <v>849406</v>
      </c>
      <c r="T9" s="35">
        <f t="shared" si="1547"/>
        <v>549406</v>
      </c>
      <c r="U9" s="19">
        <f t="shared" si="1548"/>
        <v>2.8313533333333334</v>
      </c>
    </row>
    <row r="10">
      <c r="A10" s="9" t="s">
        <v>30</v>
      </c>
      <c r="B10" s="9" t="s">
        <v>31</v>
      </c>
      <c r="C10" s="14">
        <v>335333</v>
      </c>
      <c r="D10" s="50">
        <v>0.89352805883812592</v>
      </c>
      <c r="E10" s="14">
        <f t="shared" si="1542"/>
        <v>299629.4445543653</v>
      </c>
      <c r="F10" s="44">
        <v>266020</v>
      </c>
      <c r="G10" s="13">
        <v>350000</v>
      </c>
      <c r="H10" s="44">
        <v>0</v>
      </c>
      <c r="I10" s="16">
        <f t="shared" si="1543"/>
        <v>266020</v>
      </c>
      <c r="J10" s="17">
        <f t="shared" si="1544"/>
        <v>-14667</v>
      </c>
      <c r="K10" s="18">
        <f t="shared" si="1549"/>
        <v>312734.82059334405</v>
      </c>
      <c r="L10" s="19">
        <f t="shared" ref="L10:L20" si="1551">K10/E10</f>
        <v>1.0437386120662147</v>
      </c>
      <c r="M10" s="34">
        <v>0</v>
      </c>
      <c r="N10" s="58">
        <v>0</v>
      </c>
      <c r="O10" s="34">
        <v>220000</v>
      </c>
      <c r="P10" s="34">
        <v>0</v>
      </c>
      <c r="Q10" s="34">
        <v>0</v>
      </c>
      <c r="R10" s="34">
        <f t="shared" si="1545"/>
        <v>220000</v>
      </c>
      <c r="S10" s="35">
        <f t="shared" si="1546"/>
        <v>836020</v>
      </c>
      <c r="T10" s="35">
        <f t="shared" si="1547"/>
        <v>500687</v>
      </c>
      <c r="U10" s="19">
        <f t="shared" si="1548"/>
        <v>2.4931038698845627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42"/>
        <v>0</v>
      </c>
      <c r="F11" s="13">
        <v>0</v>
      </c>
      <c r="G11" s="13">
        <v>0</v>
      </c>
      <c r="H11" s="13">
        <v>0</v>
      </c>
      <c r="I11" s="16">
        <f t="shared" si="1543"/>
        <v>0</v>
      </c>
      <c r="J11" s="17">
        <f t="shared" si="1544"/>
        <v>0</v>
      </c>
      <c r="K11" s="18">
        <f t="shared" si="1549"/>
        <v>0</v>
      </c>
      <c r="L11" s="19" t="e">
        <f t="shared" si="1551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45"/>
        <v>0</v>
      </c>
      <c r="S11" s="35">
        <f t="shared" si="1546"/>
        <v>0</v>
      </c>
      <c r="T11" s="35">
        <f t="shared" si="1547"/>
        <v>0</v>
      </c>
      <c r="U11" s="19" t="e">
        <f t="shared" si="1548"/>
        <v>#DIV/0!</v>
      </c>
    </row>
    <row r="12">
      <c r="A12" s="9" t="s">
        <v>24</v>
      </c>
      <c r="B12" s="9" t="s">
        <v>25</v>
      </c>
      <c r="C12" s="14">
        <v>105588</v>
      </c>
      <c r="D12" s="11">
        <v>4.6805391470734206</v>
      </c>
      <c r="E12" s="12">
        <f t="shared" si="1542"/>
        <v>494208.76746118831</v>
      </c>
      <c r="F12" s="13">
        <v>2246</v>
      </c>
      <c r="G12" s="13">
        <v>147640</v>
      </c>
      <c r="H12" s="13">
        <v>0</v>
      </c>
      <c r="I12" s="16">
        <f t="shared" si="1543"/>
        <v>2246</v>
      </c>
      <c r="J12" s="17">
        <f>C12-G12</f>
        <v>-42052</v>
      </c>
      <c r="K12" s="18">
        <f t="shared" si="1549"/>
        <v>691034.7996739198</v>
      </c>
      <c r="L12" s="19">
        <f t="shared" si="1551"/>
        <v>1.3982649543508732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45"/>
        <v>0</v>
      </c>
      <c r="S12" s="35">
        <f t="shared" si="1546"/>
        <v>149886</v>
      </c>
      <c r="T12" s="35">
        <f t="shared" si="1547"/>
        <v>44298</v>
      </c>
      <c r="U12" s="19">
        <f t="shared" si="1548"/>
        <v>1.4195363109444255</v>
      </c>
    </row>
    <row r="13">
      <c r="A13" s="56">
        <v>60000000032802</v>
      </c>
      <c r="B13" s="9" t="s">
        <v>113</v>
      </c>
      <c r="C13" s="14">
        <v>26506</v>
      </c>
      <c r="D13" s="11">
        <v>9.2599999999999998</v>
      </c>
      <c r="E13" s="12">
        <f t="shared" si="1542"/>
        <v>245445.56</v>
      </c>
      <c r="F13" s="13">
        <v>12105</v>
      </c>
      <c r="G13" s="13">
        <v>26492</v>
      </c>
      <c r="H13" s="13">
        <v>0</v>
      </c>
      <c r="I13" s="16">
        <f t="shared" si="1543"/>
        <v>12105</v>
      </c>
      <c r="J13" s="17">
        <f t="shared" si="1544"/>
        <v>14</v>
      </c>
      <c r="K13" s="18">
        <f t="shared" si="1549"/>
        <v>245315.91999999998</v>
      </c>
      <c r="L13" s="19">
        <f t="shared" si="1551"/>
        <v>0.99947181770165239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45"/>
        <v>0</v>
      </c>
      <c r="S13" s="35">
        <f t="shared" si="1546"/>
        <v>38597</v>
      </c>
      <c r="T13" s="35">
        <f t="shared" si="1547"/>
        <v>12091</v>
      </c>
      <c r="U13" s="19">
        <f t="shared" si="1548"/>
        <v>1.4561608692371539</v>
      </c>
    </row>
    <row r="14">
      <c r="A14" s="9" t="s">
        <v>42</v>
      </c>
      <c r="B14" s="9" t="s">
        <v>43</v>
      </c>
      <c r="C14" s="14">
        <v>7091</v>
      </c>
      <c r="D14" s="11">
        <v>8.9388782058969483</v>
      </c>
      <c r="E14" s="12">
        <f t="shared" si="1542"/>
        <v>63385.585358015262</v>
      </c>
      <c r="F14" s="13">
        <v>0</v>
      </c>
      <c r="G14" s="13">
        <v>7077</v>
      </c>
      <c r="H14" s="13">
        <v>0</v>
      </c>
      <c r="I14" s="16">
        <f t="shared" si="1543"/>
        <v>0</v>
      </c>
      <c r="J14" s="17">
        <f t="shared" si="1544"/>
        <v>14</v>
      </c>
      <c r="K14" s="18">
        <f t="shared" si="1549"/>
        <v>63260.441063132705</v>
      </c>
      <c r="L14" s="19">
        <f t="shared" si="1551"/>
        <v>0.99802566633761103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45"/>
        <v>0</v>
      </c>
      <c r="S14" s="35">
        <f t="shared" si="1546"/>
        <v>7077</v>
      </c>
      <c r="T14" s="35">
        <f t="shared" si="1547"/>
        <v>-14</v>
      </c>
      <c r="U14" s="19">
        <f t="shared" si="1548"/>
        <v>0.99802566633761103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42"/>
        <v>0</v>
      </c>
      <c r="F15" s="13">
        <v>0</v>
      </c>
      <c r="G15" s="33">
        <v>0</v>
      </c>
      <c r="H15" s="13">
        <v>0</v>
      </c>
      <c r="I15" s="16">
        <f t="shared" si="1543"/>
        <v>0</v>
      </c>
      <c r="J15" s="17">
        <f t="shared" si="1544"/>
        <v>0</v>
      </c>
      <c r="K15" s="18">
        <f t="shared" si="1549"/>
        <v>0</v>
      </c>
      <c r="L15" s="19" t="e">
        <f t="shared" si="1551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45"/>
        <v>0</v>
      </c>
      <c r="S15" s="35">
        <f t="shared" si="1546"/>
        <v>0</v>
      </c>
      <c r="T15" s="35">
        <f t="shared" si="1547"/>
        <v>0</v>
      </c>
      <c r="U15" s="19" t="e">
        <f t="shared" si="1548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42"/>
        <v>0</v>
      </c>
      <c r="F16" s="13">
        <v>0</v>
      </c>
      <c r="G16" s="33">
        <v>0</v>
      </c>
      <c r="H16" s="13">
        <v>0</v>
      </c>
      <c r="I16" s="16">
        <f t="shared" si="1543"/>
        <v>0</v>
      </c>
      <c r="J16" s="17">
        <f t="shared" si="1544"/>
        <v>0</v>
      </c>
      <c r="K16" s="18">
        <f t="shared" si="1549"/>
        <v>0</v>
      </c>
      <c r="L16" s="19" t="e">
        <f t="shared" si="1551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45"/>
        <v>0</v>
      </c>
      <c r="S16" s="35">
        <f t="shared" si="1546"/>
        <v>0</v>
      </c>
      <c r="T16" s="35">
        <f t="shared" si="1547"/>
        <v>0</v>
      </c>
      <c r="U16" s="19" t="e">
        <f t="shared" si="1548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42"/>
        <v>0</v>
      </c>
      <c r="F17" s="13">
        <v>0</v>
      </c>
      <c r="G17" s="33">
        <v>0</v>
      </c>
      <c r="H17" s="13">
        <v>0</v>
      </c>
      <c r="I17" s="16">
        <f t="shared" si="1543"/>
        <v>0</v>
      </c>
      <c r="J17" s="17">
        <f t="shared" si="1544"/>
        <v>0</v>
      </c>
      <c r="K17" s="18">
        <f t="shared" si="1549"/>
        <v>0</v>
      </c>
      <c r="L17" s="19" t="e">
        <f t="shared" si="1551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45"/>
        <v>0</v>
      </c>
      <c r="S17" s="35">
        <f t="shared" si="1546"/>
        <v>0</v>
      </c>
      <c r="T17" s="35">
        <f t="shared" si="1547"/>
        <v>0</v>
      </c>
      <c r="U17" s="19" t="e">
        <f t="shared" si="1548"/>
        <v>#DIV/0!</v>
      </c>
    </row>
    <row r="18">
      <c r="A18" s="9" t="s">
        <v>22</v>
      </c>
      <c r="B18" s="9" t="s">
        <v>23</v>
      </c>
      <c r="C18" s="14">
        <v>434385.5</v>
      </c>
      <c r="D18" s="50">
        <v>1.3029343529557731</v>
      </c>
      <c r="E18" s="14">
        <f t="shared" si="1542"/>
        <v>565975.79037586995</v>
      </c>
      <c r="F18" s="13">
        <v>444590</v>
      </c>
      <c r="G18" s="13">
        <v>434386</v>
      </c>
      <c r="H18" s="13">
        <v>0</v>
      </c>
      <c r="I18" s="16">
        <f t="shared" si="1543"/>
        <v>444590</v>
      </c>
      <c r="J18" s="17">
        <f t="shared" si="1544"/>
        <v>-0.5</v>
      </c>
      <c r="K18" s="18">
        <f t="shared" si="1549"/>
        <v>565976.44184304646</v>
      </c>
      <c r="L18" s="19">
        <f t="shared" si="1551"/>
        <v>1.0000011510513127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45"/>
        <v>0</v>
      </c>
      <c r="S18" s="35">
        <f t="shared" si="1546"/>
        <v>878976</v>
      </c>
      <c r="T18" s="35">
        <f t="shared" si="1547"/>
        <v>444590.5</v>
      </c>
      <c r="U18" s="19">
        <f t="shared" si="1548"/>
        <v>2.0234929572925431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49"/>
        <v>0</v>
      </c>
      <c r="L19" s="19" t="e">
        <f t="shared" si="1551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52">M19+N19+O19+P19+Q19</f>
        <v>0</v>
      </c>
      <c r="S19" s="35">
        <f t="shared" ref="S19:S20" si="1553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3038538.5</v>
      </c>
      <c r="D20" s="23"/>
      <c r="E20" s="22">
        <f t="shared" ref="E20:K20" si="1554">SUM(E3:E19)</f>
        <v>5286837.1464331709</v>
      </c>
      <c r="F20" s="24">
        <f t="shared" si="1554"/>
        <v>1199702</v>
      </c>
      <c r="G20" s="24">
        <f t="shared" si="1554"/>
        <v>2944484</v>
      </c>
      <c r="H20" s="24">
        <f t="shared" si="1554"/>
        <v>0</v>
      </c>
      <c r="I20" s="25">
        <f t="shared" si="1554"/>
        <v>1199702</v>
      </c>
      <c r="J20" s="26">
        <f t="shared" si="1554"/>
        <v>94054.5</v>
      </c>
      <c r="K20" s="26">
        <f t="shared" si="1554"/>
        <v>5482420.592749564</v>
      </c>
      <c r="L20" s="19">
        <f t="shared" si="1551"/>
        <v>1.0369944147888772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52"/>
        <v>0</v>
      </c>
      <c r="S20" s="35">
        <f t="shared" si="1553"/>
        <v>4144186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680077-000D-4D46-8653-00DF0039001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6000B2-0075-42B1-80AB-008100FC006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A700AD-00C0-46FC-9C83-000C00BE00A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5D0038-0045-4749-9383-0025002400A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85002C-004A-4124-B688-00D30017007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C70058-00E4-4023-AFC0-003200AE004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CE0046-001B-4124-A78E-006D006400A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2F00E5-0017-46B0-AE14-00DE006B003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4A00D8-0020-4203-99AB-00F300B9002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8" activeCellId="0" sqref="I8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244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18" si="1555">C3*D3</f>
        <v>0</v>
      </c>
      <c r="F3" s="13">
        <v>73792</v>
      </c>
      <c r="G3" s="44">
        <v>0</v>
      </c>
      <c r="H3" s="13">
        <v>0</v>
      </c>
      <c r="I3" s="16">
        <f t="shared" ref="I3:I18" si="1556">F3+H3</f>
        <v>73792</v>
      </c>
      <c r="J3" s="17">
        <f t="shared" ref="J3:J18" si="1557">C3-G3</f>
        <v>0</v>
      </c>
      <c r="K3" s="18">
        <f>+G3*D3</f>
        <v>0</v>
      </c>
      <c r="L3" s="19" t="e">
        <f t="shared" ref="L3:L20" si="1558">K3/E3</f>
        <v>#DIV/0!</v>
      </c>
      <c r="M3" s="34">
        <v>130000</v>
      </c>
      <c r="N3" s="58">
        <v>148000</v>
      </c>
      <c r="O3" s="34">
        <v>148000</v>
      </c>
      <c r="P3" s="34">
        <v>185000</v>
      </c>
      <c r="Q3" s="69">
        <v>74000</v>
      </c>
      <c r="R3" s="34">
        <f t="shared" ref="R3:R18" si="1559">M3+N3+O3+P3+Q3</f>
        <v>685000</v>
      </c>
      <c r="S3" s="35">
        <f t="shared" ref="S3:S18" si="1560">G3+I3+R3</f>
        <v>758792</v>
      </c>
      <c r="T3" s="35">
        <f t="shared" ref="T3:T18" si="1561">S3-C3</f>
        <v>758792</v>
      </c>
      <c r="U3" s="19" t="e">
        <f t="shared" ref="U3:U18" si="1562">S3/C3</f>
        <v>#DIV/0!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555"/>
        <v>0</v>
      </c>
      <c r="F4" s="13">
        <v>37378</v>
      </c>
      <c r="G4" s="13">
        <v>0</v>
      </c>
      <c r="H4" s="13">
        <v>37140</v>
      </c>
      <c r="I4" s="16">
        <f t="shared" si="1556"/>
        <v>74518</v>
      </c>
      <c r="J4" s="17">
        <f t="shared" si="1557"/>
        <v>0</v>
      </c>
      <c r="K4" s="18">
        <f>D4*G4</f>
        <v>0</v>
      </c>
      <c r="L4" s="19" t="e">
        <f t="shared" si="1558"/>
        <v>#DIV/0!</v>
      </c>
      <c r="M4" s="34">
        <v>0</v>
      </c>
      <c r="N4" s="58">
        <v>0</v>
      </c>
      <c r="O4" s="34">
        <v>34000</v>
      </c>
      <c r="P4" s="34">
        <v>0</v>
      </c>
      <c r="Q4" s="34">
        <v>0</v>
      </c>
      <c r="R4" s="34">
        <f t="shared" si="1559"/>
        <v>34000</v>
      </c>
      <c r="S4" s="35">
        <f t="shared" si="1560"/>
        <v>108518</v>
      </c>
      <c r="T4" s="35">
        <f t="shared" si="1561"/>
        <v>108518</v>
      </c>
      <c r="U4" s="19" t="e">
        <f t="shared" si="1562"/>
        <v>#DIV/0!</v>
      </c>
    </row>
    <row r="5">
      <c r="A5" s="9" t="s">
        <v>32</v>
      </c>
      <c r="B5" s="9" t="s">
        <v>33</v>
      </c>
      <c r="C5" s="14">
        <v>0</v>
      </c>
      <c r="D5" s="11">
        <v>1.0683280588381256</v>
      </c>
      <c r="E5" s="12">
        <f t="shared" si="1555"/>
        <v>0</v>
      </c>
      <c r="F5" s="13">
        <v>0</v>
      </c>
      <c r="G5" s="13">
        <v>154774</v>
      </c>
      <c r="H5" s="13">
        <v>0</v>
      </c>
      <c r="I5" s="16">
        <f t="shared" si="1556"/>
        <v>0</v>
      </c>
      <c r="J5" s="17">
        <f t="shared" si="1557"/>
        <v>-154774</v>
      </c>
      <c r="K5" s="18">
        <f t="shared" ref="K5:K19" si="1563">+G5*D5</f>
        <v>165349.40697861207</v>
      </c>
      <c r="L5" s="19" t="e">
        <f t="shared" si="1558"/>
        <v>#DIV/0!</v>
      </c>
      <c r="M5" s="34">
        <v>0</v>
      </c>
      <c r="N5" s="58">
        <v>320000</v>
      </c>
      <c r="O5" s="34">
        <v>0</v>
      </c>
      <c r="P5" s="73">
        <v>0</v>
      </c>
      <c r="Q5" s="34">
        <v>0</v>
      </c>
      <c r="R5" s="34">
        <f t="shared" si="1559"/>
        <v>320000</v>
      </c>
      <c r="S5" s="35">
        <f t="shared" si="1560"/>
        <v>474774</v>
      </c>
      <c r="T5" s="35">
        <f t="shared" si="1561"/>
        <v>474774</v>
      </c>
      <c r="U5" s="19" t="e">
        <f t="shared" si="1562"/>
        <v>#DIV/0!</v>
      </c>
    </row>
    <row r="6">
      <c r="A6" s="9" t="s">
        <v>34</v>
      </c>
      <c r="B6" s="9" t="s">
        <v>35</v>
      </c>
      <c r="C6" s="14">
        <v>0</v>
      </c>
      <c r="D6" s="50">
        <v>2.1696780588381257</v>
      </c>
      <c r="E6" s="14">
        <f t="shared" si="1555"/>
        <v>0</v>
      </c>
      <c r="F6" s="13">
        <v>0</v>
      </c>
      <c r="G6" s="13">
        <v>0</v>
      </c>
      <c r="H6" s="13">
        <v>0</v>
      </c>
      <c r="I6" s="16">
        <f t="shared" si="1556"/>
        <v>0</v>
      </c>
      <c r="J6" s="17">
        <f t="shared" si="1557"/>
        <v>0</v>
      </c>
      <c r="K6" s="18">
        <f t="shared" si="1563"/>
        <v>0</v>
      </c>
      <c r="L6" s="19" t="e">
        <f t="shared" si="1558"/>
        <v>#DIV/0!</v>
      </c>
      <c r="M6" s="34">
        <v>234000</v>
      </c>
      <c r="N6" s="58">
        <v>350000</v>
      </c>
      <c r="O6" s="34">
        <v>234000</v>
      </c>
      <c r="P6" s="34">
        <v>234000</v>
      </c>
      <c r="Q6" s="34">
        <v>0</v>
      </c>
      <c r="R6" s="34">
        <f t="shared" si="1559"/>
        <v>1052000</v>
      </c>
      <c r="S6" s="35">
        <f t="shared" si="1560"/>
        <v>1052000</v>
      </c>
      <c r="T6" s="35">
        <f t="shared" si="1561"/>
        <v>1052000</v>
      </c>
      <c r="U6" s="19" t="e">
        <f t="shared" si="1562"/>
        <v>#DIV/0!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55"/>
        <v>0</v>
      </c>
      <c r="F7" s="13">
        <v>0</v>
      </c>
      <c r="G7" s="13">
        <v>0</v>
      </c>
      <c r="H7" s="13">
        <v>0</v>
      </c>
      <c r="I7" s="16">
        <f t="shared" si="1556"/>
        <v>0</v>
      </c>
      <c r="J7" s="17">
        <f t="shared" si="1557"/>
        <v>0</v>
      </c>
      <c r="K7" s="18">
        <f t="shared" si="1563"/>
        <v>0</v>
      </c>
      <c r="L7" s="19" t="e">
        <f t="shared" si="1558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59"/>
        <v>0</v>
      </c>
      <c r="S7" s="35">
        <f t="shared" si="1560"/>
        <v>0</v>
      </c>
      <c r="T7" s="35">
        <f t="shared" si="1561"/>
        <v>0</v>
      </c>
      <c r="U7" s="19" t="e">
        <f t="shared" si="1562"/>
        <v>#DIV/0!</v>
      </c>
    </row>
    <row r="8">
      <c r="A8" s="9" t="s">
        <v>26</v>
      </c>
      <c r="B8" s="9" t="s">
        <v>27</v>
      </c>
      <c r="C8" s="14">
        <v>0</v>
      </c>
      <c r="D8" s="11">
        <v>1.1430280588381259</v>
      </c>
      <c r="E8" s="12">
        <f t="shared" si="1555"/>
        <v>0</v>
      </c>
      <c r="F8" s="13">
        <v>0</v>
      </c>
      <c r="G8" s="44">
        <v>0</v>
      </c>
      <c r="H8" s="44">
        <v>189967</v>
      </c>
      <c r="I8" s="16">
        <f t="shared" si="1556"/>
        <v>189967</v>
      </c>
      <c r="J8" s="17">
        <f t="shared" si="1557"/>
        <v>0</v>
      </c>
      <c r="K8" s="18">
        <f t="shared" si="1563"/>
        <v>0</v>
      </c>
      <c r="L8" s="19" t="e">
        <f t="shared" si="1558"/>
        <v>#DIV/0!</v>
      </c>
      <c r="M8" s="34">
        <v>190000</v>
      </c>
      <c r="N8" s="58">
        <v>283000</v>
      </c>
      <c r="O8" s="34">
        <v>220000</v>
      </c>
      <c r="P8" s="34">
        <v>0</v>
      </c>
      <c r="Q8" s="34">
        <v>0</v>
      </c>
      <c r="R8" s="34">
        <f t="shared" si="1559"/>
        <v>693000</v>
      </c>
      <c r="S8" s="35">
        <f t="shared" si="1560"/>
        <v>882967</v>
      </c>
      <c r="T8" s="35">
        <f t="shared" si="1561"/>
        <v>882967</v>
      </c>
      <c r="U8" s="19" t="e">
        <f t="shared" si="1562"/>
        <v>#DIV/0!</v>
      </c>
    </row>
    <row r="9">
      <c r="A9" s="9" t="s">
        <v>28</v>
      </c>
      <c r="B9" s="9" t="s">
        <v>29</v>
      </c>
      <c r="C9" s="14">
        <v>0</v>
      </c>
      <c r="D9" s="11">
        <v>0.63422805883812572</v>
      </c>
      <c r="E9" s="12">
        <f t="shared" si="1555"/>
        <v>0</v>
      </c>
      <c r="F9" s="13">
        <v>0</v>
      </c>
      <c r="G9" s="44">
        <v>0</v>
      </c>
      <c r="H9" s="13">
        <v>0</v>
      </c>
      <c r="I9" s="16">
        <f t="shared" si="1556"/>
        <v>0</v>
      </c>
      <c r="J9" s="17">
        <f t="shared" si="1557"/>
        <v>0</v>
      </c>
      <c r="K9" s="18">
        <f t="shared" si="1563"/>
        <v>0</v>
      </c>
      <c r="L9" s="19" t="e">
        <f t="shared" si="1558"/>
        <v>#DIV/0!</v>
      </c>
      <c r="M9" s="34">
        <v>440000</v>
      </c>
      <c r="N9" s="58">
        <v>0</v>
      </c>
      <c r="O9" s="34">
        <v>0</v>
      </c>
      <c r="P9" s="34">
        <v>260000</v>
      </c>
      <c r="Q9" s="34">
        <v>0</v>
      </c>
      <c r="R9" s="34">
        <f t="shared" si="1559"/>
        <v>700000</v>
      </c>
      <c r="S9" s="35">
        <f t="shared" si="1560"/>
        <v>700000</v>
      </c>
      <c r="T9" s="35">
        <f t="shared" si="1561"/>
        <v>700000</v>
      </c>
      <c r="U9" s="19" t="e">
        <f t="shared" si="1562"/>
        <v>#DIV/0!</v>
      </c>
    </row>
    <row r="10">
      <c r="A10" s="9" t="s">
        <v>30</v>
      </c>
      <c r="B10" s="9" t="s">
        <v>31</v>
      </c>
      <c r="C10" s="14">
        <v>0</v>
      </c>
      <c r="D10" s="50">
        <v>0.89352805883812592</v>
      </c>
      <c r="E10" s="14">
        <f t="shared" si="1555"/>
        <v>0</v>
      </c>
      <c r="F10" s="44">
        <v>41946</v>
      </c>
      <c r="G10" s="13">
        <v>237600</v>
      </c>
      <c r="H10" s="44">
        <v>28420</v>
      </c>
      <c r="I10" s="16">
        <f t="shared" si="1556"/>
        <v>70366</v>
      </c>
      <c r="J10" s="17">
        <f t="shared" si="1557"/>
        <v>-237600</v>
      </c>
      <c r="K10" s="18">
        <f t="shared" si="1563"/>
        <v>212302.26677993871</v>
      </c>
      <c r="L10" s="19" t="e">
        <f t="shared" si="1558"/>
        <v>#DIV/0!</v>
      </c>
      <c r="M10" s="34">
        <v>0</v>
      </c>
      <c r="N10" s="58">
        <v>0</v>
      </c>
      <c r="O10" s="34">
        <v>220000</v>
      </c>
      <c r="P10" s="34">
        <v>0</v>
      </c>
      <c r="Q10" s="34">
        <v>0</v>
      </c>
      <c r="R10" s="34">
        <f t="shared" si="1559"/>
        <v>220000</v>
      </c>
      <c r="S10" s="35">
        <f t="shared" si="1560"/>
        <v>527966</v>
      </c>
      <c r="T10" s="35">
        <f t="shared" si="1561"/>
        <v>527966</v>
      </c>
      <c r="U10" s="19" t="e">
        <f t="shared" si="1562"/>
        <v>#DIV/0!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55"/>
        <v>0</v>
      </c>
      <c r="F11" s="13">
        <v>0</v>
      </c>
      <c r="G11" s="13">
        <v>0</v>
      </c>
      <c r="H11" s="13">
        <v>0</v>
      </c>
      <c r="I11" s="16">
        <f t="shared" si="1556"/>
        <v>0</v>
      </c>
      <c r="J11" s="17">
        <f t="shared" si="1557"/>
        <v>0</v>
      </c>
      <c r="K11" s="18">
        <f t="shared" si="1563"/>
        <v>0</v>
      </c>
      <c r="L11" s="19" t="e">
        <f t="shared" si="155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59"/>
        <v>0</v>
      </c>
      <c r="S11" s="35">
        <f t="shared" si="1560"/>
        <v>0</v>
      </c>
      <c r="T11" s="35">
        <f t="shared" si="1561"/>
        <v>0</v>
      </c>
      <c r="U11" s="19" t="e">
        <f t="shared" si="1562"/>
        <v>#DIV/0!</v>
      </c>
    </row>
    <row r="12">
      <c r="A12" s="9" t="s">
        <v>24</v>
      </c>
      <c r="B12" s="9" t="s">
        <v>25</v>
      </c>
      <c r="C12" s="14">
        <v>0</v>
      </c>
      <c r="D12" s="11">
        <v>4.6805391470734206</v>
      </c>
      <c r="E12" s="12">
        <f t="shared" si="1555"/>
        <v>0</v>
      </c>
      <c r="F12" s="13">
        <v>2246</v>
      </c>
      <c r="G12" s="13">
        <v>0</v>
      </c>
      <c r="H12" s="13">
        <v>0</v>
      </c>
      <c r="I12" s="16">
        <f t="shared" si="1556"/>
        <v>2246</v>
      </c>
      <c r="J12" s="17">
        <f>C12-G12</f>
        <v>0</v>
      </c>
      <c r="K12" s="18">
        <f t="shared" si="1563"/>
        <v>0</v>
      </c>
      <c r="L12" s="19" t="e">
        <f t="shared" si="1558"/>
        <v>#DIV/0!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59"/>
        <v>0</v>
      </c>
      <c r="S12" s="35">
        <f t="shared" si="1560"/>
        <v>2246</v>
      </c>
      <c r="T12" s="35">
        <f t="shared" si="1561"/>
        <v>2246</v>
      </c>
      <c r="U12" s="19" t="e">
        <f t="shared" si="1562"/>
        <v>#DIV/0!</v>
      </c>
    </row>
    <row r="13">
      <c r="A13" s="56">
        <v>60000000032802</v>
      </c>
      <c r="B13" s="9" t="s">
        <v>113</v>
      </c>
      <c r="C13" s="14">
        <v>0</v>
      </c>
      <c r="D13" s="11">
        <v>9.2599999999999998</v>
      </c>
      <c r="E13" s="12">
        <f t="shared" si="1555"/>
        <v>0</v>
      </c>
      <c r="F13" s="13">
        <v>12105</v>
      </c>
      <c r="G13" s="13">
        <v>0</v>
      </c>
      <c r="H13" s="13">
        <v>0</v>
      </c>
      <c r="I13" s="16">
        <f t="shared" si="1556"/>
        <v>12105</v>
      </c>
      <c r="J13" s="17">
        <f t="shared" si="1557"/>
        <v>0</v>
      </c>
      <c r="K13" s="18">
        <f t="shared" si="1563"/>
        <v>0</v>
      </c>
      <c r="L13" s="19" t="e">
        <f t="shared" si="1558"/>
        <v>#DIV/0!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59"/>
        <v>0</v>
      </c>
      <c r="S13" s="35">
        <f t="shared" si="1560"/>
        <v>12105</v>
      </c>
      <c r="T13" s="35">
        <f t="shared" si="1561"/>
        <v>12105</v>
      </c>
      <c r="U13" s="19" t="e">
        <f t="shared" si="1562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555"/>
        <v>0</v>
      </c>
      <c r="F14" s="13">
        <v>0</v>
      </c>
      <c r="G14" s="13">
        <v>0</v>
      </c>
      <c r="H14" s="13">
        <v>0</v>
      </c>
      <c r="I14" s="16">
        <f t="shared" si="1556"/>
        <v>0</v>
      </c>
      <c r="J14" s="17">
        <f t="shared" si="1557"/>
        <v>0</v>
      </c>
      <c r="K14" s="18">
        <f t="shared" si="1563"/>
        <v>0</v>
      </c>
      <c r="L14" s="19" t="e">
        <f t="shared" si="1558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59"/>
        <v>0</v>
      </c>
      <c r="S14" s="35">
        <f t="shared" si="1560"/>
        <v>0</v>
      </c>
      <c r="T14" s="35">
        <f t="shared" si="1561"/>
        <v>0</v>
      </c>
      <c r="U14" s="19" t="e">
        <f t="shared" si="1562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55"/>
        <v>0</v>
      </c>
      <c r="F15" s="13">
        <v>0</v>
      </c>
      <c r="G15" s="33">
        <v>0</v>
      </c>
      <c r="H15" s="13">
        <v>0</v>
      </c>
      <c r="I15" s="16">
        <f t="shared" si="1556"/>
        <v>0</v>
      </c>
      <c r="J15" s="17">
        <f t="shared" si="1557"/>
        <v>0</v>
      </c>
      <c r="K15" s="18">
        <f t="shared" si="1563"/>
        <v>0</v>
      </c>
      <c r="L15" s="19" t="e">
        <f t="shared" si="1558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59"/>
        <v>0</v>
      </c>
      <c r="S15" s="35">
        <f t="shared" si="1560"/>
        <v>0</v>
      </c>
      <c r="T15" s="35">
        <f t="shared" si="1561"/>
        <v>0</v>
      </c>
      <c r="U15" s="19" t="e">
        <f t="shared" si="1562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55"/>
        <v>0</v>
      </c>
      <c r="F16" s="13">
        <v>0</v>
      </c>
      <c r="G16" s="33">
        <v>0</v>
      </c>
      <c r="H16" s="13">
        <v>0</v>
      </c>
      <c r="I16" s="16">
        <f t="shared" si="1556"/>
        <v>0</v>
      </c>
      <c r="J16" s="17">
        <f t="shared" si="1557"/>
        <v>0</v>
      </c>
      <c r="K16" s="18">
        <f t="shared" si="1563"/>
        <v>0</v>
      </c>
      <c r="L16" s="19" t="e">
        <f t="shared" si="1558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59"/>
        <v>0</v>
      </c>
      <c r="S16" s="35">
        <f t="shared" si="1560"/>
        <v>0</v>
      </c>
      <c r="T16" s="35">
        <f t="shared" si="1561"/>
        <v>0</v>
      </c>
      <c r="U16" s="19" t="e">
        <f t="shared" si="1562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55"/>
        <v>0</v>
      </c>
      <c r="F17" s="13">
        <v>0</v>
      </c>
      <c r="G17" s="33">
        <v>0</v>
      </c>
      <c r="H17" s="13">
        <v>0</v>
      </c>
      <c r="I17" s="16">
        <f t="shared" si="1556"/>
        <v>0</v>
      </c>
      <c r="J17" s="17">
        <f t="shared" si="1557"/>
        <v>0</v>
      </c>
      <c r="K17" s="18">
        <f t="shared" si="1563"/>
        <v>0</v>
      </c>
      <c r="L17" s="19" t="e">
        <f t="shared" si="155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59"/>
        <v>0</v>
      </c>
      <c r="S17" s="35">
        <f t="shared" si="1560"/>
        <v>0</v>
      </c>
      <c r="T17" s="35">
        <f t="shared" si="1561"/>
        <v>0</v>
      </c>
      <c r="U17" s="19" t="e">
        <f t="shared" si="1562"/>
        <v>#DIV/0!</v>
      </c>
    </row>
    <row r="18">
      <c r="A18" s="9" t="s">
        <v>22</v>
      </c>
      <c r="B18" s="9" t="s">
        <v>23</v>
      </c>
      <c r="C18" s="14">
        <v>0</v>
      </c>
      <c r="D18" s="50">
        <v>1.3029343529557731</v>
      </c>
      <c r="E18" s="14">
        <f t="shared" si="1555"/>
        <v>0</v>
      </c>
      <c r="F18" s="13">
        <v>444590</v>
      </c>
      <c r="G18" s="13">
        <v>0</v>
      </c>
      <c r="H18" s="13">
        <v>0</v>
      </c>
      <c r="I18" s="16">
        <f t="shared" si="1556"/>
        <v>444590</v>
      </c>
      <c r="J18" s="17">
        <f t="shared" si="1557"/>
        <v>0</v>
      </c>
      <c r="K18" s="18">
        <f t="shared" si="1563"/>
        <v>0</v>
      </c>
      <c r="L18" s="19" t="e">
        <f t="shared" si="1558"/>
        <v>#DIV/0!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59"/>
        <v>0</v>
      </c>
      <c r="S18" s="35">
        <f t="shared" si="1560"/>
        <v>444590</v>
      </c>
      <c r="T18" s="35">
        <f t="shared" si="1561"/>
        <v>444590</v>
      </c>
      <c r="U18" s="19" t="e">
        <f t="shared" si="1562"/>
        <v>#DIV/0!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63"/>
        <v>0</v>
      </c>
      <c r="L19" s="19" t="e">
        <f t="shared" si="1558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64">M19+N19+O19+P19+Q19</f>
        <v>0</v>
      </c>
      <c r="S19" s="35">
        <f t="shared" ref="S19:S20" si="1565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0</v>
      </c>
      <c r="D20" s="23"/>
      <c r="E20" s="22">
        <f t="shared" ref="E20:K20" si="1566">SUM(E3:E19)</f>
        <v>0</v>
      </c>
      <c r="F20" s="24">
        <f t="shared" si="1566"/>
        <v>612057</v>
      </c>
      <c r="G20" s="24">
        <f t="shared" si="1566"/>
        <v>392374</v>
      </c>
      <c r="H20" s="24">
        <f t="shared" si="1566"/>
        <v>255527</v>
      </c>
      <c r="I20" s="25">
        <f t="shared" si="1566"/>
        <v>867584</v>
      </c>
      <c r="J20" s="26">
        <f t="shared" si="1566"/>
        <v>-392374</v>
      </c>
      <c r="K20" s="26">
        <f t="shared" si="1566"/>
        <v>377651.67375855078</v>
      </c>
      <c r="L20" s="19" t="e">
        <f t="shared" si="1558"/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64"/>
        <v>0</v>
      </c>
      <c r="S20" s="35">
        <f t="shared" si="1565"/>
        <v>1259958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9200B8-0099-4EEF-87BB-0041000B00C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8000F0-0077-4A41-B588-0031002600F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1400C2-00EE-48E5-8D4D-000800CE00E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A300F4-003F-44D5-BD71-006700B500A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CD00CC-004D-43CF-881A-00940036004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580034-00DE-4D75-B604-00EE00FE007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D100A6-00AD-422A-886D-00EB003C00A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9700DB-0070-404D-8CC4-007C000D006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300043-009E-49BD-9875-00D1007000A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11" activeCellId="0" sqref="H11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223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245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0</v>
      </c>
      <c r="D3" s="11">
        <v>2.8923780588381258</v>
      </c>
      <c r="E3" s="12">
        <f t="shared" ref="E3:E18" si="1567">C3*D3</f>
        <v>0</v>
      </c>
      <c r="F3" s="13">
        <v>0</v>
      </c>
      <c r="G3" s="44">
        <v>0</v>
      </c>
      <c r="H3" s="13">
        <v>73792</v>
      </c>
      <c r="I3" s="16">
        <f t="shared" ref="I3:I18" si="1568">F3+H3</f>
        <v>73792</v>
      </c>
      <c r="J3" s="17">
        <f t="shared" ref="J3:J18" si="1569">C3-G3</f>
        <v>0</v>
      </c>
      <c r="K3" s="18">
        <f>+G3*D3</f>
        <v>0</v>
      </c>
      <c r="L3" s="19" t="e">
        <f t="shared" ref="L3:L20" si="1570">K3/E3</f>
        <v>#DIV/0!</v>
      </c>
      <c r="M3" s="34">
        <v>130000</v>
      </c>
      <c r="N3" s="58">
        <v>148000</v>
      </c>
      <c r="O3" s="34">
        <v>148000</v>
      </c>
      <c r="P3" s="34">
        <v>185000</v>
      </c>
      <c r="Q3" s="69">
        <v>74000</v>
      </c>
      <c r="R3" s="34">
        <f t="shared" ref="R3:R18" si="1571">M3+N3+O3+P3+Q3</f>
        <v>685000</v>
      </c>
      <c r="S3" s="35">
        <f t="shared" ref="S3:S18" si="1572">G3+I3+R3</f>
        <v>758792</v>
      </c>
      <c r="T3" s="35">
        <f t="shared" ref="T3:T18" si="1573">S3-C3</f>
        <v>758792</v>
      </c>
      <c r="U3" s="19" t="e">
        <f t="shared" ref="U3:U18" si="1574">S3/C3</f>
        <v>#DIV/0!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567"/>
        <v>0</v>
      </c>
      <c r="F4" s="13">
        <v>0</v>
      </c>
      <c r="G4" s="13">
        <v>0</v>
      </c>
      <c r="H4" s="13">
        <v>74518</v>
      </c>
      <c r="I4" s="16">
        <f t="shared" si="1568"/>
        <v>74518</v>
      </c>
      <c r="J4" s="17">
        <f t="shared" si="1569"/>
        <v>0</v>
      </c>
      <c r="K4" s="18">
        <f>D4*G4</f>
        <v>0</v>
      </c>
      <c r="L4" s="19" t="e">
        <f t="shared" si="1570"/>
        <v>#DIV/0!</v>
      </c>
      <c r="M4" s="34">
        <v>0</v>
      </c>
      <c r="N4" s="58">
        <v>0</v>
      </c>
      <c r="O4" s="34">
        <v>34000</v>
      </c>
      <c r="P4" s="34">
        <v>0</v>
      </c>
      <c r="Q4" s="34">
        <v>0</v>
      </c>
      <c r="R4" s="34">
        <f t="shared" si="1571"/>
        <v>34000</v>
      </c>
      <c r="S4" s="35">
        <f t="shared" si="1572"/>
        <v>108518</v>
      </c>
      <c r="T4" s="35">
        <f t="shared" si="1573"/>
        <v>108518</v>
      </c>
      <c r="U4" s="19" t="e">
        <f t="shared" si="1574"/>
        <v>#DIV/0!</v>
      </c>
    </row>
    <row r="5">
      <c r="A5" s="9" t="s">
        <v>32</v>
      </c>
      <c r="B5" s="9" t="s">
        <v>33</v>
      </c>
      <c r="C5" s="14">
        <v>0</v>
      </c>
      <c r="D5" s="11">
        <v>1.0683280588381256</v>
      </c>
      <c r="E5" s="12">
        <f t="shared" si="1567"/>
        <v>0</v>
      </c>
      <c r="F5" s="13">
        <v>0</v>
      </c>
      <c r="G5" s="13">
        <v>154774</v>
      </c>
      <c r="H5" s="13">
        <v>0</v>
      </c>
      <c r="I5" s="16">
        <f t="shared" si="1568"/>
        <v>0</v>
      </c>
      <c r="J5" s="17">
        <f t="shared" si="1569"/>
        <v>-154774</v>
      </c>
      <c r="K5" s="18">
        <f t="shared" ref="K5:K19" si="1575">+G5*D5</f>
        <v>165349.40697861207</v>
      </c>
      <c r="L5" s="19" t="e">
        <f t="shared" si="1570"/>
        <v>#DIV/0!</v>
      </c>
      <c r="M5" s="34">
        <v>0</v>
      </c>
      <c r="N5" s="58">
        <v>320000</v>
      </c>
      <c r="O5" s="34">
        <v>0</v>
      </c>
      <c r="P5" s="73">
        <v>0</v>
      </c>
      <c r="Q5" s="34">
        <v>0</v>
      </c>
      <c r="R5" s="34">
        <f t="shared" si="1571"/>
        <v>320000</v>
      </c>
      <c r="S5" s="35">
        <f t="shared" si="1572"/>
        <v>474774</v>
      </c>
      <c r="T5" s="35">
        <f t="shared" si="1573"/>
        <v>474774</v>
      </c>
      <c r="U5" s="19" t="e">
        <f t="shared" si="1574"/>
        <v>#DIV/0!</v>
      </c>
    </row>
    <row r="6">
      <c r="A6" s="9" t="s">
        <v>34</v>
      </c>
      <c r="B6" s="9" t="s">
        <v>35</v>
      </c>
      <c r="C6" s="14">
        <v>0</v>
      </c>
      <c r="D6" s="50">
        <v>2.1696780588381257</v>
      </c>
      <c r="E6" s="14">
        <f t="shared" si="1567"/>
        <v>0</v>
      </c>
      <c r="F6" s="13">
        <v>0</v>
      </c>
      <c r="G6" s="13">
        <v>0</v>
      </c>
      <c r="H6" s="13">
        <v>0</v>
      </c>
      <c r="I6" s="16">
        <f t="shared" si="1568"/>
        <v>0</v>
      </c>
      <c r="J6" s="17">
        <f t="shared" si="1569"/>
        <v>0</v>
      </c>
      <c r="K6" s="18">
        <f t="shared" si="1575"/>
        <v>0</v>
      </c>
      <c r="L6" s="19" t="e">
        <f t="shared" si="1570"/>
        <v>#DIV/0!</v>
      </c>
      <c r="M6" s="34">
        <v>234000</v>
      </c>
      <c r="N6" s="58">
        <v>350000</v>
      </c>
      <c r="O6" s="34">
        <v>234000</v>
      </c>
      <c r="P6" s="34">
        <v>234000</v>
      </c>
      <c r="Q6" s="34">
        <v>0</v>
      </c>
      <c r="R6" s="34">
        <f t="shared" si="1571"/>
        <v>1052000</v>
      </c>
      <c r="S6" s="35">
        <f t="shared" si="1572"/>
        <v>1052000</v>
      </c>
      <c r="T6" s="35">
        <f t="shared" si="1573"/>
        <v>1052000</v>
      </c>
      <c r="U6" s="19" t="e">
        <f t="shared" si="1574"/>
        <v>#DIV/0!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67"/>
        <v>0</v>
      </c>
      <c r="F7" s="13">
        <v>0</v>
      </c>
      <c r="G7" s="13">
        <v>0</v>
      </c>
      <c r="H7" s="13">
        <v>0</v>
      </c>
      <c r="I7" s="16">
        <f t="shared" si="1568"/>
        <v>0</v>
      </c>
      <c r="J7" s="17">
        <f t="shared" si="1569"/>
        <v>0</v>
      </c>
      <c r="K7" s="18">
        <f t="shared" si="1575"/>
        <v>0</v>
      </c>
      <c r="L7" s="19" t="e">
        <f t="shared" si="1570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71"/>
        <v>0</v>
      </c>
      <c r="S7" s="35">
        <f t="shared" si="1572"/>
        <v>0</v>
      </c>
      <c r="T7" s="35">
        <f t="shared" si="1573"/>
        <v>0</v>
      </c>
      <c r="U7" s="19" t="e">
        <f t="shared" si="1574"/>
        <v>#DIV/0!</v>
      </c>
    </row>
    <row r="8">
      <c r="A8" s="9" t="s">
        <v>26</v>
      </c>
      <c r="B8" s="9" t="s">
        <v>27</v>
      </c>
      <c r="C8" s="14">
        <v>0</v>
      </c>
      <c r="D8" s="11">
        <v>1.1430280588381259</v>
      </c>
      <c r="E8" s="12">
        <f t="shared" si="1567"/>
        <v>0</v>
      </c>
      <c r="F8" s="13">
        <v>0</v>
      </c>
      <c r="G8" s="44">
        <v>51727</v>
      </c>
      <c r="H8" s="44">
        <v>138240</v>
      </c>
      <c r="I8" s="16">
        <f t="shared" si="1568"/>
        <v>138240</v>
      </c>
      <c r="J8" s="17">
        <f t="shared" si="1569"/>
        <v>-51727</v>
      </c>
      <c r="K8" s="18">
        <f t="shared" si="1575"/>
        <v>59125.412399519737</v>
      </c>
      <c r="L8" s="19" t="e">
        <f t="shared" si="1570"/>
        <v>#DIV/0!</v>
      </c>
      <c r="M8" s="34">
        <v>190000</v>
      </c>
      <c r="N8" s="58">
        <v>283000</v>
      </c>
      <c r="O8" s="34">
        <v>220000</v>
      </c>
      <c r="P8" s="34">
        <v>0</v>
      </c>
      <c r="Q8" s="34">
        <v>0</v>
      </c>
      <c r="R8" s="34">
        <f t="shared" si="1571"/>
        <v>693000</v>
      </c>
      <c r="S8" s="35">
        <f t="shared" si="1572"/>
        <v>882967</v>
      </c>
      <c r="T8" s="35">
        <f t="shared" si="1573"/>
        <v>882967</v>
      </c>
      <c r="U8" s="19" t="e">
        <f t="shared" si="1574"/>
        <v>#DIV/0!</v>
      </c>
    </row>
    <row r="9">
      <c r="A9" s="9" t="s">
        <v>28</v>
      </c>
      <c r="B9" s="9" t="s">
        <v>29</v>
      </c>
      <c r="C9" s="14">
        <v>0</v>
      </c>
      <c r="D9" s="11">
        <v>0.63422805883812572</v>
      </c>
      <c r="E9" s="12">
        <f t="shared" si="1567"/>
        <v>0</v>
      </c>
      <c r="F9" s="13">
        <v>0</v>
      </c>
      <c r="G9" s="44">
        <v>0</v>
      </c>
      <c r="H9" s="13">
        <v>0</v>
      </c>
      <c r="I9" s="16">
        <f t="shared" si="1568"/>
        <v>0</v>
      </c>
      <c r="J9" s="17">
        <f t="shared" si="1569"/>
        <v>0</v>
      </c>
      <c r="K9" s="18">
        <f t="shared" si="1575"/>
        <v>0</v>
      </c>
      <c r="L9" s="19" t="e">
        <f t="shared" si="1570"/>
        <v>#DIV/0!</v>
      </c>
      <c r="M9" s="34">
        <v>440000</v>
      </c>
      <c r="N9" s="58">
        <v>0</v>
      </c>
      <c r="O9" s="34">
        <v>0</v>
      </c>
      <c r="P9" s="34">
        <v>260000</v>
      </c>
      <c r="Q9" s="34">
        <v>0</v>
      </c>
      <c r="R9" s="34">
        <f t="shared" si="1571"/>
        <v>700000</v>
      </c>
      <c r="S9" s="35">
        <f t="shared" si="1572"/>
        <v>700000</v>
      </c>
      <c r="T9" s="35">
        <f t="shared" si="1573"/>
        <v>700000</v>
      </c>
      <c r="U9" s="19" t="e">
        <f t="shared" si="1574"/>
        <v>#DIV/0!</v>
      </c>
    </row>
    <row r="10">
      <c r="A10" s="9" t="s">
        <v>30</v>
      </c>
      <c r="B10" s="9" t="s">
        <v>31</v>
      </c>
      <c r="C10" s="14">
        <v>0</v>
      </c>
      <c r="D10" s="50">
        <v>0.89352805883812592</v>
      </c>
      <c r="E10" s="14">
        <f t="shared" si="1567"/>
        <v>0</v>
      </c>
      <c r="F10" s="44">
        <v>41946</v>
      </c>
      <c r="G10" s="13">
        <v>266020</v>
      </c>
      <c r="H10" s="44">
        <v>0</v>
      </c>
      <c r="I10" s="16">
        <f t="shared" si="1568"/>
        <v>41946</v>
      </c>
      <c r="J10" s="17">
        <f t="shared" si="1569"/>
        <v>-266020</v>
      </c>
      <c r="K10" s="18">
        <f t="shared" si="1575"/>
        <v>237696.33421211826</v>
      </c>
      <c r="L10" s="19" t="e">
        <f t="shared" si="1570"/>
        <v>#DIV/0!</v>
      </c>
      <c r="M10" s="34">
        <v>0</v>
      </c>
      <c r="N10" s="58">
        <v>0</v>
      </c>
      <c r="O10" s="34">
        <v>220000</v>
      </c>
      <c r="P10" s="34">
        <v>0</v>
      </c>
      <c r="Q10" s="34">
        <v>0</v>
      </c>
      <c r="R10" s="34">
        <f t="shared" si="1571"/>
        <v>220000</v>
      </c>
      <c r="S10" s="35">
        <f t="shared" si="1572"/>
        <v>527966</v>
      </c>
      <c r="T10" s="35">
        <f t="shared" si="1573"/>
        <v>527966</v>
      </c>
      <c r="U10" s="19" t="e">
        <f t="shared" si="1574"/>
        <v>#DIV/0!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67"/>
        <v>0</v>
      </c>
      <c r="F11" s="13">
        <v>0</v>
      </c>
      <c r="G11" s="13">
        <v>0</v>
      </c>
      <c r="H11" s="13">
        <v>0</v>
      </c>
      <c r="I11" s="16">
        <f t="shared" si="1568"/>
        <v>0</v>
      </c>
      <c r="J11" s="17">
        <f t="shared" si="1569"/>
        <v>0</v>
      </c>
      <c r="K11" s="18">
        <f t="shared" si="1575"/>
        <v>0</v>
      </c>
      <c r="L11" s="19" t="e">
        <f t="shared" si="1570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71"/>
        <v>0</v>
      </c>
      <c r="S11" s="35">
        <f t="shared" si="1572"/>
        <v>0</v>
      </c>
      <c r="T11" s="35">
        <f t="shared" si="1573"/>
        <v>0</v>
      </c>
      <c r="U11" s="19" t="e">
        <f t="shared" si="1574"/>
        <v>#DIV/0!</v>
      </c>
    </row>
    <row r="12">
      <c r="A12" s="9" t="s">
        <v>24</v>
      </c>
      <c r="B12" s="9" t="s">
        <v>25</v>
      </c>
      <c r="C12" s="14">
        <v>0</v>
      </c>
      <c r="D12" s="11">
        <v>4.6805391470734206</v>
      </c>
      <c r="E12" s="12">
        <f t="shared" si="1567"/>
        <v>0</v>
      </c>
      <c r="F12" s="13">
        <v>2246</v>
      </c>
      <c r="G12" s="13">
        <v>0</v>
      </c>
      <c r="H12" s="13">
        <v>0</v>
      </c>
      <c r="I12" s="16">
        <f t="shared" si="1568"/>
        <v>2246</v>
      </c>
      <c r="J12" s="17">
        <f>C12-G12</f>
        <v>0</v>
      </c>
      <c r="K12" s="18">
        <f t="shared" si="1575"/>
        <v>0</v>
      </c>
      <c r="L12" s="19" t="e">
        <f t="shared" si="1570"/>
        <v>#DIV/0!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71"/>
        <v>0</v>
      </c>
      <c r="S12" s="35">
        <f t="shared" si="1572"/>
        <v>2246</v>
      </c>
      <c r="T12" s="35">
        <f t="shared" si="1573"/>
        <v>2246</v>
      </c>
      <c r="U12" s="19" t="e">
        <f t="shared" si="1574"/>
        <v>#DIV/0!</v>
      </c>
    </row>
    <row r="13">
      <c r="A13" s="56">
        <v>60000000032802</v>
      </c>
      <c r="B13" s="9" t="s">
        <v>113</v>
      </c>
      <c r="C13" s="14">
        <v>0</v>
      </c>
      <c r="D13" s="11">
        <v>9.2599999999999998</v>
      </c>
      <c r="E13" s="12">
        <f t="shared" si="1567"/>
        <v>0</v>
      </c>
      <c r="F13" s="13">
        <v>12105</v>
      </c>
      <c r="G13" s="13">
        <v>0</v>
      </c>
      <c r="H13" s="13">
        <v>0</v>
      </c>
      <c r="I13" s="16">
        <f t="shared" si="1568"/>
        <v>12105</v>
      </c>
      <c r="J13" s="17">
        <f t="shared" si="1569"/>
        <v>0</v>
      </c>
      <c r="K13" s="18">
        <f t="shared" si="1575"/>
        <v>0</v>
      </c>
      <c r="L13" s="19" t="e">
        <f t="shared" si="1570"/>
        <v>#DIV/0!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71"/>
        <v>0</v>
      </c>
      <c r="S13" s="35">
        <f t="shared" si="1572"/>
        <v>12105</v>
      </c>
      <c r="T13" s="35">
        <f t="shared" si="1573"/>
        <v>12105</v>
      </c>
      <c r="U13" s="19" t="e">
        <f t="shared" si="1574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567"/>
        <v>0</v>
      </c>
      <c r="F14" s="13">
        <v>0</v>
      </c>
      <c r="G14" s="13">
        <v>0</v>
      </c>
      <c r="H14" s="13">
        <v>0</v>
      </c>
      <c r="I14" s="16">
        <f t="shared" si="1568"/>
        <v>0</v>
      </c>
      <c r="J14" s="17">
        <f t="shared" si="1569"/>
        <v>0</v>
      </c>
      <c r="K14" s="18">
        <f t="shared" si="1575"/>
        <v>0</v>
      </c>
      <c r="L14" s="19" t="e">
        <f t="shared" si="1570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71"/>
        <v>0</v>
      </c>
      <c r="S14" s="35">
        <f t="shared" si="1572"/>
        <v>0</v>
      </c>
      <c r="T14" s="35">
        <f t="shared" si="1573"/>
        <v>0</v>
      </c>
      <c r="U14" s="19" t="e">
        <f t="shared" si="1574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67"/>
        <v>0</v>
      </c>
      <c r="F15" s="13">
        <v>0</v>
      </c>
      <c r="G15" s="33">
        <v>0</v>
      </c>
      <c r="H15" s="13">
        <v>0</v>
      </c>
      <c r="I15" s="16">
        <f t="shared" si="1568"/>
        <v>0</v>
      </c>
      <c r="J15" s="17">
        <f t="shared" si="1569"/>
        <v>0</v>
      </c>
      <c r="K15" s="18">
        <f t="shared" si="1575"/>
        <v>0</v>
      </c>
      <c r="L15" s="19" t="e">
        <f t="shared" si="1570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71"/>
        <v>0</v>
      </c>
      <c r="S15" s="35">
        <f t="shared" si="1572"/>
        <v>0</v>
      </c>
      <c r="T15" s="35">
        <f t="shared" si="1573"/>
        <v>0</v>
      </c>
      <c r="U15" s="19" t="e">
        <f t="shared" si="1574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67"/>
        <v>0</v>
      </c>
      <c r="F16" s="13">
        <v>0</v>
      </c>
      <c r="G16" s="33">
        <v>0</v>
      </c>
      <c r="H16" s="13">
        <v>0</v>
      </c>
      <c r="I16" s="16">
        <f t="shared" si="1568"/>
        <v>0</v>
      </c>
      <c r="J16" s="17">
        <f t="shared" si="1569"/>
        <v>0</v>
      </c>
      <c r="K16" s="18">
        <f t="shared" si="1575"/>
        <v>0</v>
      </c>
      <c r="L16" s="19" t="e">
        <f t="shared" si="1570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71"/>
        <v>0</v>
      </c>
      <c r="S16" s="35">
        <f t="shared" si="1572"/>
        <v>0</v>
      </c>
      <c r="T16" s="35">
        <f t="shared" si="1573"/>
        <v>0</v>
      </c>
      <c r="U16" s="19" t="e">
        <f t="shared" si="1574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67"/>
        <v>0</v>
      </c>
      <c r="F17" s="13">
        <v>0</v>
      </c>
      <c r="G17" s="33">
        <v>0</v>
      </c>
      <c r="H17" s="13">
        <v>0</v>
      </c>
      <c r="I17" s="16">
        <f t="shared" si="1568"/>
        <v>0</v>
      </c>
      <c r="J17" s="17">
        <f t="shared" si="1569"/>
        <v>0</v>
      </c>
      <c r="K17" s="18">
        <f t="shared" si="1575"/>
        <v>0</v>
      </c>
      <c r="L17" s="19" t="e">
        <f t="shared" si="157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71"/>
        <v>0</v>
      </c>
      <c r="S17" s="35">
        <f t="shared" si="1572"/>
        <v>0</v>
      </c>
      <c r="T17" s="35">
        <f t="shared" si="1573"/>
        <v>0</v>
      </c>
      <c r="U17" s="19" t="e">
        <f t="shared" si="1574"/>
        <v>#DIV/0!</v>
      </c>
    </row>
    <row r="18">
      <c r="A18" s="9" t="s">
        <v>22</v>
      </c>
      <c r="B18" s="9" t="s">
        <v>23</v>
      </c>
      <c r="C18" s="14">
        <v>0</v>
      </c>
      <c r="D18" s="50">
        <v>1.3029343529557731</v>
      </c>
      <c r="E18" s="14">
        <f t="shared" si="1567"/>
        <v>0</v>
      </c>
      <c r="F18" s="13">
        <v>595213</v>
      </c>
      <c r="G18" s="13">
        <v>0</v>
      </c>
      <c r="H18" s="13">
        <v>0</v>
      </c>
      <c r="I18" s="16">
        <f t="shared" si="1568"/>
        <v>595213</v>
      </c>
      <c r="J18" s="17">
        <f t="shared" si="1569"/>
        <v>0</v>
      </c>
      <c r="K18" s="18">
        <f t="shared" si="1575"/>
        <v>0</v>
      </c>
      <c r="L18" s="19" t="e">
        <f t="shared" si="1570"/>
        <v>#DIV/0!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71"/>
        <v>0</v>
      </c>
      <c r="S18" s="35">
        <f t="shared" si="1572"/>
        <v>595213</v>
      </c>
      <c r="T18" s="35">
        <f t="shared" si="1573"/>
        <v>595213</v>
      </c>
      <c r="U18" s="19" t="e">
        <f t="shared" si="1574"/>
        <v>#DIV/0!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75"/>
        <v>0</v>
      </c>
      <c r="L19" s="19" t="e">
        <f t="shared" si="1570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76">M19+N19+O19+P19+Q19</f>
        <v>0</v>
      </c>
      <c r="S19" s="35">
        <f t="shared" ref="S19:S20" si="1577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0</v>
      </c>
      <c r="D20" s="23"/>
      <c r="E20" s="22">
        <f t="shared" ref="E20:K20" si="1578">SUM(E3:E19)</f>
        <v>0</v>
      </c>
      <c r="F20" s="24">
        <f t="shared" si="1578"/>
        <v>651510</v>
      </c>
      <c r="G20" s="24">
        <f t="shared" si="1578"/>
        <v>472521</v>
      </c>
      <c r="H20" s="24">
        <f t="shared" si="1578"/>
        <v>286550</v>
      </c>
      <c r="I20" s="25">
        <f t="shared" si="1578"/>
        <v>938060</v>
      </c>
      <c r="J20" s="26">
        <f t="shared" si="1578"/>
        <v>-472521</v>
      </c>
      <c r="K20" s="26">
        <f t="shared" si="1578"/>
        <v>462171.15359025006</v>
      </c>
      <c r="L20" s="19" t="e">
        <f t="shared" si="1570"/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76"/>
        <v>0</v>
      </c>
      <c r="S20" s="35">
        <f t="shared" si="1577"/>
        <v>1410581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BD0069-0018-4810-9850-00E40031009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640050-00F6-4301-9333-004F0054005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E300E8-0077-403D-8501-009C00CC000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F300D4-009C-4457-BBC0-005900B900E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25009B-006E-4BD0-9CCF-000500B800C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E40028-00F4-45E0-8F9C-00A400EA00C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2300E1-001C-413C-BB72-003400C400C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A50021-009C-47D7-BF18-00C8003B00D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57004A-001E-4194-976C-00830026005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E24" activeCellId="0" sqref="E2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247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280000</v>
      </c>
      <c r="D3" s="11">
        <v>2.8923780588381258</v>
      </c>
      <c r="E3" s="12">
        <f t="shared" ref="E3:E18" si="1579">C3*D3</f>
        <v>809865.85647467524</v>
      </c>
      <c r="F3" s="13">
        <v>110564</v>
      </c>
      <c r="G3" s="44">
        <v>0</v>
      </c>
      <c r="H3" s="13">
        <v>73792</v>
      </c>
      <c r="I3" s="16">
        <f t="shared" ref="I3:I17" si="1580">F3+H3</f>
        <v>184356</v>
      </c>
      <c r="J3" s="17">
        <f t="shared" ref="J3:J18" si="1581">C3-G3</f>
        <v>280000</v>
      </c>
      <c r="K3" s="18">
        <f>+G3*D3</f>
        <v>0</v>
      </c>
      <c r="L3" s="19">
        <f t="shared" ref="L3:L20" si="1582">K3/E3</f>
        <v>0</v>
      </c>
      <c r="M3" s="34">
        <v>0</v>
      </c>
      <c r="N3" s="58">
        <v>111000</v>
      </c>
      <c r="O3" s="34">
        <v>148000</v>
      </c>
      <c r="P3" s="34">
        <v>185000</v>
      </c>
      <c r="Q3" s="69">
        <v>55500</v>
      </c>
      <c r="R3" s="34">
        <f t="shared" ref="R3:R18" si="1583">M3+N3+O3+P3+Q3</f>
        <v>499500</v>
      </c>
      <c r="S3" s="35">
        <f t="shared" ref="S3:S18" si="1584">G3+I3+R3</f>
        <v>683856</v>
      </c>
      <c r="T3" s="35">
        <f t="shared" ref="T3:T18" si="1585">S3-C3</f>
        <v>403856</v>
      </c>
      <c r="U3" s="19">
        <f t="shared" ref="U3:U18" si="1586">S3/C3</f>
        <v>2.4423428571428571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579"/>
        <v>0</v>
      </c>
      <c r="F4" s="13">
        <v>0</v>
      </c>
      <c r="G4" s="13">
        <v>37140</v>
      </c>
      <c r="H4" s="13">
        <v>37378</v>
      </c>
      <c r="I4" s="16">
        <f t="shared" si="1580"/>
        <v>37378</v>
      </c>
      <c r="J4" s="17">
        <f t="shared" si="1581"/>
        <v>-37140</v>
      </c>
      <c r="K4" s="18">
        <f>D4*G4</f>
        <v>57750.028105248151</v>
      </c>
      <c r="L4" s="19" t="e">
        <f t="shared" si="1582"/>
        <v>#DIV/0!</v>
      </c>
      <c r="M4" s="34">
        <v>0</v>
      </c>
      <c r="N4" s="58">
        <v>37000</v>
      </c>
      <c r="O4" s="34">
        <v>0</v>
      </c>
      <c r="P4" s="34">
        <v>0</v>
      </c>
      <c r="Q4" s="34">
        <v>0</v>
      </c>
      <c r="R4" s="34">
        <f t="shared" si="1583"/>
        <v>37000</v>
      </c>
      <c r="S4" s="35">
        <f t="shared" si="1584"/>
        <v>111518</v>
      </c>
      <c r="T4" s="35">
        <f t="shared" si="1585"/>
        <v>111518</v>
      </c>
      <c r="U4" s="19" t="e">
        <f t="shared" si="1586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579"/>
        <v>311100.33571783872</v>
      </c>
      <c r="F5" s="13">
        <v>0</v>
      </c>
      <c r="G5" s="13">
        <v>154774</v>
      </c>
      <c r="H5" s="13">
        <v>0</v>
      </c>
      <c r="I5" s="16">
        <f t="shared" si="1580"/>
        <v>0</v>
      </c>
      <c r="J5" s="17">
        <f t="shared" si="1581"/>
        <v>136429</v>
      </c>
      <c r="K5" s="18">
        <f t="shared" ref="K5:K19" si="1587">+G5*D5</f>
        <v>165349.40697861207</v>
      </c>
      <c r="L5" s="19">
        <f t="shared" si="1582"/>
        <v>0.53149864527494561</v>
      </c>
      <c r="M5" s="34">
        <v>0</v>
      </c>
      <c r="N5" s="58">
        <v>0</v>
      </c>
      <c r="O5" s="34">
        <v>312000</v>
      </c>
      <c r="P5" s="73">
        <v>0</v>
      </c>
      <c r="Q5" s="34">
        <v>0</v>
      </c>
      <c r="R5" s="34">
        <f t="shared" si="1583"/>
        <v>312000</v>
      </c>
      <c r="S5" s="35">
        <f t="shared" si="1584"/>
        <v>466774</v>
      </c>
      <c r="T5" s="35">
        <f t="shared" si="1585"/>
        <v>175571</v>
      </c>
      <c r="U5" s="19">
        <f t="shared" si="1586"/>
        <v>1.6029161787481585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579"/>
        <v>1852588.289251169</v>
      </c>
      <c r="F6" s="13">
        <v>232672</v>
      </c>
      <c r="G6" s="13">
        <v>0</v>
      </c>
      <c r="H6" s="13">
        <v>0</v>
      </c>
      <c r="I6" s="16">
        <f t="shared" si="1580"/>
        <v>232672</v>
      </c>
      <c r="J6" s="17">
        <f t="shared" si="1581"/>
        <v>853854</v>
      </c>
      <c r="K6" s="18">
        <f t="shared" si="1587"/>
        <v>0</v>
      </c>
      <c r="L6" s="19">
        <f t="shared" si="1582"/>
        <v>0</v>
      </c>
      <c r="M6" s="34">
        <v>0</v>
      </c>
      <c r="N6" s="58">
        <v>312000</v>
      </c>
      <c r="O6" s="34">
        <v>0</v>
      </c>
      <c r="P6" s="34">
        <v>312000</v>
      </c>
      <c r="Q6" s="34">
        <v>0</v>
      </c>
      <c r="R6" s="34">
        <f t="shared" si="1583"/>
        <v>624000</v>
      </c>
      <c r="S6" s="35">
        <f t="shared" si="1584"/>
        <v>856672</v>
      </c>
      <c r="T6" s="35">
        <f t="shared" si="1585"/>
        <v>2818</v>
      </c>
      <c r="U6" s="19">
        <f t="shared" si="1586"/>
        <v>1.0033003300330032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79"/>
        <v>0</v>
      </c>
      <c r="F7" s="13">
        <v>0</v>
      </c>
      <c r="G7" s="13">
        <v>0</v>
      </c>
      <c r="H7" s="13">
        <v>0</v>
      </c>
      <c r="I7" s="16">
        <f t="shared" si="1580"/>
        <v>0</v>
      </c>
      <c r="J7" s="17">
        <f t="shared" si="1581"/>
        <v>0</v>
      </c>
      <c r="K7" s="18">
        <f t="shared" si="1587"/>
        <v>0</v>
      </c>
      <c r="L7" s="19" t="e">
        <f t="shared" si="1582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83"/>
        <v>0</v>
      </c>
      <c r="S7" s="35">
        <f t="shared" si="1584"/>
        <v>0</v>
      </c>
      <c r="T7" s="35">
        <f t="shared" si="1585"/>
        <v>0</v>
      </c>
      <c r="U7" s="19" t="e">
        <f t="shared" si="1586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579"/>
        <v>551744.21611339867</v>
      </c>
      <c r="F8" s="13">
        <v>253283</v>
      </c>
      <c r="G8" s="44">
        <v>189967</v>
      </c>
      <c r="H8" s="44">
        <v>0</v>
      </c>
      <c r="I8" s="16">
        <f t="shared" si="1580"/>
        <v>253283</v>
      </c>
      <c r="J8" s="17">
        <f t="shared" si="1581"/>
        <v>292737</v>
      </c>
      <c r="K8" s="18">
        <f t="shared" si="1587"/>
        <v>217137.61125330225</v>
      </c>
      <c r="L8" s="19">
        <f t="shared" si="1582"/>
        <v>0.39354759852829063</v>
      </c>
      <c r="M8" s="34">
        <v>0</v>
      </c>
      <c r="N8" s="58">
        <v>157000</v>
      </c>
      <c r="O8" s="34">
        <v>126000</v>
      </c>
      <c r="P8" s="34">
        <v>315000</v>
      </c>
      <c r="Q8" s="34">
        <v>0</v>
      </c>
      <c r="R8" s="34">
        <f t="shared" si="1583"/>
        <v>598000</v>
      </c>
      <c r="S8" s="35">
        <f t="shared" si="1584"/>
        <v>1041250</v>
      </c>
      <c r="T8" s="35">
        <f t="shared" si="1585"/>
        <v>558546</v>
      </c>
      <c r="U8" s="19">
        <f t="shared" si="1586"/>
        <v>2.1571190626139414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579"/>
        <v>287493.67638714588</v>
      </c>
      <c r="F9" s="13">
        <v>0</v>
      </c>
      <c r="G9" s="44">
        <v>0</v>
      </c>
      <c r="H9" s="13">
        <v>0</v>
      </c>
      <c r="I9" s="16">
        <f t="shared" si="1580"/>
        <v>0</v>
      </c>
      <c r="J9" s="17">
        <f t="shared" si="1581"/>
        <v>453297</v>
      </c>
      <c r="K9" s="18">
        <f t="shared" si="1587"/>
        <v>0</v>
      </c>
      <c r="L9" s="19">
        <f t="shared" si="1582"/>
        <v>0</v>
      </c>
      <c r="M9" s="34">
        <v>0</v>
      </c>
      <c r="N9" s="58">
        <v>440000</v>
      </c>
      <c r="O9" s="34">
        <v>260000</v>
      </c>
      <c r="P9" s="34">
        <v>0</v>
      </c>
      <c r="Q9" s="34">
        <v>0</v>
      </c>
      <c r="R9" s="34">
        <f t="shared" si="1583"/>
        <v>700000</v>
      </c>
      <c r="S9" s="35">
        <f t="shared" si="1584"/>
        <v>700000</v>
      </c>
      <c r="T9" s="35">
        <f t="shared" si="1585"/>
        <v>246703</v>
      </c>
      <c r="U9" s="19">
        <f t="shared" si="1586"/>
        <v>1.5442414134662263</v>
      </c>
    </row>
    <row r="10">
      <c r="A10" s="9" t="s">
        <v>30</v>
      </c>
      <c r="B10" s="9" t="s">
        <v>31</v>
      </c>
      <c r="C10" s="14">
        <v>186914</v>
      </c>
      <c r="D10" s="50">
        <v>0.89352805883812592</v>
      </c>
      <c r="E10" s="14">
        <f t="shared" si="1579"/>
        <v>167012.90358966947</v>
      </c>
      <c r="F10" s="44">
        <v>41946</v>
      </c>
      <c r="G10" s="13">
        <v>266020</v>
      </c>
      <c r="H10" s="44">
        <v>0</v>
      </c>
      <c r="I10" s="16">
        <f t="shared" si="1580"/>
        <v>41946</v>
      </c>
      <c r="J10" s="17">
        <f t="shared" si="1581"/>
        <v>-79106</v>
      </c>
      <c r="K10" s="18">
        <f t="shared" si="1587"/>
        <v>237696.33421211826</v>
      </c>
      <c r="L10" s="19">
        <f t="shared" si="1582"/>
        <v>1.4232213745358828</v>
      </c>
      <c r="M10" s="34">
        <v>0</v>
      </c>
      <c r="N10" s="58">
        <v>220000</v>
      </c>
      <c r="O10" s="34">
        <v>0</v>
      </c>
      <c r="P10" s="34">
        <v>0</v>
      </c>
      <c r="Q10" s="34">
        <v>0</v>
      </c>
      <c r="R10" s="34">
        <f t="shared" si="1583"/>
        <v>220000</v>
      </c>
      <c r="S10" s="35">
        <f t="shared" si="1584"/>
        <v>527966</v>
      </c>
      <c r="T10" s="35">
        <f t="shared" si="1585"/>
        <v>341052</v>
      </c>
      <c r="U10" s="19">
        <f t="shared" si="1586"/>
        <v>2.8246466289309522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79"/>
        <v>0</v>
      </c>
      <c r="F11" s="13">
        <v>0</v>
      </c>
      <c r="G11" s="13">
        <v>0</v>
      </c>
      <c r="H11" s="13">
        <v>0</v>
      </c>
      <c r="I11" s="16">
        <f t="shared" si="1580"/>
        <v>0</v>
      </c>
      <c r="J11" s="17">
        <f t="shared" si="1581"/>
        <v>0</v>
      </c>
      <c r="K11" s="18">
        <f t="shared" si="1587"/>
        <v>0</v>
      </c>
      <c r="L11" s="19" t="e">
        <f t="shared" si="1582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83"/>
        <v>0</v>
      </c>
      <c r="S11" s="35">
        <f t="shared" si="1584"/>
        <v>0</v>
      </c>
      <c r="T11" s="35">
        <f t="shared" si="1585"/>
        <v>0</v>
      </c>
      <c r="U11" s="19" t="e">
        <f t="shared" si="1586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579"/>
        <v>10886.934056092776</v>
      </c>
      <c r="F12" s="13">
        <v>2246</v>
      </c>
      <c r="G12" s="13">
        <v>0</v>
      </c>
      <c r="H12" s="13">
        <v>0</v>
      </c>
      <c r="I12" s="16">
        <f t="shared" si="1580"/>
        <v>2246</v>
      </c>
      <c r="J12" s="17">
        <f>C12-G12</f>
        <v>2326</v>
      </c>
      <c r="K12" s="18">
        <f t="shared" si="1587"/>
        <v>0</v>
      </c>
      <c r="L12" s="19">
        <f t="shared" si="1582"/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83"/>
        <v>0</v>
      </c>
      <c r="S12" s="35">
        <f t="shared" si="1584"/>
        <v>2246</v>
      </c>
      <c r="T12" s="35">
        <f t="shared" si="1585"/>
        <v>-80</v>
      </c>
      <c r="U12" s="19">
        <f t="shared" si="1586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579"/>
        <v>112221.94</v>
      </c>
      <c r="F13" s="13">
        <v>12105</v>
      </c>
      <c r="G13" s="13">
        <v>0</v>
      </c>
      <c r="H13" s="13">
        <v>0</v>
      </c>
      <c r="I13" s="16">
        <f t="shared" si="1580"/>
        <v>12105</v>
      </c>
      <c r="J13" s="17">
        <f t="shared" si="1581"/>
        <v>12119</v>
      </c>
      <c r="K13" s="18">
        <f t="shared" si="1587"/>
        <v>0</v>
      </c>
      <c r="L13" s="19">
        <f t="shared" si="1582"/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83"/>
        <v>0</v>
      </c>
      <c r="S13" s="35">
        <f t="shared" si="1584"/>
        <v>12105</v>
      </c>
      <c r="T13" s="35">
        <f t="shared" si="1585"/>
        <v>-14</v>
      </c>
      <c r="U13" s="19">
        <f t="shared" si="1586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579"/>
        <v>0</v>
      </c>
      <c r="F14" s="13">
        <v>0</v>
      </c>
      <c r="G14" s="13">
        <v>0</v>
      </c>
      <c r="H14" s="13">
        <v>0</v>
      </c>
      <c r="I14" s="16">
        <f t="shared" si="1580"/>
        <v>0</v>
      </c>
      <c r="J14" s="17">
        <f t="shared" si="1581"/>
        <v>0</v>
      </c>
      <c r="K14" s="18">
        <f t="shared" si="1587"/>
        <v>0</v>
      </c>
      <c r="L14" s="19" t="e">
        <f t="shared" si="1582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83"/>
        <v>0</v>
      </c>
      <c r="S14" s="35">
        <f t="shared" si="1584"/>
        <v>0</v>
      </c>
      <c r="T14" s="35">
        <f t="shared" si="1585"/>
        <v>0</v>
      </c>
      <c r="U14" s="19" t="e">
        <f t="shared" si="1586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79"/>
        <v>0</v>
      </c>
      <c r="F15" s="13">
        <v>0</v>
      </c>
      <c r="G15" s="33">
        <v>0</v>
      </c>
      <c r="H15" s="13">
        <v>0</v>
      </c>
      <c r="I15" s="16">
        <f t="shared" si="1580"/>
        <v>0</v>
      </c>
      <c r="J15" s="17">
        <f t="shared" si="1581"/>
        <v>0</v>
      </c>
      <c r="K15" s="18">
        <f t="shared" si="1587"/>
        <v>0</v>
      </c>
      <c r="L15" s="19" t="e">
        <f t="shared" si="1582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83"/>
        <v>0</v>
      </c>
      <c r="S15" s="35">
        <f t="shared" si="1584"/>
        <v>0</v>
      </c>
      <c r="T15" s="35">
        <f t="shared" si="1585"/>
        <v>0</v>
      </c>
      <c r="U15" s="19" t="e">
        <f t="shared" si="1586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79"/>
        <v>0</v>
      </c>
      <c r="F16" s="13">
        <v>0</v>
      </c>
      <c r="G16" s="33">
        <v>0</v>
      </c>
      <c r="H16" s="13">
        <v>0</v>
      </c>
      <c r="I16" s="16">
        <f t="shared" si="1580"/>
        <v>0</v>
      </c>
      <c r="J16" s="17">
        <f t="shared" si="1581"/>
        <v>0</v>
      </c>
      <c r="K16" s="18">
        <f t="shared" si="1587"/>
        <v>0</v>
      </c>
      <c r="L16" s="19" t="e">
        <f t="shared" si="1582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83"/>
        <v>0</v>
      </c>
      <c r="S16" s="35">
        <f t="shared" si="1584"/>
        <v>0</v>
      </c>
      <c r="T16" s="35">
        <f t="shared" si="1585"/>
        <v>0</v>
      </c>
      <c r="U16" s="19" t="e">
        <f t="shared" si="1586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79"/>
        <v>0</v>
      </c>
      <c r="F17" s="13">
        <v>0</v>
      </c>
      <c r="G17" s="33">
        <v>0</v>
      </c>
      <c r="H17" s="13">
        <v>0</v>
      </c>
      <c r="I17" s="16">
        <f t="shared" si="1580"/>
        <v>0</v>
      </c>
      <c r="J17" s="17">
        <f t="shared" si="1581"/>
        <v>0</v>
      </c>
      <c r="K17" s="18">
        <f t="shared" si="1587"/>
        <v>0</v>
      </c>
      <c r="L17" s="19" t="e">
        <f t="shared" si="158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83"/>
        <v>0</v>
      </c>
      <c r="S17" s="35">
        <f t="shared" si="1584"/>
        <v>0</v>
      </c>
      <c r="T17" s="35">
        <f t="shared" si="1585"/>
        <v>0</v>
      </c>
      <c r="U17" s="19" t="e">
        <f t="shared" si="1586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579"/>
        <v>565976.44184304646</v>
      </c>
      <c r="F18" s="13">
        <v>595213</v>
      </c>
      <c r="G18" s="13">
        <v>0</v>
      </c>
      <c r="H18" s="13">
        <v>0</v>
      </c>
      <c r="I18" s="16">
        <v>662565</v>
      </c>
      <c r="J18" s="17">
        <f t="shared" si="1581"/>
        <v>434386</v>
      </c>
      <c r="K18" s="18">
        <f t="shared" si="1587"/>
        <v>0</v>
      </c>
      <c r="L18" s="19">
        <f t="shared" si="1582"/>
        <v>0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83"/>
        <v>0</v>
      </c>
      <c r="S18" s="35">
        <f t="shared" si="1584"/>
        <v>662565</v>
      </c>
      <c r="T18" s="35">
        <f t="shared" si="1585"/>
        <v>228179</v>
      </c>
      <c r="U18" s="19">
        <f t="shared" si="1586"/>
        <v>1.5252908703319168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87"/>
        <v>0</v>
      </c>
      <c r="L19" s="19" t="e">
        <f t="shared" si="1582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588">M19+N19+O19+P19+Q19</f>
        <v>0</v>
      </c>
      <c r="S19" s="35">
        <f t="shared" ref="S19:S20" si="1589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2996803</v>
      </c>
      <c r="D20" s="23"/>
      <c r="E20" s="22">
        <f t="shared" ref="E20:K20" si="1590">SUM(E3:E19)</f>
        <v>4668890.5934330365</v>
      </c>
      <c r="F20" s="24">
        <f t="shared" si="1590"/>
        <v>1248029</v>
      </c>
      <c r="G20" s="24">
        <f t="shared" si="1590"/>
        <v>647901</v>
      </c>
      <c r="H20" s="24">
        <f t="shared" si="1590"/>
        <v>111170</v>
      </c>
      <c r="I20" s="25">
        <f t="shared" si="1590"/>
        <v>1426551</v>
      </c>
      <c r="J20" s="26">
        <f t="shared" si="1590"/>
        <v>2348902</v>
      </c>
      <c r="K20" s="26">
        <f t="shared" si="1590"/>
        <v>677933.38054928079</v>
      </c>
      <c r="L20" s="19">
        <f t="shared" si="1582"/>
        <v>0.14520224172800678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588"/>
        <v>0</v>
      </c>
      <c r="S20" s="35">
        <f t="shared" si="1589"/>
        <v>2074452</v>
      </c>
      <c r="T20" s="41"/>
    </row>
    <row r="22">
      <c r="E22" s="28"/>
      <c r="F22" s="28"/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A400CD-0044-46E3-BAA7-001C00EE000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F40068-0083-4F1E-BCB1-00A20002000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22003B-0043-46CD-9852-0022003000B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E60055-0092-4DDD-A3D6-004700BF006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BE0007-009D-45B5-B468-00D00071008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EB00B2-006C-482D-AE93-000300A9009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80008B-00BD-4F17-B2E6-008100D4009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E50040-00D3-4E65-BFA1-007E00D3007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4D00B8-0050-44AD-A0F5-00490010004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O24" activeCellId="0" sqref="O2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248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280000</v>
      </c>
      <c r="D3" s="11">
        <v>2.8923780588381258</v>
      </c>
      <c r="E3" s="12">
        <f t="shared" ref="E3:E18" si="1591">C3*D3</f>
        <v>809865.85647467524</v>
      </c>
      <c r="F3" s="13">
        <v>110564</v>
      </c>
      <c r="G3" s="44">
        <v>73792</v>
      </c>
      <c r="H3" s="13"/>
      <c r="I3" s="16">
        <f t="shared" ref="I3:I17" si="1592">F3+H3</f>
        <v>110564</v>
      </c>
      <c r="J3" s="17">
        <f t="shared" ref="J3:J18" si="1593">C3-G3</f>
        <v>206208</v>
      </c>
      <c r="K3" s="18">
        <f>+G3*D3</f>
        <v>213434.36171778297</v>
      </c>
      <c r="L3" s="19">
        <f t="shared" ref="L3:L20" si="1594">K3/E3</f>
        <v>0.26354285714285713</v>
      </c>
      <c r="M3" s="34">
        <v>0</v>
      </c>
      <c r="N3" s="58">
        <v>111000</v>
      </c>
      <c r="O3" s="34">
        <v>148000</v>
      </c>
      <c r="P3" s="34">
        <v>185000</v>
      </c>
      <c r="Q3" s="69">
        <v>55500</v>
      </c>
      <c r="R3" s="34">
        <f t="shared" ref="R3:R18" si="1595">M3+N3+O3+P3+Q3</f>
        <v>499500</v>
      </c>
      <c r="S3" s="35">
        <f t="shared" ref="S3:S18" si="1596">G3+I3+R3</f>
        <v>683856</v>
      </c>
      <c r="T3" s="35">
        <f t="shared" ref="T3:T18" si="1597">S3-C3</f>
        <v>403856</v>
      </c>
      <c r="U3" s="19">
        <f t="shared" ref="U3:U18" si="1598">S3/C3</f>
        <v>2.4423428571428571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591"/>
        <v>0</v>
      </c>
      <c r="F4" s="13">
        <v>0</v>
      </c>
      <c r="G4" s="13">
        <v>37140</v>
      </c>
      <c r="H4" s="13">
        <v>37378</v>
      </c>
      <c r="I4" s="16">
        <f t="shared" si="1592"/>
        <v>37378</v>
      </c>
      <c r="J4" s="17">
        <f t="shared" si="1593"/>
        <v>-37140</v>
      </c>
      <c r="K4" s="18">
        <f>D4*G4</f>
        <v>57750.028105248151</v>
      </c>
      <c r="L4" s="19" t="e">
        <f t="shared" si="1594"/>
        <v>#DIV/0!</v>
      </c>
      <c r="M4" s="34">
        <v>0</v>
      </c>
      <c r="N4" s="58">
        <v>37000</v>
      </c>
      <c r="O4" s="34">
        <v>0</v>
      </c>
      <c r="P4" s="34">
        <v>0</v>
      </c>
      <c r="Q4" s="34">
        <v>0</v>
      </c>
      <c r="R4" s="34">
        <f t="shared" si="1595"/>
        <v>37000</v>
      </c>
      <c r="S4" s="35">
        <f t="shared" si="1596"/>
        <v>111518</v>
      </c>
      <c r="T4" s="35">
        <f t="shared" si="1597"/>
        <v>111518</v>
      </c>
      <c r="U4" s="19" t="e">
        <f t="shared" si="1598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591"/>
        <v>311100.33571783872</v>
      </c>
      <c r="F5" s="13">
        <v>0</v>
      </c>
      <c r="G5" s="13">
        <v>154774</v>
      </c>
      <c r="H5" s="13">
        <v>0</v>
      </c>
      <c r="I5" s="16">
        <f t="shared" si="1592"/>
        <v>0</v>
      </c>
      <c r="J5" s="17">
        <f t="shared" si="1593"/>
        <v>136429</v>
      </c>
      <c r="K5" s="18">
        <f t="shared" ref="K5:K19" si="1599">+G5*D5</f>
        <v>165349.40697861207</v>
      </c>
      <c r="L5" s="19">
        <f t="shared" si="1594"/>
        <v>0.53149864527494561</v>
      </c>
      <c r="M5" s="34">
        <v>0</v>
      </c>
      <c r="N5" s="58">
        <v>0</v>
      </c>
      <c r="O5" s="34">
        <v>312000</v>
      </c>
      <c r="P5" s="73">
        <v>0</v>
      </c>
      <c r="Q5" s="34">
        <v>0</v>
      </c>
      <c r="R5" s="34">
        <f t="shared" si="1595"/>
        <v>312000</v>
      </c>
      <c r="S5" s="35">
        <f t="shared" si="1596"/>
        <v>466774</v>
      </c>
      <c r="T5" s="35">
        <f t="shared" si="1597"/>
        <v>175571</v>
      </c>
      <c r="U5" s="19">
        <f t="shared" si="1598"/>
        <v>1.6029161787481585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591"/>
        <v>1852588.289251169</v>
      </c>
      <c r="F6" s="13">
        <v>0</v>
      </c>
      <c r="G6" s="13">
        <v>0</v>
      </c>
      <c r="H6" s="13">
        <v>232668</v>
      </c>
      <c r="I6" s="16">
        <f t="shared" si="1592"/>
        <v>232668</v>
      </c>
      <c r="J6" s="17">
        <f t="shared" si="1593"/>
        <v>853854</v>
      </c>
      <c r="K6" s="18">
        <f t="shared" si="1599"/>
        <v>0</v>
      </c>
      <c r="L6" s="19">
        <f t="shared" si="1594"/>
        <v>0</v>
      </c>
      <c r="M6" s="34">
        <v>0</v>
      </c>
      <c r="N6" s="58">
        <v>312000</v>
      </c>
      <c r="O6" s="34">
        <v>0</v>
      </c>
      <c r="P6" s="34">
        <v>312000</v>
      </c>
      <c r="Q6" s="34">
        <v>0</v>
      </c>
      <c r="R6" s="34">
        <f t="shared" si="1595"/>
        <v>624000</v>
      </c>
      <c r="S6" s="35">
        <f t="shared" si="1596"/>
        <v>856668</v>
      </c>
      <c r="T6" s="35">
        <f t="shared" si="1597"/>
        <v>2814</v>
      </c>
      <c r="U6" s="19">
        <f t="shared" si="1598"/>
        <v>1.0032956453913666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591"/>
        <v>0</v>
      </c>
      <c r="F7" s="13">
        <v>0</v>
      </c>
      <c r="G7" s="13">
        <v>0</v>
      </c>
      <c r="H7" s="13">
        <v>0</v>
      </c>
      <c r="I7" s="16">
        <f t="shared" si="1592"/>
        <v>0</v>
      </c>
      <c r="J7" s="17">
        <f t="shared" si="1593"/>
        <v>0</v>
      </c>
      <c r="K7" s="18">
        <f t="shared" si="1599"/>
        <v>0</v>
      </c>
      <c r="L7" s="19" t="e">
        <f t="shared" si="1594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595"/>
        <v>0</v>
      </c>
      <c r="S7" s="35">
        <f t="shared" si="1596"/>
        <v>0</v>
      </c>
      <c r="T7" s="35">
        <f t="shared" si="1597"/>
        <v>0</v>
      </c>
      <c r="U7" s="19" t="e">
        <f t="shared" si="1598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591"/>
        <v>551744.21611339867</v>
      </c>
      <c r="F8" s="13">
        <v>0</v>
      </c>
      <c r="G8" s="44">
        <v>379868</v>
      </c>
      <c r="H8" s="44">
        <v>63382</v>
      </c>
      <c r="I8" s="16">
        <f t="shared" si="1592"/>
        <v>63382</v>
      </c>
      <c r="J8" s="17">
        <f t="shared" si="1593"/>
        <v>102836</v>
      </c>
      <c r="K8" s="18">
        <f t="shared" si="1599"/>
        <v>434199.78265472117</v>
      </c>
      <c r="L8" s="19">
        <f t="shared" si="1594"/>
        <v>0.78695846730087182</v>
      </c>
      <c r="M8" s="34">
        <v>0</v>
      </c>
      <c r="N8" s="58">
        <v>157000</v>
      </c>
      <c r="O8" s="34">
        <v>126000</v>
      </c>
      <c r="P8" s="34">
        <v>315000</v>
      </c>
      <c r="Q8" s="34">
        <v>0</v>
      </c>
      <c r="R8" s="34">
        <f t="shared" si="1595"/>
        <v>598000</v>
      </c>
      <c r="S8" s="35">
        <f t="shared" si="1596"/>
        <v>1041250</v>
      </c>
      <c r="T8" s="35">
        <f t="shared" si="1597"/>
        <v>558546</v>
      </c>
      <c r="U8" s="19">
        <f t="shared" si="1598"/>
        <v>2.1571190626139414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591"/>
        <v>287493.67638714588</v>
      </c>
      <c r="F9" s="13">
        <v>0</v>
      </c>
      <c r="G9" s="44">
        <v>0</v>
      </c>
      <c r="H9" s="13">
        <v>0</v>
      </c>
      <c r="I9" s="16">
        <f t="shared" si="1592"/>
        <v>0</v>
      </c>
      <c r="J9" s="17">
        <f t="shared" si="1593"/>
        <v>453297</v>
      </c>
      <c r="K9" s="18">
        <f t="shared" si="1599"/>
        <v>0</v>
      </c>
      <c r="L9" s="19">
        <f t="shared" si="1594"/>
        <v>0</v>
      </c>
      <c r="M9" s="34">
        <v>0</v>
      </c>
      <c r="N9" s="58">
        <v>440000</v>
      </c>
      <c r="O9" s="34">
        <v>260000</v>
      </c>
      <c r="P9" s="34">
        <v>0</v>
      </c>
      <c r="Q9" s="34">
        <v>0</v>
      </c>
      <c r="R9" s="34">
        <f t="shared" si="1595"/>
        <v>700000</v>
      </c>
      <c r="S9" s="35">
        <f t="shared" si="1596"/>
        <v>700000</v>
      </c>
      <c r="T9" s="35">
        <f t="shared" si="1597"/>
        <v>246703</v>
      </c>
      <c r="U9" s="19">
        <f t="shared" si="1598"/>
        <v>1.5442414134662263</v>
      </c>
    </row>
    <row r="10">
      <c r="A10" s="9" t="s">
        <v>30</v>
      </c>
      <c r="B10" s="9" t="s">
        <v>31</v>
      </c>
      <c r="C10" s="14">
        <v>186914</v>
      </c>
      <c r="D10" s="50">
        <v>0.89352805883812592</v>
      </c>
      <c r="E10" s="14">
        <f t="shared" si="1591"/>
        <v>167012.90358966947</v>
      </c>
      <c r="F10" s="44">
        <v>41946</v>
      </c>
      <c r="G10" s="13">
        <v>266020</v>
      </c>
      <c r="H10" s="44">
        <v>0</v>
      </c>
      <c r="I10" s="16">
        <f t="shared" si="1592"/>
        <v>41946</v>
      </c>
      <c r="J10" s="17">
        <f t="shared" si="1593"/>
        <v>-79106</v>
      </c>
      <c r="K10" s="18">
        <f t="shared" si="1599"/>
        <v>237696.33421211826</v>
      </c>
      <c r="L10" s="19">
        <f t="shared" si="1594"/>
        <v>1.4232213745358828</v>
      </c>
      <c r="M10" s="34">
        <v>0</v>
      </c>
      <c r="N10" s="58">
        <v>220000</v>
      </c>
      <c r="O10" s="34">
        <v>0</v>
      </c>
      <c r="P10" s="34">
        <v>0</v>
      </c>
      <c r="Q10" s="34">
        <v>0</v>
      </c>
      <c r="R10" s="34">
        <f t="shared" si="1595"/>
        <v>220000</v>
      </c>
      <c r="S10" s="35">
        <f t="shared" si="1596"/>
        <v>527966</v>
      </c>
      <c r="T10" s="35">
        <f t="shared" si="1597"/>
        <v>341052</v>
      </c>
      <c r="U10" s="19">
        <f t="shared" si="1598"/>
        <v>2.8246466289309522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591"/>
        <v>0</v>
      </c>
      <c r="F11" s="13">
        <v>0</v>
      </c>
      <c r="G11" s="13">
        <v>0</v>
      </c>
      <c r="H11" s="13">
        <v>0</v>
      </c>
      <c r="I11" s="16">
        <f t="shared" si="1592"/>
        <v>0</v>
      </c>
      <c r="J11" s="17">
        <f t="shared" si="1593"/>
        <v>0</v>
      </c>
      <c r="K11" s="18">
        <f t="shared" si="1599"/>
        <v>0</v>
      </c>
      <c r="L11" s="19" t="e">
        <f t="shared" si="1594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595"/>
        <v>0</v>
      </c>
      <c r="S11" s="35">
        <f t="shared" si="1596"/>
        <v>0</v>
      </c>
      <c r="T11" s="35">
        <f t="shared" si="1597"/>
        <v>0</v>
      </c>
      <c r="U11" s="19" t="e">
        <f t="shared" si="1598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591"/>
        <v>10886.934056092776</v>
      </c>
      <c r="F12" s="13">
        <v>2246</v>
      </c>
      <c r="G12" s="13">
        <v>0</v>
      </c>
      <c r="H12" s="13">
        <v>0</v>
      </c>
      <c r="I12" s="16">
        <f t="shared" si="1592"/>
        <v>2246</v>
      </c>
      <c r="J12" s="17">
        <f>C12-G12</f>
        <v>2326</v>
      </c>
      <c r="K12" s="18">
        <f t="shared" si="1599"/>
        <v>0</v>
      </c>
      <c r="L12" s="19">
        <f t="shared" si="1594"/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595"/>
        <v>0</v>
      </c>
      <c r="S12" s="35">
        <f t="shared" si="1596"/>
        <v>2246</v>
      </c>
      <c r="T12" s="35">
        <f t="shared" si="1597"/>
        <v>-80</v>
      </c>
      <c r="U12" s="19">
        <f t="shared" si="1598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591"/>
        <v>112221.94</v>
      </c>
      <c r="F13" s="13">
        <v>12105</v>
      </c>
      <c r="G13" s="13">
        <v>0</v>
      </c>
      <c r="H13" s="13">
        <v>0</v>
      </c>
      <c r="I13" s="16">
        <f t="shared" si="1592"/>
        <v>12105</v>
      </c>
      <c r="J13" s="17">
        <f t="shared" si="1593"/>
        <v>12119</v>
      </c>
      <c r="K13" s="18">
        <f t="shared" si="1599"/>
        <v>0</v>
      </c>
      <c r="L13" s="19">
        <f t="shared" si="1594"/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595"/>
        <v>0</v>
      </c>
      <c r="S13" s="35">
        <f t="shared" si="1596"/>
        <v>12105</v>
      </c>
      <c r="T13" s="35">
        <f t="shared" si="1597"/>
        <v>-14</v>
      </c>
      <c r="U13" s="19">
        <f t="shared" si="1598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591"/>
        <v>0</v>
      </c>
      <c r="F14" s="13">
        <v>0</v>
      </c>
      <c r="G14" s="13">
        <v>0</v>
      </c>
      <c r="H14" s="13">
        <v>0</v>
      </c>
      <c r="I14" s="16">
        <f t="shared" si="1592"/>
        <v>0</v>
      </c>
      <c r="J14" s="17">
        <f t="shared" si="1593"/>
        <v>0</v>
      </c>
      <c r="K14" s="18">
        <f t="shared" si="1599"/>
        <v>0</v>
      </c>
      <c r="L14" s="19" t="e">
        <f t="shared" si="1594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595"/>
        <v>0</v>
      </c>
      <c r="S14" s="35">
        <f t="shared" si="1596"/>
        <v>0</v>
      </c>
      <c r="T14" s="35">
        <f t="shared" si="1597"/>
        <v>0</v>
      </c>
      <c r="U14" s="19" t="e">
        <f t="shared" si="1598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591"/>
        <v>0</v>
      </c>
      <c r="F15" s="13">
        <v>0</v>
      </c>
      <c r="G15" s="33">
        <v>0</v>
      </c>
      <c r="H15" s="13">
        <v>0</v>
      </c>
      <c r="I15" s="16">
        <f t="shared" si="1592"/>
        <v>0</v>
      </c>
      <c r="J15" s="17">
        <f t="shared" si="1593"/>
        <v>0</v>
      </c>
      <c r="K15" s="18">
        <f t="shared" si="1599"/>
        <v>0</v>
      </c>
      <c r="L15" s="19" t="e">
        <f t="shared" si="1594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595"/>
        <v>0</v>
      </c>
      <c r="S15" s="35">
        <f t="shared" si="1596"/>
        <v>0</v>
      </c>
      <c r="T15" s="35">
        <f t="shared" si="1597"/>
        <v>0</v>
      </c>
      <c r="U15" s="19" t="e">
        <f t="shared" si="1598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591"/>
        <v>0</v>
      </c>
      <c r="F16" s="13">
        <v>0</v>
      </c>
      <c r="G16" s="33">
        <v>0</v>
      </c>
      <c r="H16" s="13">
        <v>0</v>
      </c>
      <c r="I16" s="16">
        <f t="shared" si="1592"/>
        <v>0</v>
      </c>
      <c r="J16" s="17">
        <f t="shared" si="1593"/>
        <v>0</v>
      </c>
      <c r="K16" s="18">
        <f t="shared" si="1599"/>
        <v>0</v>
      </c>
      <c r="L16" s="19" t="e">
        <f t="shared" si="1594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595"/>
        <v>0</v>
      </c>
      <c r="S16" s="35">
        <f t="shared" si="1596"/>
        <v>0</v>
      </c>
      <c r="T16" s="35">
        <f t="shared" si="1597"/>
        <v>0</v>
      </c>
      <c r="U16" s="19" t="e">
        <f t="shared" si="1598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591"/>
        <v>0</v>
      </c>
      <c r="F17" s="13">
        <v>0</v>
      </c>
      <c r="G17" s="33">
        <v>0</v>
      </c>
      <c r="H17" s="13">
        <v>0</v>
      </c>
      <c r="I17" s="16">
        <f t="shared" si="1592"/>
        <v>0</v>
      </c>
      <c r="J17" s="17">
        <f t="shared" si="1593"/>
        <v>0</v>
      </c>
      <c r="K17" s="18">
        <f t="shared" si="1599"/>
        <v>0</v>
      </c>
      <c r="L17" s="19" t="e">
        <f t="shared" si="1594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595"/>
        <v>0</v>
      </c>
      <c r="S17" s="35">
        <f t="shared" si="1596"/>
        <v>0</v>
      </c>
      <c r="T17" s="35">
        <f t="shared" si="1597"/>
        <v>0</v>
      </c>
      <c r="U17" s="19" t="e">
        <f t="shared" si="1598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591"/>
        <v>565976.44184304646</v>
      </c>
      <c r="F18" s="13">
        <v>1132657</v>
      </c>
      <c r="G18" s="13">
        <v>74234</v>
      </c>
      <c r="H18" s="13">
        <v>0</v>
      </c>
      <c r="I18" s="16">
        <v>662565</v>
      </c>
      <c r="J18" s="17">
        <f t="shared" si="1593"/>
        <v>360152</v>
      </c>
      <c r="K18" s="18">
        <f t="shared" si="1599"/>
        <v>96722.028757318854</v>
      </c>
      <c r="L18" s="19">
        <f t="shared" si="1594"/>
        <v>0.17089408958852265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595"/>
        <v>0</v>
      </c>
      <c r="S18" s="35">
        <f t="shared" si="1596"/>
        <v>736799</v>
      </c>
      <c r="T18" s="35">
        <f t="shared" si="1597"/>
        <v>302413</v>
      </c>
      <c r="U18" s="19">
        <f t="shared" si="1598"/>
        <v>1.6961849599204395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599"/>
        <v>0</v>
      </c>
      <c r="L19" s="19" t="e">
        <f t="shared" si="1594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00">M19+N19+O19+P19+Q19</f>
        <v>0</v>
      </c>
      <c r="S19" s="35">
        <f t="shared" ref="S19:S20" si="1601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2996803</v>
      </c>
      <c r="D20" s="23"/>
      <c r="E20" s="22">
        <f t="shared" ref="E20:K20" si="1602">SUM(E3:E19)</f>
        <v>4668890.5934330365</v>
      </c>
      <c r="F20" s="24">
        <f t="shared" si="1602"/>
        <v>1299518</v>
      </c>
      <c r="G20" s="24">
        <f t="shared" si="1602"/>
        <v>985828</v>
      </c>
      <c r="H20" s="24">
        <f t="shared" si="1602"/>
        <v>333428</v>
      </c>
      <c r="I20" s="25">
        <f t="shared" si="1602"/>
        <v>1162854</v>
      </c>
      <c r="J20" s="26">
        <f t="shared" si="1602"/>
        <v>2010975</v>
      </c>
      <c r="K20" s="26">
        <f t="shared" si="1602"/>
        <v>1205151.9424258014</v>
      </c>
      <c r="L20" s="19">
        <f t="shared" si="1594"/>
        <v>0.25812383441173181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00"/>
        <v>0</v>
      </c>
      <c r="S20" s="35">
        <f t="shared" si="1601"/>
        <v>2148682</v>
      </c>
      <c r="T20" s="41"/>
    </row>
    <row r="22">
      <c r="E22" s="28"/>
      <c r="F22" s="28"/>
    </row>
    <row r="25">
      <c r="F25" t="s">
        <v>64</v>
      </c>
      <c r="G25" s="41" t="s">
        <v>64</v>
      </c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C40012-00BD-4F27-8121-000B00BB00F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CD002A-00B9-4651-A769-002D0094009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BF00D6-0066-487B-BD39-002600A8008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6A0071-0070-4E70-96D8-00B8001F007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CB0017-00A3-4E39-B74B-0091007C002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8A0055-009F-4BFE-AF84-00750045003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590081-0051-46E2-9D05-007B007C004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D6004B-00EE-45AA-B5C3-007D0039007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B7006F-0041-437F-B001-002900DC006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22" activeCellId="0" sqref="F22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70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128">C3*D3</f>
        <v>1870761.2046759115</v>
      </c>
      <c r="F3" s="13">
        <v>0</v>
      </c>
      <c r="G3" s="43">
        <v>726764</v>
      </c>
      <c r="H3" s="13">
        <v>0</v>
      </c>
      <c r="I3" s="16">
        <f t="shared" ref="I3:I17" si="129">F3+H3</f>
        <v>0</v>
      </c>
      <c r="J3" s="17">
        <f t="shared" ref="J3:J17" si="130">C3-G3</f>
        <v>-79974</v>
      </c>
      <c r="K3" s="18">
        <f t="shared" ref="K3:K17" si="131">+G3*D3</f>
        <v>2102076.2475534319</v>
      </c>
      <c r="L3" s="19">
        <f t="shared" ref="L3:L11" si="132">K3/E3</f>
        <v>1.1236475517555931</v>
      </c>
      <c r="M3" s="33">
        <v>129500</v>
      </c>
      <c r="N3" s="33">
        <v>148000</v>
      </c>
      <c r="O3" s="33">
        <v>129500</v>
      </c>
      <c r="P3" s="33">
        <v>148000</v>
      </c>
      <c r="Q3" s="33">
        <v>0</v>
      </c>
      <c r="R3" s="34">
        <f t="shared" ref="R3:R18" si="133">M3+N3+O3+P3+Q3</f>
        <v>555000</v>
      </c>
      <c r="S3" s="35">
        <f t="shared" ref="S3:S18" si="134">G3+I3+R3</f>
        <v>1281764</v>
      </c>
      <c r="T3" s="35">
        <f t="shared" ref="T3:T17" si="135">S3-C3</f>
        <v>634974</v>
      </c>
      <c r="U3" s="19">
        <f t="shared" ref="U3:U17" si="136">S3/C3</f>
        <v>1.9817313192844663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128"/>
        <v>390880.30588673195</v>
      </c>
      <c r="F4" s="13">
        <v>142793</v>
      </c>
      <c r="G4" s="13">
        <v>299987</v>
      </c>
      <c r="H4" s="13">
        <v>0</v>
      </c>
      <c r="I4" s="16">
        <f t="shared" si="129"/>
        <v>142793</v>
      </c>
      <c r="J4" s="17">
        <f t="shared" si="130"/>
        <v>13</v>
      </c>
      <c r="K4" s="18">
        <f t="shared" si="131"/>
        <v>390863.3677401435</v>
      </c>
      <c r="L4" s="19">
        <f t="shared" si="13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33"/>
        <v>0</v>
      </c>
      <c r="S4" s="35">
        <f t="shared" si="134"/>
        <v>442780</v>
      </c>
      <c r="T4" s="35">
        <f t="shared" si="135"/>
        <v>142780</v>
      </c>
      <c r="U4" s="19">
        <f t="shared" si="13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28"/>
        <v>0</v>
      </c>
      <c r="F5" s="13">
        <v>0</v>
      </c>
      <c r="G5" s="13">
        <v>0</v>
      </c>
      <c r="H5" s="13">
        <v>0</v>
      </c>
      <c r="I5" s="16">
        <f t="shared" si="129"/>
        <v>0</v>
      </c>
      <c r="J5" s="17">
        <f t="shared" si="130"/>
        <v>0</v>
      </c>
      <c r="K5" s="18">
        <f t="shared" si="13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33"/>
        <v>0</v>
      </c>
      <c r="S5" s="35">
        <f t="shared" si="134"/>
        <v>0</v>
      </c>
      <c r="T5" s="35">
        <f t="shared" si="135"/>
        <v>0</v>
      </c>
      <c r="U5" s="19" t="e">
        <f t="shared" si="13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128"/>
        <v>644777.55587835144</v>
      </c>
      <c r="F6" s="13">
        <v>0</v>
      </c>
      <c r="G6" s="43">
        <v>726708</v>
      </c>
      <c r="H6" s="43">
        <v>0</v>
      </c>
      <c r="I6" s="16">
        <f t="shared" si="129"/>
        <v>0</v>
      </c>
      <c r="J6" s="17">
        <f t="shared" si="130"/>
        <v>-162612</v>
      </c>
      <c r="K6" s="18">
        <f t="shared" si="131"/>
        <v>830647.63458213676</v>
      </c>
      <c r="L6" s="19">
        <f t="shared" si="132"/>
        <v>1.2882700816882233</v>
      </c>
      <c r="M6" s="33">
        <v>126000</v>
      </c>
      <c r="N6" s="33">
        <v>157500</v>
      </c>
      <c r="O6" s="33">
        <v>63000</v>
      </c>
      <c r="P6" s="33">
        <v>157500</v>
      </c>
      <c r="Q6" s="33">
        <v>0</v>
      </c>
      <c r="R6" s="34">
        <f t="shared" si="133"/>
        <v>504000</v>
      </c>
      <c r="S6" s="35">
        <f t="shared" si="134"/>
        <v>1230708</v>
      </c>
      <c r="T6" s="35">
        <f t="shared" si="135"/>
        <v>666612</v>
      </c>
      <c r="U6" s="19">
        <f t="shared" si="136"/>
        <v>2.1817350238257318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128"/>
        <v>221472.43814627349</v>
      </c>
      <c r="F7" s="13">
        <v>0</v>
      </c>
      <c r="G7" s="13">
        <v>342865</v>
      </c>
      <c r="H7" s="13">
        <v>0</v>
      </c>
      <c r="I7" s="16">
        <f t="shared" si="129"/>
        <v>0</v>
      </c>
      <c r="J7" s="17">
        <f t="shared" si="130"/>
        <v>6335</v>
      </c>
      <c r="K7" s="18">
        <f t="shared" si="131"/>
        <v>217454.60339353397</v>
      </c>
      <c r="L7" s="19">
        <f t="shared" si="132"/>
        <v>0.98185853379152355</v>
      </c>
      <c r="M7" s="33">
        <v>522000</v>
      </c>
      <c r="N7" s="33">
        <v>87000</v>
      </c>
      <c r="O7" s="33">
        <v>0</v>
      </c>
      <c r="P7" s="33">
        <v>0</v>
      </c>
      <c r="Q7" s="33">
        <v>0</v>
      </c>
      <c r="R7" s="34">
        <f t="shared" si="133"/>
        <v>609000</v>
      </c>
      <c r="S7" s="35">
        <f t="shared" si="134"/>
        <v>951865</v>
      </c>
      <c r="T7" s="35">
        <f t="shared" si="135"/>
        <v>602665</v>
      </c>
      <c r="U7" s="19">
        <f t="shared" si="136"/>
        <v>2.725844788087056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128"/>
        <v>585037.49652426294</v>
      </c>
      <c r="F8" s="13">
        <v>0</v>
      </c>
      <c r="G8" s="13">
        <v>781403</v>
      </c>
      <c r="H8" s="13">
        <v>0</v>
      </c>
      <c r="I8" s="16">
        <f t="shared" si="129"/>
        <v>0</v>
      </c>
      <c r="J8" s="17">
        <f t="shared" si="130"/>
        <v>-126653</v>
      </c>
      <c r="K8" s="18">
        <f t="shared" si="131"/>
        <v>698205.5057602881</v>
      </c>
      <c r="L8" s="19">
        <f t="shared" si="132"/>
        <v>1.1934371897670866</v>
      </c>
      <c r="M8" s="33">
        <v>0</v>
      </c>
      <c r="N8" s="33">
        <v>261000</v>
      </c>
      <c r="O8" s="33">
        <v>435000</v>
      </c>
      <c r="P8" s="33">
        <v>0</v>
      </c>
      <c r="Q8" s="33">
        <v>0</v>
      </c>
      <c r="R8" s="34">
        <f t="shared" si="133"/>
        <v>696000</v>
      </c>
      <c r="S8" s="35">
        <f t="shared" si="134"/>
        <v>1477403</v>
      </c>
      <c r="T8" s="35">
        <f t="shared" si="135"/>
        <v>822653</v>
      </c>
      <c r="U8" s="19">
        <f t="shared" si="136"/>
        <v>2.2564383352424588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128"/>
        <v>216656.93033237188</v>
      </c>
      <c r="F9" s="13">
        <v>0</v>
      </c>
      <c r="G9" s="13">
        <v>231850</v>
      </c>
      <c r="H9" s="13">
        <v>0</v>
      </c>
      <c r="I9" s="16">
        <f t="shared" si="129"/>
        <v>0</v>
      </c>
      <c r="J9" s="17">
        <f t="shared" si="130"/>
        <v>-29050</v>
      </c>
      <c r="K9" s="18">
        <f t="shared" si="131"/>
        <v>247691.86044161944</v>
      </c>
      <c r="L9" s="19">
        <f t="shared" si="132"/>
        <v>1.1432445759368837</v>
      </c>
      <c r="M9" s="33">
        <v>0</v>
      </c>
      <c r="N9" s="33">
        <v>0</v>
      </c>
      <c r="O9" s="33">
        <v>0</v>
      </c>
      <c r="P9" s="33">
        <v>156000</v>
      </c>
      <c r="Q9" s="33">
        <v>0</v>
      </c>
      <c r="R9" s="34">
        <f t="shared" si="133"/>
        <v>156000</v>
      </c>
      <c r="S9" s="35">
        <f t="shared" si="134"/>
        <v>387850</v>
      </c>
      <c r="T9" s="35">
        <f t="shared" si="135"/>
        <v>185050</v>
      </c>
      <c r="U9" s="19">
        <f t="shared" si="136"/>
        <v>1.9124753451676528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128"/>
        <v>505114.07016586867</v>
      </c>
      <c r="F10" s="13">
        <v>0</v>
      </c>
      <c r="G10" s="13">
        <v>233346</v>
      </c>
      <c r="H10" s="13">
        <v>0</v>
      </c>
      <c r="I10" s="16">
        <f t="shared" si="129"/>
        <v>0</v>
      </c>
      <c r="J10" s="17">
        <f t="shared" si="130"/>
        <v>-540</v>
      </c>
      <c r="K10" s="18">
        <f t="shared" si="131"/>
        <v>506285.6963176413</v>
      </c>
      <c r="L10" s="19">
        <f t="shared" si="132"/>
        <v>1.0023195278472206</v>
      </c>
      <c r="M10" s="33">
        <v>0</v>
      </c>
      <c r="N10" s="33">
        <v>6</v>
      </c>
      <c r="O10" s="33">
        <v>0</v>
      </c>
      <c r="P10" s="33">
        <v>77000</v>
      </c>
      <c r="Q10" s="33">
        <v>0</v>
      </c>
      <c r="R10" s="34">
        <f t="shared" si="133"/>
        <v>77006</v>
      </c>
      <c r="S10" s="35">
        <f t="shared" si="134"/>
        <v>310352</v>
      </c>
      <c r="T10" s="35">
        <f t="shared" si="135"/>
        <v>77546</v>
      </c>
      <c r="U10" s="19">
        <f t="shared" si="136"/>
        <v>1.3330927897047327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128"/>
        <v>58121.655911310321</v>
      </c>
      <c r="F11" s="13">
        <v>0</v>
      </c>
      <c r="G11" s="13">
        <v>37379</v>
      </c>
      <c r="H11" s="13">
        <v>0</v>
      </c>
      <c r="I11" s="16">
        <f t="shared" si="129"/>
        <v>0</v>
      </c>
      <c r="J11" s="17">
        <f t="shared" si="130"/>
        <v>0</v>
      </c>
      <c r="K11" s="18">
        <f t="shared" si="131"/>
        <v>58121.655911310321</v>
      </c>
      <c r="L11" s="19">
        <f t="shared" si="13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33"/>
        <v>0</v>
      </c>
      <c r="S11" s="35">
        <f t="shared" si="134"/>
        <v>37379</v>
      </c>
      <c r="T11" s="35">
        <f t="shared" si="135"/>
        <v>0</v>
      </c>
      <c r="U11" s="19">
        <f t="shared" si="13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8"/>
        <v>0</v>
      </c>
      <c r="F12" s="13"/>
      <c r="G12" s="13">
        <v>0</v>
      </c>
      <c r="H12" s="13">
        <v>0</v>
      </c>
      <c r="I12" s="16">
        <f t="shared" si="129"/>
        <v>0</v>
      </c>
      <c r="J12" s="17">
        <f t="shared" si="130"/>
        <v>0</v>
      </c>
      <c r="K12" s="18">
        <f t="shared" si="13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33"/>
        <v>0</v>
      </c>
      <c r="S12" s="35">
        <f t="shared" si="134"/>
        <v>0</v>
      </c>
      <c r="T12" s="35">
        <f t="shared" si="135"/>
        <v>0</v>
      </c>
      <c r="U12" s="19" t="e">
        <f t="shared" si="13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28"/>
        <v>0</v>
      </c>
      <c r="F13" s="13"/>
      <c r="G13" s="13">
        <v>0</v>
      </c>
      <c r="H13" s="13">
        <v>0</v>
      </c>
      <c r="I13" s="16">
        <f t="shared" si="129"/>
        <v>0</v>
      </c>
      <c r="J13" s="17">
        <f t="shared" si="130"/>
        <v>0</v>
      </c>
      <c r="K13" s="18">
        <f t="shared" si="13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33"/>
        <v>0</v>
      </c>
      <c r="S13" s="35">
        <f t="shared" si="134"/>
        <v>0</v>
      </c>
      <c r="T13" s="35">
        <f t="shared" si="135"/>
        <v>0</v>
      </c>
      <c r="U13" s="19" t="e">
        <f t="shared" si="13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28"/>
        <v>0</v>
      </c>
      <c r="F14" s="13"/>
      <c r="G14" s="13">
        <v>0</v>
      </c>
      <c r="H14" s="13">
        <v>0</v>
      </c>
      <c r="I14" s="16">
        <f t="shared" si="129"/>
        <v>0</v>
      </c>
      <c r="J14" s="17">
        <f t="shared" si="130"/>
        <v>0</v>
      </c>
      <c r="K14" s="18">
        <f t="shared" si="13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33"/>
        <v>0</v>
      </c>
      <c r="S14" s="35">
        <f t="shared" si="134"/>
        <v>0</v>
      </c>
      <c r="T14" s="35">
        <f t="shared" si="135"/>
        <v>0</v>
      </c>
      <c r="U14" s="19" t="e">
        <f t="shared" si="13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28"/>
        <v>0</v>
      </c>
      <c r="F15" s="13"/>
      <c r="G15" s="13">
        <v>0</v>
      </c>
      <c r="H15" s="13">
        <v>0</v>
      </c>
      <c r="I15" s="16">
        <f t="shared" si="129"/>
        <v>0</v>
      </c>
      <c r="J15" s="17">
        <f t="shared" si="130"/>
        <v>0</v>
      </c>
      <c r="K15" s="18">
        <f t="shared" si="13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33"/>
        <v>0</v>
      </c>
      <c r="S15" s="35">
        <f t="shared" si="134"/>
        <v>0</v>
      </c>
      <c r="T15" s="35">
        <f t="shared" si="135"/>
        <v>0</v>
      </c>
      <c r="U15" s="19" t="e">
        <f t="shared" si="13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28"/>
        <v>0</v>
      </c>
      <c r="F16" s="13"/>
      <c r="G16" s="13">
        <v>0</v>
      </c>
      <c r="H16" s="13">
        <v>0</v>
      </c>
      <c r="I16" s="16">
        <f t="shared" si="129"/>
        <v>0</v>
      </c>
      <c r="J16" s="17">
        <f t="shared" si="130"/>
        <v>0</v>
      </c>
      <c r="K16" s="18">
        <f t="shared" si="13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33"/>
        <v>0</v>
      </c>
      <c r="S16" s="35">
        <f t="shared" si="134"/>
        <v>0</v>
      </c>
      <c r="T16" s="35">
        <f t="shared" si="135"/>
        <v>0</v>
      </c>
      <c r="U16" s="19" t="e">
        <f t="shared" si="13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128"/>
        <v>3629.0452579287512</v>
      </c>
      <c r="F17" s="13">
        <v>61191</v>
      </c>
      <c r="G17" s="13">
        <v>787</v>
      </c>
      <c r="H17" s="13">
        <v>0</v>
      </c>
      <c r="I17" s="16">
        <f t="shared" si="129"/>
        <v>61191</v>
      </c>
      <c r="J17" s="17">
        <f t="shared" si="130"/>
        <v>400</v>
      </c>
      <c r="K17" s="18">
        <f t="shared" si="131"/>
        <v>2406.1150951894924</v>
      </c>
      <c r="L17" s="19">
        <f t="shared" ref="L17:L18" si="13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33"/>
        <v>0</v>
      </c>
      <c r="S17" s="35">
        <f t="shared" si="134"/>
        <v>61978</v>
      </c>
      <c r="T17" s="35">
        <f t="shared" si="135"/>
        <v>60791</v>
      </c>
      <c r="U17" s="19">
        <f t="shared" si="136"/>
        <v>52.213984835720304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3381089</v>
      </c>
      <c r="H18" s="24">
        <f>SUM(H3:H17)</f>
        <v>0</v>
      </c>
      <c r="I18" s="25">
        <f>SUM(I3:I17)</f>
        <v>203984</v>
      </c>
      <c r="J18" s="26">
        <f>SUM(J3:J17)</f>
        <v>-392081</v>
      </c>
      <c r="K18" s="26">
        <f>SUM(K3:K17)</f>
        <v>5053752.6867952952</v>
      </c>
      <c r="L18" s="27">
        <f t="shared" si="137"/>
        <v>1.1239426429543296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33"/>
        <v>0</v>
      </c>
      <c r="S18" s="35">
        <f t="shared" si="134"/>
        <v>3585073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100F9-007C-4C86-A5E8-000C009C0042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0A00F5-00A4-4AE0-A966-0002002B008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2D00E2-007C-4B27-A89D-004B0002000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660095-001A-4C24-B470-004500A2001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A900AD-001B-4A1E-BD6E-002200A100B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5B0030-00EB-4A53-95DF-00F600AF004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0C0041-0093-49F8-B120-00B1007C00E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C23" activeCellId="0" sqref="C23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249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280000</v>
      </c>
      <c r="D3" s="11">
        <v>2.8923780588381258</v>
      </c>
      <c r="E3" s="12">
        <f t="shared" ref="E3:E18" si="1603">C3*D3</f>
        <v>809865.85647467524</v>
      </c>
      <c r="F3" s="13">
        <v>110564</v>
      </c>
      <c r="G3" s="44">
        <v>73792</v>
      </c>
      <c r="H3" s="13"/>
      <c r="I3" s="16">
        <f t="shared" ref="I3:I17" si="1604">F3+H3</f>
        <v>110564</v>
      </c>
      <c r="J3" s="17">
        <f t="shared" ref="J3:J18" si="1605">C3-G3</f>
        <v>206208</v>
      </c>
      <c r="K3" s="18">
        <f>+G3*D3</f>
        <v>213434.36171778297</v>
      </c>
      <c r="L3" s="19">
        <f t="shared" ref="L3:L20" si="1606">K3/E3</f>
        <v>0.26354285714285713</v>
      </c>
      <c r="M3" s="34">
        <v>0</v>
      </c>
      <c r="N3" s="58">
        <v>111000</v>
      </c>
      <c r="O3" s="34">
        <v>148000</v>
      </c>
      <c r="P3" s="34">
        <v>185000</v>
      </c>
      <c r="Q3" s="69">
        <v>55500</v>
      </c>
      <c r="R3" s="34">
        <f t="shared" ref="R3:R18" si="1607">M3+N3+O3+P3+Q3</f>
        <v>499500</v>
      </c>
      <c r="S3" s="35">
        <f t="shared" ref="S3:S18" si="1608">G3+I3+R3</f>
        <v>683856</v>
      </c>
      <c r="T3" s="35">
        <f t="shared" ref="T3:T18" si="1609">S3-C3</f>
        <v>403856</v>
      </c>
      <c r="U3" s="19">
        <f t="shared" ref="U3:U18" si="1610">S3/C3</f>
        <v>2.4423428571428571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603"/>
        <v>0</v>
      </c>
      <c r="F4" s="13">
        <v>0</v>
      </c>
      <c r="G4" s="13">
        <v>37140</v>
      </c>
      <c r="H4" s="13">
        <v>37378</v>
      </c>
      <c r="I4" s="16">
        <f t="shared" si="1604"/>
        <v>37378</v>
      </c>
      <c r="J4" s="17">
        <f t="shared" si="1605"/>
        <v>-37140</v>
      </c>
      <c r="K4" s="18">
        <f>D4*G4</f>
        <v>57750.028105248151</v>
      </c>
      <c r="L4" s="19" t="e">
        <f t="shared" si="1606"/>
        <v>#DIV/0!</v>
      </c>
      <c r="M4" s="34">
        <v>0</v>
      </c>
      <c r="N4" s="58">
        <v>37000</v>
      </c>
      <c r="O4" s="34">
        <v>0</v>
      </c>
      <c r="P4" s="34">
        <v>0</v>
      </c>
      <c r="Q4" s="34">
        <v>0</v>
      </c>
      <c r="R4" s="34">
        <f t="shared" si="1607"/>
        <v>37000</v>
      </c>
      <c r="S4" s="35">
        <f t="shared" si="1608"/>
        <v>111518</v>
      </c>
      <c r="T4" s="35">
        <f t="shared" si="1609"/>
        <v>111518</v>
      </c>
      <c r="U4" s="19" t="e">
        <f t="shared" si="1610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603"/>
        <v>311100.33571783872</v>
      </c>
      <c r="F5" s="13">
        <v>0</v>
      </c>
      <c r="G5" s="13">
        <v>154774</v>
      </c>
      <c r="H5" s="13">
        <v>0</v>
      </c>
      <c r="I5" s="16">
        <f t="shared" si="1604"/>
        <v>0</v>
      </c>
      <c r="J5" s="17">
        <f t="shared" si="1605"/>
        <v>136429</v>
      </c>
      <c r="K5" s="18">
        <f t="shared" ref="K5:K19" si="1611">+G5*D5</f>
        <v>165349.40697861207</v>
      </c>
      <c r="L5" s="19">
        <f t="shared" si="1606"/>
        <v>0.53149864527494561</v>
      </c>
      <c r="M5" s="34">
        <v>0</v>
      </c>
      <c r="N5" s="58">
        <v>0</v>
      </c>
      <c r="O5" s="34">
        <v>312000</v>
      </c>
      <c r="P5" s="73">
        <v>0</v>
      </c>
      <c r="Q5" s="34">
        <v>0</v>
      </c>
      <c r="R5" s="34">
        <f t="shared" si="1607"/>
        <v>312000</v>
      </c>
      <c r="S5" s="35">
        <f t="shared" si="1608"/>
        <v>466774</v>
      </c>
      <c r="T5" s="35">
        <f t="shared" si="1609"/>
        <v>175571</v>
      </c>
      <c r="U5" s="19">
        <f t="shared" si="1610"/>
        <v>1.6029161787481585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603"/>
        <v>1852588.289251169</v>
      </c>
      <c r="F6" s="13">
        <v>0</v>
      </c>
      <c r="G6" s="13">
        <v>134400</v>
      </c>
      <c r="H6" s="13">
        <v>98268</v>
      </c>
      <c r="I6" s="16">
        <f t="shared" si="1604"/>
        <v>98268</v>
      </c>
      <c r="J6" s="17">
        <f t="shared" si="1605"/>
        <v>719454</v>
      </c>
      <c r="K6" s="18">
        <f t="shared" si="1611"/>
        <v>291604.7311078441</v>
      </c>
      <c r="L6" s="19">
        <f t="shared" si="1606"/>
        <v>0.15740395899064713</v>
      </c>
      <c r="M6" s="34">
        <v>0</v>
      </c>
      <c r="N6" s="58">
        <v>312000</v>
      </c>
      <c r="O6" s="34">
        <v>0</v>
      </c>
      <c r="P6" s="34">
        <v>312000</v>
      </c>
      <c r="Q6" s="34">
        <v>0</v>
      </c>
      <c r="R6" s="34">
        <f t="shared" si="1607"/>
        <v>624000</v>
      </c>
      <c r="S6" s="35">
        <f t="shared" si="1608"/>
        <v>856668</v>
      </c>
      <c r="T6" s="35">
        <f t="shared" si="1609"/>
        <v>2814</v>
      </c>
      <c r="U6" s="19">
        <f t="shared" si="1610"/>
        <v>1.0032956453913666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603"/>
        <v>0</v>
      </c>
      <c r="F7" s="13">
        <v>0</v>
      </c>
      <c r="G7" s="13">
        <v>0</v>
      </c>
      <c r="H7" s="13">
        <v>0</v>
      </c>
      <c r="I7" s="16">
        <f t="shared" si="1604"/>
        <v>0</v>
      </c>
      <c r="J7" s="17">
        <f t="shared" si="1605"/>
        <v>0</v>
      </c>
      <c r="K7" s="18">
        <f t="shared" si="1611"/>
        <v>0</v>
      </c>
      <c r="L7" s="19" t="e">
        <f t="shared" si="1606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607"/>
        <v>0</v>
      </c>
      <c r="S7" s="35">
        <f t="shared" si="1608"/>
        <v>0</v>
      </c>
      <c r="T7" s="35">
        <f t="shared" si="1609"/>
        <v>0</v>
      </c>
      <c r="U7" s="19" t="e">
        <f t="shared" si="1610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603"/>
        <v>551744.21611339867</v>
      </c>
      <c r="F8" s="13">
        <v>157055</v>
      </c>
      <c r="G8" s="44">
        <v>379868</v>
      </c>
      <c r="H8" s="44">
        <v>63382</v>
      </c>
      <c r="I8" s="16">
        <f t="shared" si="1604"/>
        <v>220437</v>
      </c>
      <c r="J8" s="17">
        <f t="shared" si="1605"/>
        <v>102836</v>
      </c>
      <c r="K8" s="18">
        <f t="shared" si="1611"/>
        <v>434199.78265472117</v>
      </c>
      <c r="L8" s="19">
        <f t="shared" si="1606"/>
        <v>0.78695846730087182</v>
      </c>
      <c r="M8" s="34">
        <v>0</v>
      </c>
      <c r="N8" s="58">
        <v>157000</v>
      </c>
      <c r="O8" s="34">
        <v>126000</v>
      </c>
      <c r="P8" s="34">
        <v>315000</v>
      </c>
      <c r="Q8" s="34">
        <v>0</v>
      </c>
      <c r="R8" s="34">
        <f t="shared" si="1607"/>
        <v>598000</v>
      </c>
      <c r="S8" s="35">
        <f t="shared" si="1608"/>
        <v>1198305</v>
      </c>
      <c r="T8" s="35">
        <f t="shared" si="1609"/>
        <v>715601</v>
      </c>
      <c r="U8" s="19">
        <f t="shared" si="1610"/>
        <v>2.4824840896284264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603"/>
        <v>287493.67638714588</v>
      </c>
      <c r="F9" s="13">
        <v>0</v>
      </c>
      <c r="G9" s="44">
        <v>0</v>
      </c>
      <c r="H9" s="13">
        <v>0</v>
      </c>
      <c r="I9" s="16">
        <f t="shared" si="1604"/>
        <v>0</v>
      </c>
      <c r="J9" s="17">
        <f t="shared" si="1605"/>
        <v>453297</v>
      </c>
      <c r="K9" s="18">
        <f t="shared" si="1611"/>
        <v>0</v>
      </c>
      <c r="L9" s="19">
        <f t="shared" si="1606"/>
        <v>0</v>
      </c>
      <c r="M9" s="34">
        <v>0</v>
      </c>
      <c r="N9" s="58">
        <v>440000</v>
      </c>
      <c r="O9" s="34">
        <v>260000</v>
      </c>
      <c r="P9" s="34">
        <v>0</v>
      </c>
      <c r="Q9" s="34">
        <v>0</v>
      </c>
      <c r="R9" s="34">
        <f t="shared" si="1607"/>
        <v>700000</v>
      </c>
      <c r="S9" s="35">
        <f t="shared" si="1608"/>
        <v>700000</v>
      </c>
      <c r="T9" s="35">
        <f t="shared" si="1609"/>
        <v>246703</v>
      </c>
      <c r="U9" s="19">
        <f t="shared" si="1610"/>
        <v>1.5442414134662263</v>
      </c>
    </row>
    <row r="10">
      <c r="A10" s="9" t="s">
        <v>30</v>
      </c>
      <c r="B10" s="9" t="s">
        <v>31</v>
      </c>
      <c r="C10" s="14">
        <v>186914</v>
      </c>
      <c r="D10" s="50">
        <v>0.89352805883812592</v>
      </c>
      <c r="E10" s="14">
        <f t="shared" si="1603"/>
        <v>167012.90358966947</v>
      </c>
      <c r="F10" s="44">
        <v>41946</v>
      </c>
      <c r="G10" s="13">
        <v>266020</v>
      </c>
      <c r="H10" s="44">
        <v>0</v>
      </c>
      <c r="I10" s="16">
        <f t="shared" si="1604"/>
        <v>41946</v>
      </c>
      <c r="J10" s="17">
        <f t="shared" si="1605"/>
        <v>-79106</v>
      </c>
      <c r="K10" s="18">
        <f t="shared" si="1611"/>
        <v>237696.33421211826</v>
      </c>
      <c r="L10" s="19">
        <f t="shared" si="1606"/>
        <v>1.4232213745358828</v>
      </c>
      <c r="M10" s="34">
        <v>0</v>
      </c>
      <c r="N10" s="58">
        <v>220000</v>
      </c>
      <c r="O10" s="34">
        <v>0</v>
      </c>
      <c r="P10" s="34">
        <v>0</v>
      </c>
      <c r="Q10" s="34">
        <v>0</v>
      </c>
      <c r="R10" s="34">
        <f t="shared" si="1607"/>
        <v>220000</v>
      </c>
      <c r="S10" s="35">
        <f t="shared" si="1608"/>
        <v>527966</v>
      </c>
      <c r="T10" s="35">
        <f t="shared" si="1609"/>
        <v>341052</v>
      </c>
      <c r="U10" s="19">
        <f t="shared" si="1610"/>
        <v>2.8246466289309522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603"/>
        <v>0</v>
      </c>
      <c r="F11" s="13">
        <v>0</v>
      </c>
      <c r="G11" s="13">
        <v>0</v>
      </c>
      <c r="H11" s="13">
        <v>0</v>
      </c>
      <c r="I11" s="16">
        <f t="shared" si="1604"/>
        <v>0</v>
      </c>
      <c r="J11" s="17">
        <f t="shared" si="1605"/>
        <v>0</v>
      </c>
      <c r="K11" s="18">
        <f t="shared" si="1611"/>
        <v>0</v>
      </c>
      <c r="L11" s="19" t="e">
        <f t="shared" si="1606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607"/>
        <v>0</v>
      </c>
      <c r="S11" s="35">
        <f t="shared" si="1608"/>
        <v>0</v>
      </c>
      <c r="T11" s="35">
        <f t="shared" si="1609"/>
        <v>0</v>
      </c>
      <c r="U11" s="19" t="e">
        <f t="shared" si="1610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603"/>
        <v>10886.934056092776</v>
      </c>
      <c r="F12" s="13">
        <v>2246</v>
      </c>
      <c r="G12" s="13">
        <v>0</v>
      </c>
      <c r="H12" s="13">
        <v>0</v>
      </c>
      <c r="I12" s="16">
        <f t="shared" si="1604"/>
        <v>2246</v>
      </c>
      <c r="J12" s="17">
        <f>C12-G12</f>
        <v>2326</v>
      </c>
      <c r="K12" s="18">
        <f t="shared" si="1611"/>
        <v>0</v>
      </c>
      <c r="L12" s="19">
        <f t="shared" si="1606"/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607"/>
        <v>0</v>
      </c>
      <c r="S12" s="35">
        <f t="shared" si="1608"/>
        <v>2246</v>
      </c>
      <c r="T12" s="35">
        <f t="shared" si="1609"/>
        <v>-80</v>
      </c>
      <c r="U12" s="19">
        <f t="shared" si="1610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603"/>
        <v>112221.94</v>
      </c>
      <c r="F13" s="13">
        <v>12105</v>
      </c>
      <c r="G13" s="13">
        <v>0</v>
      </c>
      <c r="H13" s="13">
        <v>0</v>
      </c>
      <c r="I13" s="16">
        <f t="shared" si="1604"/>
        <v>12105</v>
      </c>
      <c r="J13" s="17">
        <f t="shared" si="1605"/>
        <v>12119</v>
      </c>
      <c r="K13" s="18">
        <f t="shared" si="1611"/>
        <v>0</v>
      </c>
      <c r="L13" s="19">
        <f t="shared" si="1606"/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607"/>
        <v>0</v>
      </c>
      <c r="S13" s="35">
        <f t="shared" si="1608"/>
        <v>12105</v>
      </c>
      <c r="T13" s="35">
        <f t="shared" si="1609"/>
        <v>-14</v>
      </c>
      <c r="U13" s="19">
        <f t="shared" si="1610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03"/>
        <v>0</v>
      </c>
      <c r="F14" s="13">
        <v>0</v>
      </c>
      <c r="G14" s="13">
        <v>0</v>
      </c>
      <c r="H14" s="13">
        <v>0</v>
      </c>
      <c r="I14" s="16">
        <f t="shared" si="1604"/>
        <v>0</v>
      </c>
      <c r="J14" s="17">
        <f t="shared" si="1605"/>
        <v>0</v>
      </c>
      <c r="K14" s="18">
        <f t="shared" si="1611"/>
        <v>0</v>
      </c>
      <c r="L14" s="19" t="e">
        <f t="shared" si="1606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607"/>
        <v>0</v>
      </c>
      <c r="S14" s="35">
        <f t="shared" si="1608"/>
        <v>0</v>
      </c>
      <c r="T14" s="35">
        <f t="shared" si="1609"/>
        <v>0</v>
      </c>
      <c r="U14" s="19" t="e">
        <f t="shared" si="1610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603"/>
        <v>0</v>
      </c>
      <c r="F15" s="13">
        <v>0</v>
      </c>
      <c r="G15" s="33">
        <v>0</v>
      </c>
      <c r="H15" s="13">
        <v>0</v>
      </c>
      <c r="I15" s="16">
        <f t="shared" si="1604"/>
        <v>0</v>
      </c>
      <c r="J15" s="17">
        <f t="shared" si="1605"/>
        <v>0</v>
      </c>
      <c r="K15" s="18">
        <f t="shared" si="1611"/>
        <v>0</v>
      </c>
      <c r="L15" s="19" t="e">
        <f t="shared" si="1606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607"/>
        <v>0</v>
      </c>
      <c r="S15" s="35">
        <f t="shared" si="1608"/>
        <v>0</v>
      </c>
      <c r="T15" s="35">
        <f t="shared" si="1609"/>
        <v>0</v>
      </c>
      <c r="U15" s="19" t="e">
        <f t="shared" si="1610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603"/>
        <v>0</v>
      </c>
      <c r="F16" s="13">
        <v>0</v>
      </c>
      <c r="G16" s="33">
        <v>0</v>
      </c>
      <c r="H16" s="13">
        <v>0</v>
      </c>
      <c r="I16" s="16">
        <f t="shared" si="1604"/>
        <v>0</v>
      </c>
      <c r="J16" s="17">
        <f t="shared" si="1605"/>
        <v>0</v>
      </c>
      <c r="K16" s="18">
        <f t="shared" si="1611"/>
        <v>0</v>
      </c>
      <c r="L16" s="19" t="e">
        <f t="shared" si="1606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607"/>
        <v>0</v>
      </c>
      <c r="S16" s="35">
        <f t="shared" si="1608"/>
        <v>0</v>
      </c>
      <c r="T16" s="35">
        <f t="shared" si="1609"/>
        <v>0</v>
      </c>
      <c r="U16" s="19" t="e">
        <f t="shared" si="1610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603"/>
        <v>0</v>
      </c>
      <c r="F17" s="13">
        <v>0</v>
      </c>
      <c r="G17" s="33">
        <v>0</v>
      </c>
      <c r="H17" s="13">
        <v>0</v>
      </c>
      <c r="I17" s="16">
        <f t="shared" si="1604"/>
        <v>0</v>
      </c>
      <c r="J17" s="17">
        <f t="shared" si="1605"/>
        <v>0</v>
      </c>
      <c r="K17" s="18">
        <f t="shared" si="1611"/>
        <v>0</v>
      </c>
      <c r="L17" s="19" t="e">
        <f t="shared" si="1606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607"/>
        <v>0</v>
      </c>
      <c r="S17" s="35">
        <f t="shared" si="1608"/>
        <v>0</v>
      </c>
      <c r="T17" s="35">
        <f t="shared" si="1609"/>
        <v>0</v>
      </c>
      <c r="U17" s="19" t="e">
        <f t="shared" si="1610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603"/>
        <v>565976.44184304646</v>
      </c>
      <c r="F18" s="13">
        <v>1132657</v>
      </c>
      <c r="G18" s="13">
        <v>74234</v>
      </c>
      <c r="H18" s="13">
        <v>0</v>
      </c>
      <c r="I18" s="16">
        <v>662565</v>
      </c>
      <c r="J18" s="17">
        <f t="shared" si="1605"/>
        <v>360152</v>
      </c>
      <c r="K18" s="18">
        <f t="shared" si="1611"/>
        <v>96722.028757318854</v>
      </c>
      <c r="L18" s="19">
        <f t="shared" si="1606"/>
        <v>0.17089408958852265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607"/>
        <v>0</v>
      </c>
      <c r="S18" s="35">
        <f t="shared" si="1608"/>
        <v>736799</v>
      </c>
      <c r="T18" s="35">
        <f t="shared" si="1609"/>
        <v>302413</v>
      </c>
      <c r="U18" s="19">
        <f t="shared" si="1610"/>
        <v>1.6961849599204395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611"/>
        <v>0</v>
      </c>
      <c r="L19" s="19" t="e">
        <f t="shared" si="1606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12">M19+N19+O19+P19+Q19</f>
        <v>0</v>
      </c>
      <c r="S19" s="35">
        <f t="shared" ref="S19:S20" si="1613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2996803</v>
      </c>
      <c r="D20" s="23"/>
      <c r="E20" s="22">
        <f t="shared" ref="E20:K20" si="1614">SUM(E3:E19)</f>
        <v>4668890.5934330365</v>
      </c>
      <c r="F20" s="24">
        <f t="shared" si="1614"/>
        <v>1456573</v>
      </c>
      <c r="G20" s="24">
        <f t="shared" si="1614"/>
        <v>1120228</v>
      </c>
      <c r="H20" s="24">
        <f t="shared" si="1614"/>
        <v>199028</v>
      </c>
      <c r="I20" s="25">
        <f t="shared" si="1614"/>
        <v>1185509</v>
      </c>
      <c r="J20" s="26">
        <f t="shared" si="1614"/>
        <v>1876575</v>
      </c>
      <c r="K20" s="26">
        <f t="shared" si="1614"/>
        <v>1496756.6735336455</v>
      </c>
      <c r="L20" s="19">
        <f t="shared" si="1606"/>
        <v>0.32058079828190617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12"/>
        <v>0</v>
      </c>
      <c r="S20" s="35">
        <f t="shared" si="1613"/>
        <v>2305737</v>
      </c>
      <c r="T20" s="41"/>
    </row>
    <row r="22">
      <c r="E22" s="28"/>
      <c r="F22" s="28"/>
    </row>
    <row r="25">
      <c r="F25" t="s">
        <v>64</v>
      </c>
      <c r="G25" s="41" t="s">
        <v>64</v>
      </c>
    </row>
    <row r="30">
      <c r="E30" s="28"/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CA000E-0095-4583-9DBD-003F00E4008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4B004C-000D-47DA-9163-008C0089001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2100C6-0077-42B7-A770-002C00C9004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B7008A-0034-4131-84C6-00C500F0005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6F0065-0049-465E-A46E-003B00C9001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4400F8-00AF-40FE-88D6-006300F100D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EF0052-00FB-4E9C-A0B8-00350024007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6300D3-004C-464B-B4B9-00C2001700E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900E4-0063-4F57-9645-00FE000E001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4" activeCellId="0" sqref="J2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250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280593</v>
      </c>
      <c r="D3" s="11">
        <v>2.8923780588381258</v>
      </c>
      <c r="E3" s="12">
        <f t="shared" ref="E3:E18" si="1615">C3*D3</f>
        <v>811581.03666356625</v>
      </c>
      <c r="F3" s="13">
        <v>0</v>
      </c>
      <c r="G3" s="44">
        <v>73792</v>
      </c>
      <c r="H3" s="13">
        <v>147230</v>
      </c>
      <c r="I3" s="16">
        <f t="shared" ref="I3:I17" si="1616">F3+H3</f>
        <v>147230</v>
      </c>
      <c r="J3" s="17">
        <f t="shared" ref="J3:J18" si="1617">C3-G3</f>
        <v>206801</v>
      </c>
      <c r="K3" s="18">
        <f>+G3*D3</f>
        <v>213434.36171778297</v>
      </c>
      <c r="L3" s="19">
        <f t="shared" ref="L3:L20" si="1618">K3/E3</f>
        <v>0.26298589059598776</v>
      </c>
      <c r="M3" s="34">
        <v>0</v>
      </c>
      <c r="N3" s="58">
        <v>111000</v>
      </c>
      <c r="O3" s="34">
        <v>148000</v>
      </c>
      <c r="P3" s="34">
        <v>185000</v>
      </c>
      <c r="Q3" s="69">
        <v>55500</v>
      </c>
      <c r="R3" s="34">
        <f t="shared" ref="R3:R18" si="1619">M3+N3+O3+P3+Q3</f>
        <v>499500</v>
      </c>
      <c r="S3" s="35">
        <f t="shared" ref="S3:S18" si="1620">G3+I3+R3</f>
        <v>720522</v>
      </c>
      <c r="T3" s="35">
        <f t="shared" ref="T3:T18" si="1621">S3-C3</f>
        <v>439929</v>
      </c>
      <c r="U3" s="19">
        <f t="shared" ref="U3:U18" si="1622">S3/C3</f>
        <v>2.5678545081309938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615"/>
        <v>0</v>
      </c>
      <c r="F4" s="13">
        <v>0</v>
      </c>
      <c r="G4" s="13">
        <v>37140</v>
      </c>
      <c r="H4" s="13">
        <v>37378</v>
      </c>
      <c r="I4" s="16">
        <f t="shared" si="1616"/>
        <v>37378</v>
      </c>
      <c r="J4" s="17">
        <f t="shared" si="1617"/>
        <v>-37140</v>
      </c>
      <c r="K4" s="18">
        <f>D4*G4</f>
        <v>57750.028105248151</v>
      </c>
      <c r="L4" s="19" t="e">
        <f t="shared" si="1618"/>
        <v>#DIV/0!</v>
      </c>
      <c r="M4" s="34">
        <v>0</v>
      </c>
      <c r="N4" s="58">
        <v>37000</v>
      </c>
      <c r="O4" s="34">
        <v>0</v>
      </c>
      <c r="P4" s="34">
        <v>0</v>
      </c>
      <c r="Q4" s="34">
        <v>0</v>
      </c>
      <c r="R4" s="34">
        <f t="shared" si="1619"/>
        <v>37000</v>
      </c>
      <c r="S4" s="35">
        <f t="shared" si="1620"/>
        <v>111518</v>
      </c>
      <c r="T4" s="35">
        <f t="shared" si="1621"/>
        <v>111518</v>
      </c>
      <c r="U4" s="19" t="e">
        <f t="shared" si="1622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615"/>
        <v>311100.33571783872</v>
      </c>
      <c r="F5" s="13">
        <v>0</v>
      </c>
      <c r="G5" s="13">
        <v>154774</v>
      </c>
      <c r="H5" s="13">
        <v>0</v>
      </c>
      <c r="I5" s="16">
        <f t="shared" si="1616"/>
        <v>0</v>
      </c>
      <c r="J5" s="17">
        <f t="shared" si="1617"/>
        <v>136429</v>
      </c>
      <c r="K5" s="18">
        <f t="shared" ref="K5:K19" si="1623">+G5*D5</f>
        <v>165349.40697861207</v>
      </c>
      <c r="L5" s="19">
        <f t="shared" si="1618"/>
        <v>0.53149864527494561</v>
      </c>
      <c r="M5" s="34">
        <v>0</v>
      </c>
      <c r="N5" s="58">
        <v>0</v>
      </c>
      <c r="O5" s="34">
        <v>312000</v>
      </c>
      <c r="P5" s="73">
        <v>0</v>
      </c>
      <c r="Q5" s="34">
        <v>0</v>
      </c>
      <c r="R5" s="34">
        <f t="shared" si="1619"/>
        <v>312000</v>
      </c>
      <c r="S5" s="35">
        <f t="shared" si="1620"/>
        <v>466774</v>
      </c>
      <c r="T5" s="35">
        <f t="shared" si="1621"/>
        <v>175571</v>
      </c>
      <c r="U5" s="19">
        <f t="shared" si="1622"/>
        <v>1.6029161787481585</v>
      </c>
    </row>
    <row r="6">
      <c r="A6" s="9" t="s">
        <v>34</v>
      </c>
      <c r="B6" s="64" t="s">
        <v>35</v>
      </c>
      <c r="C6" s="75">
        <v>853854</v>
      </c>
      <c r="D6" s="50">
        <v>2.1696780588381257</v>
      </c>
      <c r="E6" s="14">
        <f t="shared" si="1615"/>
        <v>1852588.289251169</v>
      </c>
      <c r="F6" s="13"/>
      <c r="G6" s="13">
        <v>232668</v>
      </c>
      <c r="H6" s="13">
        <v>77074</v>
      </c>
      <c r="I6" s="16">
        <f t="shared" si="1616"/>
        <v>77074</v>
      </c>
      <c r="J6" s="17">
        <f t="shared" si="1617"/>
        <v>621186</v>
      </c>
      <c r="K6" s="18">
        <f t="shared" si="1623"/>
        <v>504814.65459374903</v>
      </c>
      <c r="L6" s="19">
        <f t="shared" si="1618"/>
        <v>0.27249155007764791</v>
      </c>
      <c r="M6" s="34">
        <v>0</v>
      </c>
      <c r="N6" s="58">
        <v>312000</v>
      </c>
      <c r="O6" s="34">
        <v>0</v>
      </c>
      <c r="P6" s="34">
        <v>312000</v>
      </c>
      <c r="Q6" s="34">
        <v>0</v>
      </c>
      <c r="R6" s="34">
        <f t="shared" si="1619"/>
        <v>624000</v>
      </c>
      <c r="S6" s="35">
        <f t="shared" si="1620"/>
        <v>933742</v>
      </c>
      <c r="T6" s="35">
        <f t="shared" si="1621"/>
        <v>79888</v>
      </c>
      <c r="U6" s="19">
        <f t="shared" si="1622"/>
        <v>1.0935616627667024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615"/>
        <v>0</v>
      </c>
      <c r="F7" s="13">
        <v>0</v>
      </c>
      <c r="G7" s="13">
        <v>0</v>
      </c>
      <c r="H7" s="13">
        <v>0</v>
      </c>
      <c r="I7" s="16">
        <f t="shared" si="1616"/>
        <v>0</v>
      </c>
      <c r="J7" s="17">
        <f t="shared" si="1617"/>
        <v>0</v>
      </c>
      <c r="K7" s="18">
        <f t="shared" si="1623"/>
        <v>0</v>
      </c>
      <c r="L7" s="19" t="e">
        <f t="shared" si="1618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619"/>
        <v>0</v>
      </c>
      <c r="S7" s="35">
        <f t="shared" si="1620"/>
        <v>0</v>
      </c>
      <c r="T7" s="35">
        <f t="shared" si="1621"/>
        <v>0</v>
      </c>
      <c r="U7" s="19" t="e">
        <f t="shared" si="1622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615"/>
        <v>551744.21611339867</v>
      </c>
      <c r="F8" s="13">
        <v>117601</v>
      </c>
      <c r="G8" s="44">
        <v>443230</v>
      </c>
      <c r="H8" s="44">
        <v>39474</v>
      </c>
      <c r="I8" s="16">
        <f t="shared" si="1616"/>
        <v>157075</v>
      </c>
      <c r="J8" s="17">
        <f t="shared" si="1617"/>
        <v>39474</v>
      </c>
      <c r="K8" s="18">
        <f t="shared" si="1623"/>
        <v>506624.32651882252</v>
      </c>
      <c r="L8" s="19">
        <f t="shared" si="1618"/>
        <v>0.91822317610792537</v>
      </c>
      <c r="M8" s="34">
        <v>0</v>
      </c>
      <c r="N8" s="58">
        <v>157000</v>
      </c>
      <c r="O8" s="34">
        <v>126000</v>
      </c>
      <c r="P8" s="34">
        <v>315000</v>
      </c>
      <c r="Q8" s="34">
        <v>0</v>
      </c>
      <c r="R8" s="34">
        <f t="shared" si="1619"/>
        <v>598000</v>
      </c>
      <c r="S8" s="35">
        <f t="shared" si="1620"/>
        <v>1198305</v>
      </c>
      <c r="T8" s="35">
        <f t="shared" si="1621"/>
        <v>715601</v>
      </c>
      <c r="U8" s="19">
        <f t="shared" si="1622"/>
        <v>2.4824840896284264</v>
      </c>
    </row>
    <row r="9">
      <c r="A9" s="9" t="s">
        <v>28</v>
      </c>
      <c r="B9" s="64" t="s">
        <v>29</v>
      </c>
      <c r="C9" s="75">
        <v>453297</v>
      </c>
      <c r="D9" s="11">
        <v>0.63422805883812572</v>
      </c>
      <c r="E9" s="12">
        <f t="shared" si="1615"/>
        <v>287493.67638714588</v>
      </c>
      <c r="F9" s="13">
        <v>0</v>
      </c>
      <c r="G9" s="44">
        <v>0</v>
      </c>
      <c r="H9" s="13">
        <v>85261</v>
      </c>
      <c r="I9" s="16">
        <f t="shared" si="1616"/>
        <v>85261</v>
      </c>
      <c r="J9" s="17">
        <f t="shared" si="1617"/>
        <v>453297</v>
      </c>
      <c r="K9" s="18">
        <f t="shared" si="1623"/>
        <v>0</v>
      </c>
      <c r="L9" s="19">
        <f t="shared" si="1618"/>
        <v>0</v>
      </c>
      <c r="M9" s="34">
        <v>0</v>
      </c>
      <c r="N9" s="58">
        <v>440000</v>
      </c>
      <c r="O9" s="34">
        <v>260000</v>
      </c>
      <c r="P9" s="34">
        <v>0</v>
      </c>
      <c r="Q9" s="34">
        <v>0</v>
      </c>
      <c r="R9" s="34">
        <f t="shared" si="1619"/>
        <v>700000</v>
      </c>
      <c r="S9" s="35">
        <f t="shared" si="1620"/>
        <v>785261</v>
      </c>
      <c r="T9" s="35">
        <f t="shared" si="1621"/>
        <v>331964</v>
      </c>
      <c r="U9" s="19">
        <f t="shared" si="1622"/>
        <v>1.7323322236855747</v>
      </c>
    </row>
    <row r="10">
      <c r="A10" s="9" t="s">
        <v>30</v>
      </c>
      <c r="B10" s="9" t="s">
        <v>31</v>
      </c>
      <c r="C10" s="14">
        <v>307020</v>
      </c>
      <c r="D10" s="50">
        <v>0.89352805883812592</v>
      </c>
      <c r="E10" s="14">
        <f t="shared" si="1615"/>
        <v>274330.98462448141</v>
      </c>
      <c r="F10" s="44">
        <v>0</v>
      </c>
      <c r="G10" s="13">
        <v>266020</v>
      </c>
      <c r="H10" s="44">
        <v>41946</v>
      </c>
      <c r="I10" s="16">
        <f t="shared" si="1616"/>
        <v>41946</v>
      </c>
      <c r="J10" s="17">
        <f t="shared" si="1617"/>
        <v>41000</v>
      </c>
      <c r="K10" s="18">
        <f t="shared" si="1623"/>
        <v>237696.33421211826</v>
      </c>
      <c r="L10" s="19">
        <f t="shared" si="1618"/>
        <v>0.86645821119145339</v>
      </c>
      <c r="M10" s="34">
        <v>0</v>
      </c>
      <c r="N10" s="58">
        <v>220000</v>
      </c>
      <c r="O10" s="34">
        <v>0</v>
      </c>
      <c r="P10" s="34">
        <v>0</v>
      </c>
      <c r="Q10" s="34">
        <v>0</v>
      </c>
      <c r="R10" s="34">
        <f t="shared" si="1619"/>
        <v>220000</v>
      </c>
      <c r="S10" s="35">
        <f t="shared" si="1620"/>
        <v>527966</v>
      </c>
      <c r="T10" s="35">
        <f t="shared" si="1621"/>
        <v>220946</v>
      </c>
      <c r="U10" s="19">
        <f t="shared" si="1622"/>
        <v>1.7196469285388574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615"/>
        <v>0</v>
      </c>
      <c r="F11" s="13">
        <v>0</v>
      </c>
      <c r="G11" s="13">
        <v>0</v>
      </c>
      <c r="H11" s="13">
        <v>0</v>
      </c>
      <c r="I11" s="16">
        <f t="shared" si="1616"/>
        <v>0</v>
      </c>
      <c r="J11" s="17">
        <f t="shared" si="1617"/>
        <v>0</v>
      </c>
      <c r="K11" s="18">
        <f t="shared" si="1623"/>
        <v>0</v>
      </c>
      <c r="L11" s="19" t="e">
        <f t="shared" si="161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619"/>
        <v>0</v>
      </c>
      <c r="S11" s="35">
        <f t="shared" si="1620"/>
        <v>0</v>
      </c>
      <c r="T11" s="35">
        <f t="shared" si="1621"/>
        <v>0</v>
      </c>
      <c r="U11" s="19" t="e">
        <f t="shared" si="1622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615"/>
        <v>10886.934056092776</v>
      </c>
      <c r="F12" s="13">
        <v>2246</v>
      </c>
      <c r="G12" s="13">
        <v>0</v>
      </c>
      <c r="H12" s="13">
        <v>0</v>
      </c>
      <c r="I12" s="16">
        <f t="shared" si="1616"/>
        <v>2246</v>
      </c>
      <c r="J12" s="17">
        <f>C12-G12</f>
        <v>2326</v>
      </c>
      <c r="K12" s="18">
        <f t="shared" si="1623"/>
        <v>0</v>
      </c>
      <c r="L12" s="19">
        <f t="shared" si="1618"/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619"/>
        <v>0</v>
      </c>
      <c r="S12" s="35">
        <f t="shared" si="1620"/>
        <v>2246</v>
      </c>
      <c r="T12" s="35">
        <f t="shared" si="1621"/>
        <v>-80</v>
      </c>
      <c r="U12" s="19">
        <f t="shared" si="1622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615"/>
        <v>112221.94</v>
      </c>
      <c r="F13" s="13">
        <v>12105</v>
      </c>
      <c r="G13" s="13">
        <v>0</v>
      </c>
      <c r="H13" s="13">
        <v>0</v>
      </c>
      <c r="I13" s="16">
        <f t="shared" si="1616"/>
        <v>12105</v>
      </c>
      <c r="J13" s="17">
        <f t="shared" si="1617"/>
        <v>12119</v>
      </c>
      <c r="K13" s="18">
        <f t="shared" si="1623"/>
        <v>0</v>
      </c>
      <c r="L13" s="19">
        <f t="shared" si="1618"/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619"/>
        <v>0</v>
      </c>
      <c r="S13" s="35">
        <f t="shared" si="1620"/>
        <v>12105</v>
      </c>
      <c r="T13" s="35">
        <f t="shared" si="1621"/>
        <v>-14</v>
      </c>
      <c r="U13" s="19">
        <f t="shared" si="1622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15"/>
        <v>0</v>
      </c>
      <c r="F14" s="13">
        <v>0</v>
      </c>
      <c r="G14" s="13">
        <v>0</v>
      </c>
      <c r="H14" s="13">
        <v>0</v>
      </c>
      <c r="I14" s="16">
        <f t="shared" si="1616"/>
        <v>0</v>
      </c>
      <c r="J14" s="17">
        <f t="shared" si="1617"/>
        <v>0</v>
      </c>
      <c r="K14" s="18">
        <f t="shared" si="1623"/>
        <v>0</v>
      </c>
      <c r="L14" s="19" t="e">
        <f t="shared" si="1618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619"/>
        <v>0</v>
      </c>
      <c r="S14" s="35">
        <f t="shared" si="1620"/>
        <v>0</v>
      </c>
      <c r="T14" s="35">
        <f t="shared" si="1621"/>
        <v>0</v>
      </c>
      <c r="U14" s="19" t="e">
        <f t="shared" si="1622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615"/>
        <v>0</v>
      </c>
      <c r="F15" s="13">
        <v>0</v>
      </c>
      <c r="G15" s="33">
        <v>0</v>
      </c>
      <c r="H15" s="13">
        <v>0</v>
      </c>
      <c r="I15" s="16">
        <f t="shared" si="1616"/>
        <v>0</v>
      </c>
      <c r="J15" s="17">
        <f t="shared" si="1617"/>
        <v>0</v>
      </c>
      <c r="K15" s="18">
        <f t="shared" si="1623"/>
        <v>0</v>
      </c>
      <c r="L15" s="19" t="e">
        <f t="shared" si="1618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619"/>
        <v>0</v>
      </c>
      <c r="S15" s="35">
        <f t="shared" si="1620"/>
        <v>0</v>
      </c>
      <c r="T15" s="35">
        <f t="shared" si="1621"/>
        <v>0</v>
      </c>
      <c r="U15" s="19" t="e">
        <f t="shared" si="1622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615"/>
        <v>0</v>
      </c>
      <c r="F16" s="13">
        <v>0</v>
      </c>
      <c r="G16" s="33">
        <v>0</v>
      </c>
      <c r="H16" s="13">
        <v>0</v>
      </c>
      <c r="I16" s="16">
        <f t="shared" si="1616"/>
        <v>0</v>
      </c>
      <c r="J16" s="17">
        <f t="shared" si="1617"/>
        <v>0</v>
      </c>
      <c r="K16" s="18">
        <f t="shared" si="1623"/>
        <v>0</v>
      </c>
      <c r="L16" s="19" t="e">
        <f t="shared" si="1618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619"/>
        <v>0</v>
      </c>
      <c r="S16" s="35">
        <f t="shared" si="1620"/>
        <v>0</v>
      </c>
      <c r="T16" s="35">
        <f t="shared" si="1621"/>
        <v>0</v>
      </c>
      <c r="U16" s="19" t="e">
        <f t="shared" si="1622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615"/>
        <v>0</v>
      </c>
      <c r="F17" s="13">
        <v>0</v>
      </c>
      <c r="G17" s="33">
        <v>0</v>
      </c>
      <c r="H17" s="13">
        <v>0</v>
      </c>
      <c r="I17" s="16">
        <f t="shared" si="1616"/>
        <v>0</v>
      </c>
      <c r="J17" s="17">
        <f t="shared" si="1617"/>
        <v>0</v>
      </c>
      <c r="K17" s="18">
        <f t="shared" si="1623"/>
        <v>0</v>
      </c>
      <c r="L17" s="19" t="e">
        <f t="shared" si="161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619"/>
        <v>0</v>
      </c>
      <c r="S17" s="35">
        <f t="shared" si="1620"/>
        <v>0</v>
      </c>
      <c r="T17" s="35">
        <f t="shared" si="1621"/>
        <v>0</v>
      </c>
      <c r="U17" s="19" t="e">
        <f t="shared" si="1622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615"/>
        <v>565976.44184304646</v>
      </c>
      <c r="F18" s="13">
        <v>1132657</v>
      </c>
      <c r="G18" s="13">
        <v>74234</v>
      </c>
      <c r="H18" s="13">
        <v>0</v>
      </c>
      <c r="I18" s="16">
        <v>662565</v>
      </c>
      <c r="J18" s="17">
        <f t="shared" si="1617"/>
        <v>360152</v>
      </c>
      <c r="K18" s="18">
        <f t="shared" si="1623"/>
        <v>96722.028757318854</v>
      </c>
      <c r="L18" s="19">
        <f t="shared" si="1618"/>
        <v>0.17089408958852265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619"/>
        <v>0</v>
      </c>
      <c r="S18" s="35">
        <f t="shared" si="1620"/>
        <v>736799</v>
      </c>
      <c r="T18" s="35">
        <f t="shared" si="1621"/>
        <v>302413</v>
      </c>
      <c r="U18" s="19">
        <f t="shared" si="1622"/>
        <v>1.6961849599204395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623"/>
        <v>0</v>
      </c>
      <c r="L19" s="19" t="e">
        <f t="shared" si="1618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24">M19+N19+O19+P19+Q19</f>
        <v>0</v>
      </c>
      <c r="S19" s="35">
        <f t="shared" ref="S19:S20" si="1625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3117502</v>
      </c>
      <c r="D20" s="23"/>
      <c r="E20" s="22">
        <f t="shared" ref="E20:K20" si="1626">SUM(E3:E19)</f>
        <v>4777923.8546567401</v>
      </c>
      <c r="F20" s="24">
        <f t="shared" si="1626"/>
        <v>1264609</v>
      </c>
      <c r="G20" s="24">
        <f t="shared" si="1626"/>
        <v>1281858</v>
      </c>
      <c r="H20" s="24">
        <f t="shared" si="1626"/>
        <v>428363</v>
      </c>
      <c r="I20" s="25">
        <f t="shared" si="1626"/>
        <v>1222880</v>
      </c>
      <c r="J20" s="26">
        <f t="shared" si="1626"/>
        <v>1835644</v>
      </c>
      <c r="K20" s="26">
        <f t="shared" si="1626"/>
        <v>1782391.1408836518</v>
      </c>
      <c r="L20" s="19">
        <f t="shared" si="1618"/>
        <v>0.37304720525139135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24"/>
        <v>0</v>
      </c>
      <c r="S20" s="35">
        <f t="shared" si="1625"/>
        <v>2504738</v>
      </c>
      <c r="T20" s="41"/>
    </row>
    <row r="22">
      <c r="E22" s="28"/>
      <c r="F22" s="28"/>
    </row>
    <row r="25">
      <c r="G25" s="41" t="s">
        <v>64</v>
      </c>
    </row>
    <row r="30"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6F0096-00CE-4EF6-98E5-00D60047005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B2007E-00F2-42C7-8B91-00A000CB00F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A300B7-00A2-4E8D-A435-00CF0040000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6C0032-00FB-4D18-A648-001700B500B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C800A8-0054-4CD6-8EDC-00BE0008004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430099-00D5-483A-BBC1-00570048002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BC0045-004E-450B-9BC9-00970068001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9B0087-00F6-4358-B734-00C4005D000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BA009D-007C-449A-9368-00D4004500F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23" activeCellId="0" sqref="G23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251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280593</v>
      </c>
      <c r="D3" s="11">
        <v>2.8923780588381258</v>
      </c>
      <c r="E3" s="12">
        <f t="shared" ref="E3:E18" si="1627">C3*D3</f>
        <v>811581.03666356625</v>
      </c>
      <c r="F3" s="13">
        <v>55166</v>
      </c>
      <c r="G3" s="44">
        <v>221022</v>
      </c>
      <c r="H3" s="13">
        <v>0</v>
      </c>
      <c r="I3" s="16">
        <f t="shared" ref="I3:I17" si="1628">F3+H3</f>
        <v>55166</v>
      </c>
      <c r="J3" s="17">
        <f t="shared" ref="J3:J18" si="1629">C3-G3</f>
        <v>59571</v>
      </c>
      <c r="K3" s="18">
        <f>+G3*D3</f>
        <v>639279.18332052021</v>
      </c>
      <c r="L3" s="19">
        <f t="shared" ref="L3:L20" si="1630">K3/E3</f>
        <v>0.78769605799146802</v>
      </c>
      <c r="M3" s="34">
        <v>0</v>
      </c>
      <c r="N3" s="58">
        <v>111000</v>
      </c>
      <c r="O3" s="34">
        <v>148000</v>
      </c>
      <c r="P3" s="34">
        <v>185000</v>
      </c>
      <c r="Q3" s="69">
        <v>55500</v>
      </c>
      <c r="R3" s="34">
        <f t="shared" ref="R3:R18" si="1631">M3+N3+O3+P3+Q3</f>
        <v>499500</v>
      </c>
      <c r="S3" s="35">
        <f t="shared" ref="S3:S18" si="1632">G3+I3+R3</f>
        <v>775688</v>
      </c>
      <c r="T3" s="35">
        <f t="shared" ref="T3:T18" si="1633">S3-C3</f>
        <v>495095</v>
      </c>
      <c r="U3" s="19">
        <f t="shared" ref="U3:U18" si="1634">S3/C3</f>
        <v>2.7644595552989562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627"/>
        <v>0</v>
      </c>
      <c r="F4" s="13">
        <v>35386</v>
      </c>
      <c r="G4" s="13">
        <v>37140</v>
      </c>
      <c r="H4" s="13">
        <v>37378</v>
      </c>
      <c r="I4" s="16">
        <f t="shared" si="1628"/>
        <v>72764</v>
      </c>
      <c r="J4" s="17">
        <f t="shared" si="1629"/>
        <v>-37140</v>
      </c>
      <c r="K4" s="18">
        <f>D4*G4</f>
        <v>57750.028105248151</v>
      </c>
      <c r="L4" s="19" t="e">
        <f t="shared" si="1630"/>
        <v>#DIV/0!</v>
      </c>
      <c r="M4" s="34">
        <v>0</v>
      </c>
      <c r="N4" s="58">
        <v>37000</v>
      </c>
      <c r="O4" s="34">
        <v>0</v>
      </c>
      <c r="P4" s="34">
        <v>0</v>
      </c>
      <c r="Q4" s="34">
        <v>0</v>
      </c>
      <c r="R4" s="34">
        <f t="shared" si="1631"/>
        <v>37000</v>
      </c>
      <c r="S4" s="35">
        <f t="shared" si="1632"/>
        <v>146904</v>
      </c>
      <c r="T4" s="35">
        <f t="shared" si="1633"/>
        <v>146904</v>
      </c>
      <c r="U4" s="19" t="e">
        <f t="shared" si="1634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627"/>
        <v>311100.33571783872</v>
      </c>
      <c r="F5" s="13">
        <v>0</v>
      </c>
      <c r="G5" s="13">
        <v>154774</v>
      </c>
      <c r="H5" s="13">
        <v>0</v>
      </c>
      <c r="I5" s="16">
        <f t="shared" si="1628"/>
        <v>0</v>
      </c>
      <c r="J5" s="17">
        <f t="shared" si="1629"/>
        <v>136429</v>
      </c>
      <c r="K5" s="18">
        <f t="shared" ref="K5:K19" si="1635">+G5*D5</f>
        <v>165349.40697861207</v>
      </c>
      <c r="L5" s="19">
        <f t="shared" si="1630"/>
        <v>0.53149864527494561</v>
      </c>
      <c r="M5" s="34">
        <v>0</v>
      </c>
      <c r="N5" s="58">
        <v>0</v>
      </c>
      <c r="O5" s="34">
        <v>312000</v>
      </c>
      <c r="P5" s="73">
        <v>0</v>
      </c>
      <c r="Q5" s="34">
        <v>0</v>
      </c>
      <c r="R5" s="34">
        <f t="shared" si="1631"/>
        <v>312000</v>
      </c>
      <c r="S5" s="35">
        <f t="shared" si="1632"/>
        <v>466774</v>
      </c>
      <c r="T5" s="35">
        <f t="shared" si="1633"/>
        <v>175571</v>
      </c>
      <c r="U5" s="19">
        <f t="shared" si="1634"/>
        <v>1.6029161787481585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627"/>
        <v>1852588.289251169</v>
      </c>
      <c r="F6" s="13">
        <v>117385</v>
      </c>
      <c r="G6" s="13">
        <v>427290</v>
      </c>
      <c r="H6" s="13">
        <v>0</v>
      </c>
      <c r="I6" s="16">
        <f t="shared" si="1628"/>
        <v>117385</v>
      </c>
      <c r="J6" s="17">
        <f t="shared" si="1629"/>
        <v>426564</v>
      </c>
      <c r="K6" s="18">
        <f t="shared" si="1635"/>
        <v>927081.73776094278</v>
      </c>
      <c r="L6" s="19">
        <f t="shared" si="1630"/>
        <v>0.50042513122852383</v>
      </c>
      <c r="M6" s="34">
        <v>0</v>
      </c>
      <c r="N6" s="58">
        <v>312000</v>
      </c>
      <c r="O6" s="34">
        <v>0</v>
      </c>
      <c r="P6" s="34">
        <v>312000</v>
      </c>
      <c r="Q6" s="34">
        <v>0</v>
      </c>
      <c r="R6" s="34">
        <f t="shared" si="1631"/>
        <v>624000</v>
      </c>
      <c r="S6" s="35">
        <f t="shared" si="1632"/>
        <v>1168675</v>
      </c>
      <c r="T6" s="35">
        <f t="shared" si="1633"/>
        <v>314821</v>
      </c>
      <c r="U6" s="19">
        <f t="shared" si="1634"/>
        <v>1.3687058911710901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627"/>
        <v>0</v>
      </c>
      <c r="F7" s="13">
        <v>0</v>
      </c>
      <c r="G7" s="13">
        <v>0</v>
      </c>
      <c r="H7" s="13">
        <v>0</v>
      </c>
      <c r="I7" s="16">
        <f t="shared" si="1628"/>
        <v>0</v>
      </c>
      <c r="J7" s="17">
        <f t="shared" si="1629"/>
        <v>0</v>
      </c>
      <c r="K7" s="18">
        <f t="shared" si="1635"/>
        <v>0</v>
      </c>
      <c r="L7" s="19" t="e">
        <f t="shared" si="1630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631"/>
        <v>0</v>
      </c>
      <c r="S7" s="35">
        <f t="shared" si="1632"/>
        <v>0</v>
      </c>
      <c r="T7" s="35">
        <f t="shared" si="1633"/>
        <v>0</v>
      </c>
      <c r="U7" s="19" t="e">
        <f t="shared" si="1634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627"/>
        <v>551744.21611339867</v>
      </c>
      <c r="F8" s="13">
        <v>244031</v>
      </c>
      <c r="G8" s="44">
        <v>482704</v>
      </c>
      <c r="H8" s="44">
        <v>0</v>
      </c>
      <c r="I8" s="16">
        <f t="shared" si="1628"/>
        <v>244031</v>
      </c>
      <c r="J8" s="17">
        <f t="shared" si="1629"/>
        <v>0</v>
      </c>
      <c r="K8" s="18">
        <f t="shared" si="1635"/>
        <v>551744.21611339867</v>
      </c>
      <c r="L8" s="19">
        <f t="shared" si="1630"/>
        <v>1</v>
      </c>
      <c r="M8" s="34">
        <v>0</v>
      </c>
      <c r="N8" s="58">
        <v>157000</v>
      </c>
      <c r="O8" s="34">
        <v>126000</v>
      </c>
      <c r="P8" s="34">
        <v>315000</v>
      </c>
      <c r="Q8" s="34">
        <v>0</v>
      </c>
      <c r="R8" s="34">
        <f t="shared" si="1631"/>
        <v>598000</v>
      </c>
      <c r="S8" s="35">
        <f t="shared" si="1632"/>
        <v>1324735</v>
      </c>
      <c r="T8" s="35">
        <f t="shared" si="1633"/>
        <v>842031</v>
      </c>
      <c r="U8" s="19">
        <f t="shared" si="1634"/>
        <v>2.7444044383307369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627"/>
        <v>287493.67638714588</v>
      </c>
      <c r="F9" s="13">
        <v>0</v>
      </c>
      <c r="G9" s="44">
        <v>257910</v>
      </c>
      <c r="H9" s="13">
        <v>178200</v>
      </c>
      <c r="I9" s="16">
        <f t="shared" si="1628"/>
        <v>178200</v>
      </c>
      <c r="J9" s="17">
        <f t="shared" si="1629"/>
        <v>195387</v>
      </c>
      <c r="K9" s="18">
        <f t="shared" si="1635"/>
        <v>163573.75865494099</v>
      </c>
      <c r="L9" s="19">
        <f t="shared" si="1630"/>
        <v>0.56896471849582053</v>
      </c>
      <c r="M9" s="34">
        <v>0</v>
      </c>
      <c r="N9" s="58">
        <v>440000</v>
      </c>
      <c r="O9" s="34">
        <v>260000</v>
      </c>
      <c r="P9" s="34">
        <v>0</v>
      </c>
      <c r="Q9" s="34">
        <v>0</v>
      </c>
      <c r="R9" s="34">
        <f t="shared" si="1631"/>
        <v>700000</v>
      </c>
      <c r="S9" s="35">
        <f t="shared" si="1632"/>
        <v>1136110</v>
      </c>
      <c r="T9" s="35">
        <f t="shared" si="1633"/>
        <v>682813</v>
      </c>
      <c r="U9" s="19">
        <f t="shared" si="1634"/>
        <v>2.5063258746473065</v>
      </c>
    </row>
    <row r="10">
      <c r="A10" s="9" t="s">
        <v>30</v>
      </c>
      <c r="B10" s="9" t="s">
        <v>31</v>
      </c>
      <c r="C10" s="14">
        <v>307020</v>
      </c>
      <c r="D10" s="50">
        <v>0.89352805883812592</v>
      </c>
      <c r="E10" s="14">
        <f t="shared" si="1627"/>
        <v>274330.98462448141</v>
      </c>
      <c r="F10" s="44">
        <v>221734</v>
      </c>
      <c r="G10" s="13">
        <v>307966</v>
      </c>
      <c r="H10" s="44">
        <v>0</v>
      </c>
      <c r="I10" s="16">
        <f t="shared" si="1628"/>
        <v>221734</v>
      </c>
      <c r="J10" s="17">
        <f t="shared" si="1629"/>
        <v>-946</v>
      </c>
      <c r="K10" s="18">
        <f t="shared" si="1635"/>
        <v>275176.2621681423</v>
      </c>
      <c r="L10" s="19">
        <f t="shared" si="1630"/>
        <v>1.0030812324929972</v>
      </c>
      <c r="M10" s="34">
        <v>0</v>
      </c>
      <c r="N10" s="58">
        <v>220000</v>
      </c>
      <c r="O10" s="34">
        <v>0</v>
      </c>
      <c r="P10" s="34">
        <v>0</v>
      </c>
      <c r="Q10" s="34">
        <v>0</v>
      </c>
      <c r="R10" s="34">
        <f t="shared" si="1631"/>
        <v>220000</v>
      </c>
      <c r="S10" s="35">
        <f t="shared" si="1632"/>
        <v>749700</v>
      </c>
      <c r="T10" s="35">
        <f t="shared" si="1633"/>
        <v>442680</v>
      </c>
      <c r="U10" s="19">
        <f t="shared" si="1634"/>
        <v>2.441860465116279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627"/>
        <v>0</v>
      </c>
      <c r="F11" s="13">
        <v>0</v>
      </c>
      <c r="G11" s="13">
        <v>0</v>
      </c>
      <c r="H11" s="13">
        <v>0</v>
      </c>
      <c r="I11" s="16">
        <f t="shared" si="1628"/>
        <v>0</v>
      </c>
      <c r="J11" s="17">
        <f t="shared" si="1629"/>
        <v>0</v>
      </c>
      <c r="K11" s="18">
        <f t="shared" si="1635"/>
        <v>0</v>
      </c>
      <c r="L11" s="19" t="e">
        <f t="shared" si="1630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631"/>
        <v>0</v>
      </c>
      <c r="S11" s="35">
        <f t="shared" si="1632"/>
        <v>0</v>
      </c>
      <c r="T11" s="35">
        <f t="shared" si="1633"/>
        <v>0</v>
      </c>
      <c r="U11" s="19" t="e">
        <f t="shared" si="1634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627"/>
        <v>10886.934056092776</v>
      </c>
      <c r="F12" s="13">
        <v>2246</v>
      </c>
      <c r="G12" s="13">
        <v>0</v>
      </c>
      <c r="H12" s="13">
        <v>0</v>
      </c>
      <c r="I12" s="16">
        <f t="shared" si="1628"/>
        <v>2246</v>
      </c>
      <c r="J12" s="17">
        <f>C12-G12</f>
        <v>2326</v>
      </c>
      <c r="K12" s="18">
        <f t="shared" si="1635"/>
        <v>0</v>
      </c>
      <c r="L12" s="19">
        <f t="shared" si="1630"/>
        <v>0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631"/>
        <v>0</v>
      </c>
      <c r="S12" s="35">
        <f t="shared" si="1632"/>
        <v>2246</v>
      </c>
      <c r="T12" s="35">
        <f t="shared" si="1633"/>
        <v>-80</v>
      </c>
      <c r="U12" s="19">
        <f t="shared" si="1634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627"/>
        <v>112221.94</v>
      </c>
      <c r="F13" s="13">
        <v>12105</v>
      </c>
      <c r="G13" s="13">
        <v>0</v>
      </c>
      <c r="H13" s="13">
        <v>0</v>
      </c>
      <c r="I13" s="16">
        <f t="shared" si="1628"/>
        <v>12105</v>
      </c>
      <c r="J13" s="17">
        <f t="shared" si="1629"/>
        <v>12119</v>
      </c>
      <c r="K13" s="18">
        <f t="shared" si="1635"/>
        <v>0</v>
      </c>
      <c r="L13" s="19">
        <f t="shared" si="1630"/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631"/>
        <v>0</v>
      </c>
      <c r="S13" s="35">
        <f t="shared" si="1632"/>
        <v>12105</v>
      </c>
      <c r="T13" s="35">
        <f t="shared" si="1633"/>
        <v>-14</v>
      </c>
      <c r="U13" s="19">
        <f t="shared" si="1634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27"/>
        <v>0</v>
      </c>
      <c r="F14" s="13">
        <v>0</v>
      </c>
      <c r="G14" s="13">
        <v>0</v>
      </c>
      <c r="H14" s="13">
        <v>0</v>
      </c>
      <c r="I14" s="16">
        <f t="shared" si="1628"/>
        <v>0</v>
      </c>
      <c r="J14" s="17">
        <f t="shared" si="1629"/>
        <v>0</v>
      </c>
      <c r="K14" s="18">
        <f t="shared" si="1635"/>
        <v>0</v>
      </c>
      <c r="L14" s="19" t="e">
        <f t="shared" si="1630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631"/>
        <v>0</v>
      </c>
      <c r="S14" s="35">
        <f t="shared" si="1632"/>
        <v>0</v>
      </c>
      <c r="T14" s="35">
        <f t="shared" si="1633"/>
        <v>0</v>
      </c>
      <c r="U14" s="19" t="e">
        <f t="shared" si="1634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627"/>
        <v>0</v>
      </c>
      <c r="F15" s="13">
        <v>0</v>
      </c>
      <c r="G15" s="33">
        <v>0</v>
      </c>
      <c r="H15" s="13">
        <v>0</v>
      </c>
      <c r="I15" s="16">
        <f t="shared" si="1628"/>
        <v>0</v>
      </c>
      <c r="J15" s="17">
        <f t="shared" si="1629"/>
        <v>0</v>
      </c>
      <c r="K15" s="18">
        <f t="shared" si="1635"/>
        <v>0</v>
      </c>
      <c r="L15" s="19" t="e">
        <f t="shared" si="1630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631"/>
        <v>0</v>
      </c>
      <c r="S15" s="35">
        <f t="shared" si="1632"/>
        <v>0</v>
      </c>
      <c r="T15" s="35">
        <f t="shared" si="1633"/>
        <v>0</v>
      </c>
      <c r="U15" s="19" t="e">
        <f t="shared" si="1634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627"/>
        <v>0</v>
      </c>
      <c r="F16" s="13">
        <v>0</v>
      </c>
      <c r="G16" s="33">
        <v>0</v>
      </c>
      <c r="H16" s="13">
        <v>0</v>
      </c>
      <c r="I16" s="16">
        <f t="shared" si="1628"/>
        <v>0</v>
      </c>
      <c r="J16" s="17">
        <f t="shared" si="1629"/>
        <v>0</v>
      </c>
      <c r="K16" s="18">
        <f t="shared" si="1635"/>
        <v>0</v>
      </c>
      <c r="L16" s="19" t="e">
        <f t="shared" si="1630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631"/>
        <v>0</v>
      </c>
      <c r="S16" s="35">
        <f t="shared" si="1632"/>
        <v>0</v>
      </c>
      <c r="T16" s="35">
        <f t="shared" si="1633"/>
        <v>0</v>
      </c>
      <c r="U16" s="19" t="e">
        <f t="shared" si="1634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627"/>
        <v>0</v>
      </c>
      <c r="F17" s="13">
        <v>0</v>
      </c>
      <c r="G17" s="33">
        <v>0</v>
      </c>
      <c r="H17" s="13">
        <v>0</v>
      </c>
      <c r="I17" s="16">
        <f t="shared" si="1628"/>
        <v>0</v>
      </c>
      <c r="J17" s="17">
        <f t="shared" si="1629"/>
        <v>0</v>
      </c>
      <c r="K17" s="18">
        <f t="shared" si="1635"/>
        <v>0</v>
      </c>
      <c r="L17" s="19" t="e">
        <f t="shared" si="1630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631"/>
        <v>0</v>
      </c>
      <c r="S17" s="35">
        <f t="shared" si="1632"/>
        <v>0</v>
      </c>
      <c r="T17" s="35">
        <f t="shared" si="1633"/>
        <v>0</v>
      </c>
      <c r="U17" s="19" t="e">
        <f t="shared" si="1634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627"/>
        <v>565976.44184304646</v>
      </c>
      <c r="F18" s="13">
        <v>1132657</v>
      </c>
      <c r="G18" s="13">
        <v>74234</v>
      </c>
      <c r="H18" s="13">
        <v>0</v>
      </c>
      <c r="I18" s="16">
        <v>662565</v>
      </c>
      <c r="J18" s="17">
        <f t="shared" si="1629"/>
        <v>360152</v>
      </c>
      <c r="K18" s="18">
        <f t="shared" si="1635"/>
        <v>96722.028757318854</v>
      </c>
      <c r="L18" s="19">
        <f t="shared" si="1630"/>
        <v>0.17089408958852265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631"/>
        <v>0</v>
      </c>
      <c r="S18" s="35">
        <f t="shared" si="1632"/>
        <v>736799</v>
      </c>
      <c r="T18" s="35">
        <f t="shared" si="1633"/>
        <v>302413</v>
      </c>
      <c r="U18" s="19">
        <f t="shared" si="1634"/>
        <v>1.6961849599204395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>F19+H19</f>
        <v>0</v>
      </c>
      <c r="J19" s="17">
        <f>C19-G19</f>
        <v>0</v>
      </c>
      <c r="K19" s="18">
        <f t="shared" si="1635"/>
        <v>0</v>
      </c>
      <c r="L19" s="19" t="e">
        <f t="shared" si="1630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36">M19+N19+O19+P19+Q19</f>
        <v>0</v>
      </c>
      <c r="S19" s="35">
        <f t="shared" ref="S19:S20" si="1637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3117502</v>
      </c>
      <c r="D20" s="23"/>
      <c r="E20" s="22">
        <f t="shared" ref="E20:K20" si="1638">SUM(E3:E19)</f>
        <v>4777923.8546567401</v>
      </c>
      <c r="F20" s="24">
        <f t="shared" si="1638"/>
        <v>1820710</v>
      </c>
      <c r="G20" s="24">
        <f t="shared" si="1638"/>
        <v>1963040</v>
      </c>
      <c r="H20" s="24">
        <f t="shared" si="1638"/>
        <v>215578</v>
      </c>
      <c r="I20" s="25">
        <f t="shared" si="1638"/>
        <v>1566196</v>
      </c>
      <c r="J20" s="26">
        <f t="shared" si="1638"/>
        <v>1154462</v>
      </c>
      <c r="K20" s="26">
        <f t="shared" si="1638"/>
        <v>2876676.6218591239</v>
      </c>
      <c r="L20" s="19">
        <f t="shared" si="1630"/>
        <v>0.60207669886898874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36"/>
        <v>0</v>
      </c>
      <c r="S20" s="35">
        <f t="shared" si="1637"/>
        <v>3529236</v>
      </c>
      <c r="T20" s="41"/>
    </row>
    <row r="22">
      <c r="E22" s="28"/>
      <c r="F22" s="28"/>
    </row>
    <row r="25">
      <c r="G25" s="41" t="s">
        <v>64</v>
      </c>
    </row>
    <row r="30"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DE0043-003A-40C9-BAB4-00A100F400C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2C006A-00C6-4229-99B6-008100DA00A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230017-00CF-4225-939A-0048002E002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2C0069-0095-4867-B1D4-00F800EB001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E70030-006F-4744-9737-002C000A008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9B009F-00FF-4978-BB0F-009500B1004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CB0076-002E-49B6-851B-001700E7002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8C00AD-00E3-4603-9258-007A006E001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920019-000F-4E48-B9D8-00DE00D900E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9" activeCellId="0" sqref="F9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252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64" t="s">
        <v>21</v>
      </c>
      <c r="C3" s="14">
        <v>280593</v>
      </c>
      <c r="D3" s="11">
        <v>2.8923780588381258</v>
      </c>
      <c r="E3" s="12">
        <f t="shared" ref="E3:E18" si="1639">C3*D3</f>
        <v>811581.03666356625</v>
      </c>
      <c r="F3" s="13">
        <v>110744</v>
      </c>
      <c r="G3" s="44">
        <v>276188</v>
      </c>
      <c r="H3" s="13">
        <v>0</v>
      </c>
      <c r="I3" s="16">
        <f t="shared" ref="I3:I17" si="1640">F3+H3</f>
        <v>110744</v>
      </c>
      <c r="J3" s="17">
        <f t="shared" ref="J3:J18" si="1641">C3-G3</f>
        <v>4405</v>
      </c>
      <c r="K3" s="18">
        <f>+G3*D3</f>
        <v>798840.11131438427</v>
      </c>
      <c r="L3" s="19">
        <f t="shared" ref="L3:L20" si="1642">K3/E3</f>
        <v>0.98430110515943015</v>
      </c>
      <c r="M3" s="34">
        <v>0</v>
      </c>
      <c r="N3" s="58">
        <v>0</v>
      </c>
      <c r="O3" s="34">
        <v>129000</v>
      </c>
      <c r="P3" s="34">
        <v>55500</v>
      </c>
      <c r="Q3" s="34">
        <v>0</v>
      </c>
      <c r="R3" s="34">
        <f t="shared" ref="R3:R18" si="1643">M3+N3+O3+P3+Q3</f>
        <v>184500</v>
      </c>
      <c r="S3" s="35">
        <f t="shared" ref="S3:S18" si="1644">G3+I3+R3</f>
        <v>571432</v>
      </c>
      <c r="T3" s="35">
        <f t="shared" ref="T3:T18" si="1645">S3-C3</f>
        <v>290839</v>
      </c>
      <c r="U3" s="19">
        <f t="shared" ref="U3:U18" si="1646">S3/C3</f>
        <v>2.036515522482742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639"/>
        <v>0</v>
      </c>
      <c r="F4" s="13">
        <v>35386</v>
      </c>
      <c r="G4" s="13">
        <v>74518</v>
      </c>
      <c r="H4" s="13">
        <v>0</v>
      </c>
      <c r="I4" s="16">
        <f t="shared" si="1640"/>
        <v>35386</v>
      </c>
      <c r="J4" s="17">
        <f t="shared" si="1641"/>
        <v>-74518</v>
      </c>
      <c r="K4" s="18">
        <f>D4*G4</f>
        <v>115870.12908849977</v>
      </c>
      <c r="L4" s="19" t="e">
        <f t="shared" si="1642"/>
        <v>#DIV/0!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643"/>
        <v>0</v>
      </c>
      <c r="S4" s="35">
        <f t="shared" si="1644"/>
        <v>109904</v>
      </c>
      <c r="T4" s="35">
        <f t="shared" si="1645"/>
        <v>109904</v>
      </c>
      <c r="U4" s="19" t="e">
        <f t="shared" si="1646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639"/>
        <v>311100.33571783872</v>
      </c>
      <c r="F5" s="13">
        <v>16694</v>
      </c>
      <c r="G5" s="13">
        <v>291203</v>
      </c>
      <c r="H5" s="13">
        <v>0</v>
      </c>
      <c r="I5" s="16">
        <f t="shared" si="1640"/>
        <v>16694</v>
      </c>
      <c r="J5" s="17">
        <f t="shared" si="1641"/>
        <v>0</v>
      </c>
      <c r="K5" s="18">
        <f t="shared" ref="K5:K19" si="1647">+G5*D5</f>
        <v>311100.33571783872</v>
      </c>
      <c r="L5" s="19">
        <f t="shared" si="1642"/>
        <v>1</v>
      </c>
      <c r="M5" s="34">
        <v>0</v>
      </c>
      <c r="N5" s="58">
        <v>0</v>
      </c>
      <c r="O5" s="34">
        <v>156000</v>
      </c>
      <c r="P5" s="73">
        <v>0</v>
      </c>
      <c r="Q5" s="34">
        <v>0</v>
      </c>
      <c r="R5" s="34">
        <f t="shared" si="1643"/>
        <v>156000</v>
      </c>
      <c r="S5" s="35">
        <f t="shared" si="1644"/>
        <v>463897</v>
      </c>
      <c r="T5" s="35">
        <f t="shared" si="1645"/>
        <v>172694</v>
      </c>
      <c r="U5" s="19">
        <f t="shared" si="1646"/>
        <v>1.5930364728385353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639"/>
        <v>1852588.289251169</v>
      </c>
      <c r="F6" s="13">
        <v>0</v>
      </c>
      <c r="G6" s="13">
        <v>544675</v>
      </c>
      <c r="H6" s="13">
        <v>0</v>
      </c>
      <c r="I6" s="16">
        <f t="shared" si="1640"/>
        <v>0</v>
      </c>
      <c r="J6" s="17">
        <f t="shared" si="1641"/>
        <v>309179</v>
      </c>
      <c r="K6" s="18">
        <f t="shared" si="1647"/>
        <v>1181769.396697656</v>
      </c>
      <c r="L6" s="19">
        <f t="shared" si="1642"/>
        <v>0.63790179585737139</v>
      </c>
      <c r="M6" s="34">
        <v>0</v>
      </c>
      <c r="N6" s="58">
        <v>0</v>
      </c>
      <c r="O6" s="34"/>
      <c r="P6" s="34">
        <v>312000</v>
      </c>
      <c r="Q6" s="34">
        <v>0</v>
      </c>
      <c r="R6" s="34">
        <f t="shared" si="1643"/>
        <v>312000</v>
      </c>
      <c r="S6" s="35">
        <f t="shared" si="1644"/>
        <v>856675</v>
      </c>
      <c r="T6" s="35">
        <f t="shared" si="1645"/>
        <v>2821</v>
      </c>
      <c r="U6" s="19">
        <f t="shared" si="1646"/>
        <v>1.0033038435142307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639"/>
        <v>0</v>
      </c>
      <c r="F7" s="13">
        <v>0</v>
      </c>
      <c r="G7" s="13">
        <v>0</v>
      </c>
      <c r="H7" s="13">
        <v>0</v>
      </c>
      <c r="I7" s="16">
        <f t="shared" si="1640"/>
        <v>0</v>
      </c>
      <c r="J7" s="17">
        <f t="shared" si="1641"/>
        <v>0</v>
      </c>
      <c r="K7" s="18">
        <f t="shared" si="1647"/>
        <v>0</v>
      </c>
      <c r="L7" s="19" t="e">
        <f t="shared" si="1642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643"/>
        <v>0</v>
      </c>
      <c r="S7" s="35">
        <f t="shared" si="1644"/>
        <v>0</v>
      </c>
      <c r="T7" s="35">
        <f t="shared" si="1645"/>
        <v>0</v>
      </c>
      <c r="U7" s="19" t="e">
        <f t="shared" si="1646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639"/>
        <v>551744.21611339867</v>
      </c>
      <c r="F8" s="13">
        <v>244031</v>
      </c>
      <c r="G8" s="44">
        <v>482704</v>
      </c>
      <c r="H8" s="44">
        <v>0</v>
      </c>
      <c r="I8" s="16">
        <f t="shared" si="1640"/>
        <v>244031</v>
      </c>
      <c r="J8" s="17">
        <f t="shared" si="1641"/>
        <v>0</v>
      </c>
      <c r="K8" s="18">
        <f t="shared" si="1647"/>
        <v>551744.21611339867</v>
      </c>
      <c r="L8" s="19">
        <f t="shared" si="1642"/>
        <v>1</v>
      </c>
      <c r="M8" s="34">
        <v>0</v>
      </c>
      <c r="N8" s="58">
        <v>0</v>
      </c>
      <c r="O8" s="34">
        <v>0</v>
      </c>
      <c r="P8" s="34">
        <v>63000</v>
      </c>
      <c r="Q8" s="34">
        <v>0</v>
      </c>
      <c r="R8" s="34">
        <f t="shared" si="1643"/>
        <v>63000</v>
      </c>
      <c r="S8" s="35">
        <f t="shared" si="1644"/>
        <v>789735</v>
      </c>
      <c r="T8" s="35">
        <f t="shared" si="1645"/>
        <v>307031</v>
      </c>
      <c r="U8" s="19">
        <f t="shared" si="1646"/>
        <v>1.6360647518976432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639"/>
        <v>287493.67638714588</v>
      </c>
      <c r="F9" s="13">
        <v>0</v>
      </c>
      <c r="G9" s="44">
        <v>436110</v>
      </c>
      <c r="H9" s="13">
        <v>0</v>
      </c>
      <c r="I9" s="16">
        <f t="shared" si="1640"/>
        <v>0</v>
      </c>
      <c r="J9" s="17">
        <f t="shared" si="1641"/>
        <v>17187</v>
      </c>
      <c r="K9" s="18">
        <f t="shared" si="1647"/>
        <v>276593.19873989502</v>
      </c>
      <c r="L9" s="19">
        <f t="shared" si="1642"/>
        <v>0.96208446118107993</v>
      </c>
      <c r="M9" s="34">
        <v>0</v>
      </c>
      <c r="N9" s="58">
        <v>0</v>
      </c>
      <c r="O9" s="34">
        <v>260000</v>
      </c>
      <c r="P9" s="34">
        <v>0</v>
      </c>
      <c r="Q9" s="34">
        <v>0</v>
      </c>
      <c r="R9" s="34">
        <f t="shared" si="1643"/>
        <v>260000</v>
      </c>
      <c r="S9" s="35">
        <f t="shared" si="1644"/>
        <v>696110</v>
      </c>
      <c r="T9" s="35">
        <f t="shared" si="1645"/>
        <v>242813</v>
      </c>
      <c r="U9" s="19">
        <f t="shared" si="1646"/>
        <v>1.5356598433256783</v>
      </c>
    </row>
    <row r="10">
      <c r="A10" s="9" t="s">
        <v>30</v>
      </c>
      <c r="B10" s="64" t="s">
        <v>31</v>
      </c>
      <c r="C10" s="14">
        <v>307020</v>
      </c>
      <c r="D10" s="50">
        <v>0.89352805883812592</v>
      </c>
      <c r="E10" s="14">
        <f t="shared" si="1639"/>
        <v>274330.98462448141</v>
      </c>
      <c r="F10" s="44">
        <v>221734</v>
      </c>
      <c r="G10" s="13">
        <v>307966</v>
      </c>
      <c r="H10" s="44">
        <v>0</v>
      </c>
      <c r="I10" s="16">
        <f>F10+H10</f>
        <v>221734</v>
      </c>
      <c r="J10" s="17">
        <f t="shared" si="1641"/>
        <v>-946</v>
      </c>
      <c r="K10" s="18">
        <f t="shared" si="1647"/>
        <v>275176.2621681423</v>
      </c>
      <c r="L10" s="19">
        <f t="shared" si="1642"/>
        <v>1.0030812324929972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643"/>
        <v>0</v>
      </c>
      <c r="S10" s="35">
        <f t="shared" si="1644"/>
        <v>529700</v>
      </c>
      <c r="T10" s="35">
        <f t="shared" si="1645"/>
        <v>222680</v>
      </c>
      <c r="U10" s="19">
        <f t="shared" si="1646"/>
        <v>1.7252947690704188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639"/>
        <v>0</v>
      </c>
      <c r="F11" s="13">
        <v>0</v>
      </c>
      <c r="G11" s="13">
        <v>0</v>
      </c>
      <c r="H11" s="13">
        <v>0</v>
      </c>
      <c r="I11" s="16">
        <f t="shared" si="1640"/>
        <v>0</v>
      </c>
      <c r="J11" s="17">
        <f t="shared" si="1641"/>
        <v>0</v>
      </c>
      <c r="K11" s="18">
        <f t="shared" si="1647"/>
        <v>0</v>
      </c>
      <c r="L11" s="19" t="e">
        <f t="shared" si="1642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643"/>
        <v>0</v>
      </c>
      <c r="S11" s="35">
        <f t="shared" si="1644"/>
        <v>0</v>
      </c>
      <c r="T11" s="35">
        <f t="shared" si="1645"/>
        <v>0</v>
      </c>
      <c r="U11" s="19" t="e">
        <f t="shared" si="1646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639"/>
        <v>10886.934056092776</v>
      </c>
      <c r="F12" s="13">
        <v>0</v>
      </c>
      <c r="G12" s="13">
        <v>2246</v>
      </c>
      <c r="H12" s="13">
        <v>0</v>
      </c>
      <c r="I12" s="16">
        <f t="shared" si="1640"/>
        <v>0</v>
      </c>
      <c r="J12" s="17">
        <f>C12-G12</f>
        <v>80</v>
      </c>
      <c r="K12" s="18">
        <f t="shared" si="1647"/>
        <v>10512.490924326903</v>
      </c>
      <c r="L12" s="19">
        <f t="shared" si="1642"/>
        <v>0.9656061908856407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643"/>
        <v>0</v>
      </c>
      <c r="S12" s="35">
        <f t="shared" si="1644"/>
        <v>2246</v>
      </c>
      <c r="T12" s="35">
        <f t="shared" si="1645"/>
        <v>-80</v>
      </c>
      <c r="U12" s="19">
        <f t="shared" si="1646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639"/>
        <v>112221.94</v>
      </c>
      <c r="F13" s="13">
        <v>0</v>
      </c>
      <c r="G13" s="13">
        <v>12105</v>
      </c>
      <c r="H13" s="13">
        <v>0</v>
      </c>
      <c r="I13" s="16">
        <f t="shared" si="1640"/>
        <v>0</v>
      </c>
      <c r="J13" s="17">
        <f t="shared" si="1641"/>
        <v>14</v>
      </c>
      <c r="K13" s="18">
        <f t="shared" si="1647"/>
        <v>112092.3</v>
      </c>
      <c r="L13" s="19">
        <f t="shared" si="1642"/>
        <v>0.99884478917402431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643"/>
        <v>0</v>
      </c>
      <c r="S13" s="35">
        <f t="shared" si="1644"/>
        <v>12105</v>
      </c>
      <c r="T13" s="35">
        <f t="shared" si="1645"/>
        <v>-14</v>
      </c>
      <c r="U13" s="19">
        <f t="shared" si="1646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39"/>
        <v>0</v>
      </c>
      <c r="F14" s="13">
        <v>0</v>
      </c>
      <c r="G14" s="13">
        <v>0</v>
      </c>
      <c r="H14" s="13">
        <v>0</v>
      </c>
      <c r="I14" s="16">
        <f t="shared" si="1640"/>
        <v>0</v>
      </c>
      <c r="J14" s="17">
        <f t="shared" si="1641"/>
        <v>0</v>
      </c>
      <c r="K14" s="18">
        <f t="shared" si="1647"/>
        <v>0</v>
      </c>
      <c r="L14" s="19" t="e">
        <f t="shared" si="1642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643"/>
        <v>0</v>
      </c>
      <c r="S14" s="35">
        <f t="shared" si="1644"/>
        <v>0</v>
      </c>
      <c r="T14" s="35">
        <f t="shared" si="1645"/>
        <v>0</v>
      </c>
      <c r="U14" s="19" t="e">
        <f t="shared" si="1646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639"/>
        <v>0</v>
      </c>
      <c r="F15" s="13">
        <v>0</v>
      </c>
      <c r="G15" s="33">
        <v>0</v>
      </c>
      <c r="H15" s="13">
        <v>0</v>
      </c>
      <c r="I15" s="16">
        <f t="shared" si="1640"/>
        <v>0</v>
      </c>
      <c r="J15" s="17">
        <f t="shared" si="1641"/>
        <v>0</v>
      </c>
      <c r="K15" s="18">
        <f t="shared" si="1647"/>
        <v>0</v>
      </c>
      <c r="L15" s="19" t="e">
        <f t="shared" si="1642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643"/>
        <v>0</v>
      </c>
      <c r="S15" s="35">
        <f t="shared" si="1644"/>
        <v>0</v>
      </c>
      <c r="T15" s="35">
        <f t="shared" si="1645"/>
        <v>0</v>
      </c>
      <c r="U15" s="19" t="e">
        <f t="shared" si="1646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639"/>
        <v>0</v>
      </c>
      <c r="F16" s="13">
        <v>0</v>
      </c>
      <c r="G16" s="33">
        <v>0</v>
      </c>
      <c r="H16" s="13">
        <v>0</v>
      </c>
      <c r="I16" s="16">
        <f t="shared" si="1640"/>
        <v>0</v>
      </c>
      <c r="J16" s="17">
        <f t="shared" si="1641"/>
        <v>0</v>
      </c>
      <c r="K16" s="18">
        <f t="shared" si="1647"/>
        <v>0</v>
      </c>
      <c r="L16" s="19" t="e">
        <f t="shared" si="1642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643"/>
        <v>0</v>
      </c>
      <c r="S16" s="35">
        <f t="shared" si="1644"/>
        <v>0</v>
      </c>
      <c r="T16" s="35">
        <f t="shared" si="1645"/>
        <v>0</v>
      </c>
      <c r="U16" s="19" t="e">
        <f t="shared" si="1646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639"/>
        <v>0</v>
      </c>
      <c r="F17" s="13">
        <v>0</v>
      </c>
      <c r="G17" s="33">
        <v>0</v>
      </c>
      <c r="H17" s="13">
        <v>0</v>
      </c>
      <c r="I17" s="16">
        <f t="shared" si="1640"/>
        <v>0</v>
      </c>
      <c r="J17" s="17">
        <f t="shared" si="1641"/>
        <v>0</v>
      </c>
      <c r="K17" s="18">
        <f t="shared" si="1647"/>
        <v>0</v>
      </c>
      <c r="L17" s="19" t="e">
        <f t="shared" si="1642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643"/>
        <v>0</v>
      </c>
      <c r="S17" s="35">
        <f t="shared" si="1644"/>
        <v>0</v>
      </c>
      <c r="T17" s="35">
        <f t="shared" si="1645"/>
        <v>0</v>
      </c>
      <c r="U17" s="19" t="e">
        <f t="shared" si="1646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639"/>
        <v>565976.44184304646</v>
      </c>
      <c r="F18" s="13">
        <v>1188682</v>
      </c>
      <c r="G18" s="13">
        <v>74234</v>
      </c>
      <c r="H18" s="13">
        <v>0</v>
      </c>
      <c r="I18" s="16">
        <f t="shared" ref="I18:I19" si="1648">F18+H18</f>
        <v>1188682</v>
      </c>
      <c r="J18" s="17">
        <f t="shared" si="1641"/>
        <v>360152</v>
      </c>
      <c r="K18" s="18">
        <f t="shared" si="1647"/>
        <v>96722.028757318854</v>
      </c>
      <c r="L18" s="19">
        <f t="shared" si="1642"/>
        <v>0.17089408958852265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643"/>
        <v>0</v>
      </c>
      <c r="S18" s="35">
        <f t="shared" si="1644"/>
        <v>1262916</v>
      </c>
      <c r="T18" s="35">
        <f t="shared" si="1645"/>
        <v>828530</v>
      </c>
      <c r="U18" s="19">
        <f t="shared" si="1646"/>
        <v>2.9073588927819958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 t="shared" si="1648"/>
        <v>0</v>
      </c>
      <c r="J19" s="17">
        <f>C19-G19</f>
        <v>0</v>
      </c>
      <c r="K19" s="18">
        <f t="shared" si="1647"/>
        <v>0</v>
      </c>
      <c r="L19" s="19" t="e">
        <f t="shared" si="1642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49">M19+N19+O19+P19+Q19</f>
        <v>0</v>
      </c>
      <c r="S19" s="35">
        <f t="shared" ref="S19:S20" si="1650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3117502</v>
      </c>
      <c r="D20" s="23"/>
      <c r="E20" s="22">
        <f t="shared" ref="E20:K20" si="1651">SUM(E3:E19)</f>
        <v>4777923.8546567401</v>
      </c>
      <c r="F20" s="24">
        <f t="shared" si="1651"/>
        <v>1817271</v>
      </c>
      <c r="G20" s="24">
        <f t="shared" si="1651"/>
        <v>2501949</v>
      </c>
      <c r="H20" s="24">
        <f t="shared" si="1651"/>
        <v>0</v>
      </c>
      <c r="I20" s="25">
        <f t="shared" si="1651"/>
        <v>1817271</v>
      </c>
      <c r="J20" s="26">
        <f t="shared" si="1651"/>
        <v>615553</v>
      </c>
      <c r="K20" s="26">
        <f t="shared" si="1651"/>
        <v>3730420.4695214606</v>
      </c>
      <c r="L20" s="19">
        <f t="shared" si="1642"/>
        <v>0.78076180847579979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49"/>
        <v>0</v>
      </c>
      <c r="S20" s="35">
        <f t="shared" si="1650"/>
        <v>4319220</v>
      </c>
      <c r="T20" s="41"/>
    </row>
    <row r="22">
      <c r="E22" s="28"/>
      <c r="F22" s="28"/>
    </row>
    <row r="25">
      <c r="G25" s="41" t="s">
        <v>64</v>
      </c>
    </row>
    <row r="30"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DC00D4-00A3-41AE-B118-000400AF00C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33000C-00A6-4E1A-9DFD-002F00EB008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5800A4-0062-486A-8EE6-00B40087001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520016-00A3-4592-9125-008A0083003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4800DD-005F-4DBE-A41C-008B001A005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C70098-0096-42B3-B64C-0089000D004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EA00DF-0084-4EAE-B260-00DF004C001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5F00EB-0084-460D-8B11-006E0069000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000A5-003E-43D5-8242-00600076009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3" activeCellId="0" sqref="F3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253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280593</v>
      </c>
      <c r="D3" s="11">
        <v>2.8923780588381258</v>
      </c>
      <c r="E3" s="12">
        <f t="shared" ref="E3:E18" si="1652">C3*D3</f>
        <v>811581.03666356625</v>
      </c>
      <c r="F3" s="13">
        <v>64266</v>
      </c>
      <c r="G3" s="44">
        <v>341188</v>
      </c>
      <c r="H3" s="13">
        <v>0</v>
      </c>
      <c r="I3" s="16">
        <f t="shared" ref="I3:I17" si="1653">F3+H3</f>
        <v>64266</v>
      </c>
      <c r="J3" s="17">
        <f t="shared" ref="J3:J18" si="1654">C3-G3</f>
        <v>-60595</v>
      </c>
      <c r="K3" s="18">
        <f>+G3*D3</f>
        <v>986844.68513886246</v>
      </c>
      <c r="L3" s="19">
        <f t="shared" ref="L3:L20" si="1655">K3/E3</f>
        <v>1.2159533559283375</v>
      </c>
      <c r="M3" s="34">
        <v>0</v>
      </c>
      <c r="N3" s="58">
        <v>0</v>
      </c>
      <c r="O3" s="34">
        <v>129000</v>
      </c>
      <c r="P3" s="34">
        <v>55500</v>
      </c>
      <c r="Q3" s="34">
        <v>0</v>
      </c>
      <c r="R3" s="34">
        <f t="shared" ref="R3:R18" si="1656">M3+N3+O3+P3+Q3</f>
        <v>184500</v>
      </c>
      <c r="S3" s="35">
        <f t="shared" ref="S3:S18" si="1657">G3+I3+R3</f>
        <v>589954</v>
      </c>
      <c r="T3" s="35">
        <f t="shared" ref="T3:T18" si="1658">S3-C3</f>
        <v>309361</v>
      </c>
      <c r="U3" s="19">
        <f t="shared" ref="U3:U18" si="1659">S3/C3</f>
        <v>2.1025257223095375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652"/>
        <v>0</v>
      </c>
      <c r="F4" s="13">
        <v>35386</v>
      </c>
      <c r="G4" s="13">
        <v>74518</v>
      </c>
      <c r="H4" s="13">
        <v>0</v>
      </c>
      <c r="I4" s="16">
        <f t="shared" si="1653"/>
        <v>35386</v>
      </c>
      <c r="J4" s="17">
        <f t="shared" si="1654"/>
        <v>-74518</v>
      </c>
      <c r="K4" s="18">
        <f>D4*G4</f>
        <v>115870.12908849977</v>
      </c>
      <c r="L4" s="19" t="e">
        <f t="shared" si="1655"/>
        <v>#DIV/0!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656"/>
        <v>0</v>
      </c>
      <c r="S4" s="35">
        <f t="shared" si="1657"/>
        <v>109904</v>
      </c>
      <c r="T4" s="35">
        <f t="shared" si="1658"/>
        <v>109904</v>
      </c>
      <c r="U4" s="19" t="e">
        <f t="shared" si="1659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652"/>
        <v>311100.33571783872</v>
      </c>
      <c r="F5" s="13">
        <v>134227</v>
      </c>
      <c r="G5" s="13">
        <v>291203</v>
      </c>
      <c r="H5" s="13">
        <v>36000</v>
      </c>
      <c r="I5" s="16">
        <f t="shared" si="1653"/>
        <v>170227</v>
      </c>
      <c r="J5" s="17">
        <f t="shared" si="1654"/>
        <v>0</v>
      </c>
      <c r="K5" s="18">
        <f t="shared" ref="K5:K19" si="1660">+G5*D5</f>
        <v>311100.33571783872</v>
      </c>
      <c r="L5" s="19">
        <f t="shared" si="1655"/>
        <v>1</v>
      </c>
      <c r="M5" s="34">
        <v>0</v>
      </c>
      <c r="N5" s="58">
        <v>0</v>
      </c>
      <c r="O5" s="34">
        <v>156000</v>
      </c>
      <c r="P5" s="73">
        <v>0</v>
      </c>
      <c r="Q5" s="34">
        <v>0</v>
      </c>
      <c r="R5" s="34">
        <f t="shared" si="1656"/>
        <v>156000</v>
      </c>
      <c r="S5" s="35">
        <f t="shared" si="1657"/>
        <v>617430</v>
      </c>
      <c r="T5" s="35">
        <f t="shared" si="1658"/>
        <v>326227</v>
      </c>
      <c r="U5" s="19">
        <f t="shared" si="1659"/>
        <v>2.1202734861934802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652"/>
        <v>1852588.289251169</v>
      </c>
      <c r="F6" s="13">
        <v>0</v>
      </c>
      <c r="G6" s="13">
        <v>544675</v>
      </c>
      <c r="H6" s="13">
        <v>0</v>
      </c>
      <c r="I6" s="16">
        <f t="shared" si="1653"/>
        <v>0</v>
      </c>
      <c r="J6" s="17">
        <f t="shared" si="1654"/>
        <v>309179</v>
      </c>
      <c r="K6" s="18">
        <f t="shared" si="1660"/>
        <v>1181769.396697656</v>
      </c>
      <c r="L6" s="19">
        <f t="shared" si="1655"/>
        <v>0.63790179585737139</v>
      </c>
      <c r="M6" s="34">
        <v>0</v>
      </c>
      <c r="N6" s="58">
        <v>0</v>
      </c>
      <c r="O6" s="34"/>
      <c r="P6" s="34">
        <v>312000</v>
      </c>
      <c r="Q6" s="34">
        <v>0</v>
      </c>
      <c r="R6" s="34">
        <f t="shared" si="1656"/>
        <v>312000</v>
      </c>
      <c r="S6" s="35">
        <f t="shared" si="1657"/>
        <v>856675</v>
      </c>
      <c r="T6" s="35">
        <f t="shared" si="1658"/>
        <v>2821</v>
      </c>
      <c r="U6" s="19">
        <f t="shared" si="1659"/>
        <v>1.0033038435142307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652"/>
        <v>0</v>
      </c>
      <c r="F7" s="13">
        <v>0</v>
      </c>
      <c r="G7" s="13">
        <v>0</v>
      </c>
      <c r="H7" s="13">
        <v>0</v>
      </c>
      <c r="I7" s="16">
        <f t="shared" si="1653"/>
        <v>0</v>
      </c>
      <c r="J7" s="17">
        <f t="shared" si="1654"/>
        <v>0</v>
      </c>
      <c r="K7" s="18">
        <f t="shared" si="1660"/>
        <v>0</v>
      </c>
      <c r="L7" s="19" t="e">
        <f t="shared" si="1655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656"/>
        <v>0</v>
      </c>
      <c r="S7" s="35">
        <f t="shared" si="1657"/>
        <v>0</v>
      </c>
      <c r="T7" s="35">
        <f t="shared" si="1658"/>
        <v>0</v>
      </c>
      <c r="U7" s="19" t="e">
        <f t="shared" si="1659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652"/>
        <v>551744.21611339867</v>
      </c>
      <c r="F8" s="13">
        <v>44031</v>
      </c>
      <c r="G8" s="44">
        <v>482704</v>
      </c>
      <c r="H8" s="44">
        <v>200000</v>
      </c>
      <c r="I8" s="16">
        <f t="shared" si="1653"/>
        <v>244031</v>
      </c>
      <c r="J8" s="17">
        <f t="shared" si="1654"/>
        <v>0</v>
      </c>
      <c r="K8" s="18">
        <f t="shared" si="1660"/>
        <v>551744.21611339867</v>
      </c>
      <c r="L8" s="19">
        <f t="shared" si="1655"/>
        <v>1</v>
      </c>
      <c r="M8" s="34">
        <v>0</v>
      </c>
      <c r="N8" s="58">
        <v>0</v>
      </c>
      <c r="O8" s="34">
        <v>0</v>
      </c>
      <c r="P8" s="34">
        <v>63000</v>
      </c>
      <c r="Q8" s="34">
        <v>0</v>
      </c>
      <c r="R8" s="34">
        <f t="shared" si="1656"/>
        <v>63000</v>
      </c>
      <c r="S8" s="35">
        <f t="shared" si="1657"/>
        <v>789735</v>
      </c>
      <c r="T8" s="35">
        <f t="shared" si="1658"/>
        <v>307031</v>
      </c>
      <c r="U8" s="19">
        <f t="shared" si="1659"/>
        <v>1.6360647518976432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652"/>
        <v>287493.67638714588</v>
      </c>
      <c r="F9" s="13">
        <v>0</v>
      </c>
      <c r="G9" s="44">
        <v>436110</v>
      </c>
      <c r="H9" s="13">
        <v>0</v>
      </c>
      <c r="I9" s="16">
        <f t="shared" si="1653"/>
        <v>0</v>
      </c>
      <c r="J9" s="17">
        <f t="shared" si="1654"/>
        <v>17187</v>
      </c>
      <c r="K9" s="18">
        <f t="shared" si="1660"/>
        <v>276593.19873989502</v>
      </c>
      <c r="L9" s="19">
        <f t="shared" si="1655"/>
        <v>0.96208446118107993</v>
      </c>
      <c r="M9" s="34">
        <v>0</v>
      </c>
      <c r="N9" s="58">
        <v>0</v>
      </c>
      <c r="O9" s="34">
        <v>260000</v>
      </c>
      <c r="P9" s="34">
        <v>0</v>
      </c>
      <c r="Q9" s="34">
        <v>0</v>
      </c>
      <c r="R9" s="34">
        <f t="shared" si="1656"/>
        <v>260000</v>
      </c>
      <c r="S9" s="35">
        <f t="shared" si="1657"/>
        <v>696110</v>
      </c>
      <c r="T9" s="35">
        <f t="shared" si="1658"/>
        <v>242813</v>
      </c>
      <c r="U9" s="19">
        <f t="shared" si="1659"/>
        <v>1.5356598433256783</v>
      </c>
    </row>
    <row r="10">
      <c r="A10" s="9" t="s">
        <v>30</v>
      </c>
      <c r="B10" s="9" t="s">
        <v>31</v>
      </c>
      <c r="C10" s="14">
        <v>307020</v>
      </c>
      <c r="D10" s="50">
        <v>0.89352805883812592</v>
      </c>
      <c r="E10" s="14">
        <f t="shared" si="1652"/>
        <v>274330.98462448141</v>
      </c>
      <c r="F10" s="44">
        <v>0</v>
      </c>
      <c r="G10" s="13">
        <v>529688</v>
      </c>
      <c r="H10" s="44">
        <v>0</v>
      </c>
      <c r="I10" s="16">
        <f>F10+H10</f>
        <v>0</v>
      </c>
      <c r="J10" s="17">
        <f t="shared" si="1654"/>
        <v>-222668</v>
      </c>
      <c r="K10" s="18">
        <f t="shared" si="1660"/>
        <v>473291.09042984922</v>
      </c>
      <c r="L10" s="19">
        <f t="shared" si="1655"/>
        <v>1.7252556836688164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656"/>
        <v>0</v>
      </c>
      <c r="S10" s="35">
        <f t="shared" si="1657"/>
        <v>529688</v>
      </c>
      <c r="T10" s="35">
        <f t="shared" si="1658"/>
        <v>222668</v>
      </c>
      <c r="U10" s="19">
        <f t="shared" si="1659"/>
        <v>1.7252556836688164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652"/>
        <v>0</v>
      </c>
      <c r="F11" s="13">
        <v>0</v>
      </c>
      <c r="G11" s="13">
        <v>0</v>
      </c>
      <c r="H11" s="13">
        <v>0</v>
      </c>
      <c r="I11" s="16">
        <f t="shared" si="1653"/>
        <v>0</v>
      </c>
      <c r="J11" s="17">
        <f t="shared" si="1654"/>
        <v>0</v>
      </c>
      <c r="K11" s="18">
        <f t="shared" si="1660"/>
        <v>0</v>
      </c>
      <c r="L11" s="19" t="e">
        <f t="shared" si="1655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656"/>
        <v>0</v>
      </c>
      <c r="S11" s="35">
        <f t="shared" si="1657"/>
        <v>0</v>
      </c>
      <c r="T11" s="35">
        <f t="shared" si="1658"/>
        <v>0</v>
      </c>
      <c r="U11" s="19" t="e">
        <f t="shared" si="1659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652"/>
        <v>10886.934056092776</v>
      </c>
      <c r="F12" s="13">
        <v>0</v>
      </c>
      <c r="G12" s="13">
        <v>2246</v>
      </c>
      <c r="H12" s="13">
        <v>0</v>
      </c>
      <c r="I12" s="16">
        <f t="shared" si="1653"/>
        <v>0</v>
      </c>
      <c r="J12" s="17">
        <f>C12-G12</f>
        <v>80</v>
      </c>
      <c r="K12" s="18">
        <f t="shared" si="1660"/>
        <v>10512.490924326903</v>
      </c>
      <c r="L12" s="19">
        <f t="shared" si="1655"/>
        <v>0.9656061908856407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656"/>
        <v>0</v>
      </c>
      <c r="S12" s="35">
        <f t="shared" si="1657"/>
        <v>2246</v>
      </c>
      <c r="T12" s="35">
        <f t="shared" si="1658"/>
        <v>-80</v>
      </c>
      <c r="U12" s="19">
        <f t="shared" si="1659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652"/>
        <v>112221.94</v>
      </c>
      <c r="F13" s="13">
        <v>0</v>
      </c>
      <c r="G13" s="13">
        <v>12105</v>
      </c>
      <c r="H13" s="13">
        <v>0</v>
      </c>
      <c r="I13" s="16">
        <f t="shared" si="1653"/>
        <v>0</v>
      </c>
      <c r="J13" s="17">
        <f t="shared" si="1654"/>
        <v>14</v>
      </c>
      <c r="K13" s="18">
        <f t="shared" si="1660"/>
        <v>112092.3</v>
      </c>
      <c r="L13" s="19">
        <f t="shared" si="1655"/>
        <v>0.99884478917402431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656"/>
        <v>0</v>
      </c>
      <c r="S13" s="35">
        <f t="shared" si="1657"/>
        <v>12105</v>
      </c>
      <c r="T13" s="35">
        <f t="shared" si="1658"/>
        <v>-14</v>
      </c>
      <c r="U13" s="19">
        <f t="shared" si="1659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52"/>
        <v>0</v>
      </c>
      <c r="F14" s="13">
        <v>0</v>
      </c>
      <c r="G14" s="13">
        <v>0</v>
      </c>
      <c r="H14" s="13">
        <v>0</v>
      </c>
      <c r="I14" s="16">
        <f t="shared" si="1653"/>
        <v>0</v>
      </c>
      <c r="J14" s="17">
        <f t="shared" si="1654"/>
        <v>0</v>
      </c>
      <c r="K14" s="18">
        <f t="shared" si="1660"/>
        <v>0</v>
      </c>
      <c r="L14" s="19" t="e">
        <f t="shared" si="1655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656"/>
        <v>0</v>
      </c>
      <c r="S14" s="35">
        <f t="shared" si="1657"/>
        <v>0</v>
      </c>
      <c r="T14" s="35">
        <f t="shared" si="1658"/>
        <v>0</v>
      </c>
      <c r="U14" s="19" t="e">
        <f t="shared" si="1659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652"/>
        <v>0</v>
      </c>
      <c r="F15" s="13">
        <v>0</v>
      </c>
      <c r="G15" s="33">
        <v>0</v>
      </c>
      <c r="H15" s="13">
        <v>0</v>
      </c>
      <c r="I15" s="16">
        <f t="shared" si="1653"/>
        <v>0</v>
      </c>
      <c r="J15" s="17">
        <f t="shared" si="1654"/>
        <v>0</v>
      </c>
      <c r="K15" s="18">
        <f t="shared" si="1660"/>
        <v>0</v>
      </c>
      <c r="L15" s="19" t="e">
        <f t="shared" si="1655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656"/>
        <v>0</v>
      </c>
      <c r="S15" s="35">
        <f t="shared" si="1657"/>
        <v>0</v>
      </c>
      <c r="T15" s="35">
        <f t="shared" si="1658"/>
        <v>0</v>
      </c>
      <c r="U15" s="19" t="e">
        <f t="shared" si="1659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652"/>
        <v>0</v>
      </c>
      <c r="F16" s="13">
        <v>0</v>
      </c>
      <c r="G16" s="33">
        <v>0</v>
      </c>
      <c r="H16" s="13">
        <v>0</v>
      </c>
      <c r="I16" s="16">
        <f t="shared" si="1653"/>
        <v>0</v>
      </c>
      <c r="J16" s="17">
        <f t="shared" si="1654"/>
        <v>0</v>
      </c>
      <c r="K16" s="18">
        <f t="shared" si="1660"/>
        <v>0</v>
      </c>
      <c r="L16" s="19" t="e">
        <f t="shared" si="1655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656"/>
        <v>0</v>
      </c>
      <c r="S16" s="35">
        <f t="shared" si="1657"/>
        <v>0</v>
      </c>
      <c r="T16" s="35">
        <f t="shared" si="1658"/>
        <v>0</v>
      </c>
      <c r="U16" s="19" t="e">
        <f t="shared" si="1659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652"/>
        <v>0</v>
      </c>
      <c r="F17" s="13">
        <v>0</v>
      </c>
      <c r="G17" s="33">
        <v>0</v>
      </c>
      <c r="H17" s="13">
        <v>0</v>
      </c>
      <c r="I17" s="16">
        <f t="shared" si="1653"/>
        <v>0</v>
      </c>
      <c r="J17" s="17">
        <f t="shared" si="1654"/>
        <v>0</v>
      </c>
      <c r="K17" s="18">
        <f t="shared" si="1660"/>
        <v>0</v>
      </c>
      <c r="L17" s="19" t="e">
        <f t="shared" si="165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656"/>
        <v>0</v>
      </c>
      <c r="S17" s="35">
        <f t="shared" si="1657"/>
        <v>0</v>
      </c>
      <c r="T17" s="35">
        <f t="shared" si="1658"/>
        <v>0</v>
      </c>
      <c r="U17" s="19" t="e">
        <f t="shared" si="1659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652"/>
        <v>565976.44184304646</v>
      </c>
      <c r="F18" s="13">
        <v>988682</v>
      </c>
      <c r="G18" s="13">
        <v>174234</v>
      </c>
      <c r="H18" s="13">
        <v>100000</v>
      </c>
      <c r="I18" s="16">
        <f t="shared" ref="I18:I19" si="1661">F18+H18</f>
        <v>1088682</v>
      </c>
      <c r="J18" s="17">
        <f t="shared" si="1654"/>
        <v>260152</v>
      </c>
      <c r="K18" s="18">
        <f t="shared" si="1660"/>
        <v>227015.46405289616</v>
      </c>
      <c r="L18" s="19">
        <f t="shared" si="1655"/>
        <v>0.40110408714829665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656"/>
        <v>0</v>
      </c>
      <c r="S18" s="35">
        <f t="shared" si="1657"/>
        <v>1262916</v>
      </c>
      <c r="T18" s="35">
        <f t="shared" si="1658"/>
        <v>828530</v>
      </c>
      <c r="U18" s="19">
        <f t="shared" si="1659"/>
        <v>2.9073588927819958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 t="shared" si="1661"/>
        <v>0</v>
      </c>
      <c r="J19" s="17">
        <f>C19-G19</f>
        <v>0</v>
      </c>
      <c r="K19" s="18">
        <f t="shared" si="1660"/>
        <v>0</v>
      </c>
      <c r="L19" s="19" t="e">
        <f t="shared" si="1655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62">M19+N19+O19+P19+Q19</f>
        <v>0</v>
      </c>
      <c r="S19" s="35">
        <f t="shared" ref="S19:S20" si="1663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3117502</v>
      </c>
      <c r="D20" s="23"/>
      <c r="E20" s="22">
        <f t="shared" ref="E20:K20" si="1664">SUM(E3:E19)</f>
        <v>4777923.8546567401</v>
      </c>
      <c r="F20" s="24">
        <f t="shared" si="1664"/>
        <v>1266592</v>
      </c>
      <c r="G20" s="24">
        <f t="shared" si="1664"/>
        <v>2888671</v>
      </c>
      <c r="H20" s="24">
        <f t="shared" si="1664"/>
        <v>336000</v>
      </c>
      <c r="I20" s="25">
        <f t="shared" si="1664"/>
        <v>1602592</v>
      </c>
      <c r="J20" s="26">
        <f t="shared" si="1664"/>
        <v>228831</v>
      </c>
      <c r="K20" s="26">
        <f t="shared" si="1664"/>
        <v>4246833.3069032226</v>
      </c>
      <c r="L20" s="19">
        <f t="shared" si="1655"/>
        <v>0.88884491174217917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62"/>
        <v>0</v>
      </c>
      <c r="S20" s="35">
        <f t="shared" si="1663"/>
        <v>4491263</v>
      </c>
      <c r="T20" s="41"/>
    </row>
    <row r="22">
      <c r="E22" s="28"/>
      <c r="F22" s="28"/>
    </row>
    <row r="25">
      <c r="G25" s="41" t="s">
        <v>64</v>
      </c>
    </row>
    <row r="30">
      <c r="K30" t="s">
        <v>64</v>
      </c>
    </row>
    <row r="31">
      <c r="G31" t="s">
        <v>64</v>
      </c>
    </row>
  </sheetData>
  <autoFilter ref="B2:U2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E100C5-001C-4AC4-9E63-0084002E004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300001-0048-4D29-A69E-006900A5006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92001E-00B4-4AF3-9C8D-00C9006F00B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080020-0093-4DBD-B637-00EE007F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2A0068-00CB-40C1-8244-000600A500C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CB00C9-0043-4819-92E9-004200D1007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720038-00A9-4847-8257-008A009200B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7C00ED-0093-45BA-9864-00720027002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2F0024-006B-41BE-B1BC-000300F3003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27" activeCellId="0" sqref="A27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9.88671875"/>
    <col customWidth="1" min="5" max="5" width="22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8"/>
    <col customWidth="1" min="13" max="17" width="12.44140625"/>
    <col customWidth="1" min="18" max="18" width="14.6640625"/>
    <col customWidth="1" min="19" max="19" width="11.44140625"/>
    <col customWidth="1" min="20" max="20" width="12.44140625"/>
  </cols>
  <sheetData>
    <row r="1" ht="16.5">
      <c r="I1" s="29"/>
      <c r="M1" s="70" t="s">
        <v>0</v>
      </c>
      <c r="N1" s="70" t="s">
        <v>1</v>
      </c>
      <c r="O1" s="70" t="s">
        <v>2</v>
      </c>
      <c r="P1" s="70" t="s">
        <v>3</v>
      </c>
      <c r="Q1" s="71" t="s">
        <v>217</v>
      </c>
    </row>
    <row r="2" ht="47.399999999999999" customHeight="1">
      <c r="A2" s="1" t="s">
        <v>4</v>
      </c>
      <c r="B2" s="1" t="s">
        <v>5</v>
      </c>
      <c r="C2" s="2" t="s">
        <v>246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254</v>
      </c>
      <c r="J2" s="7" t="s">
        <v>17</v>
      </c>
      <c r="K2" s="7" t="s">
        <v>18</v>
      </c>
      <c r="L2" s="7" t="s">
        <v>19</v>
      </c>
      <c r="M2" s="47" t="s">
        <v>240</v>
      </c>
      <c r="N2" s="72" t="s">
        <v>241</v>
      </c>
      <c r="O2" s="72" t="s">
        <v>242</v>
      </c>
      <c r="P2" s="72" t="s">
        <v>243</v>
      </c>
      <c r="Q2" s="53" t="s">
        <v>64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280593</v>
      </c>
      <c r="D3" s="11">
        <v>2.8923780588381258</v>
      </c>
      <c r="E3" s="12">
        <f t="shared" ref="E3:E18" si="1665">C3*D3</f>
        <v>811581.03666356625</v>
      </c>
      <c r="F3" s="13">
        <v>64266</v>
      </c>
      <c r="G3" s="44">
        <v>341188</v>
      </c>
      <c r="H3" s="13">
        <v>0</v>
      </c>
      <c r="I3" s="16">
        <f t="shared" ref="I3:I17" si="1666">F3+H3</f>
        <v>64266</v>
      </c>
      <c r="J3" s="17">
        <f t="shared" ref="J3:J18" si="1667">C3-G3</f>
        <v>-60595</v>
      </c>
      <c r="K3" s="18">
        <f>+G3*D3</f>
        <v>986844.68513886246</v>
      </c>
      <c r="L3" s="19">
        <f t="shared" ref="L3:L20" si="1668">K3/E3</f>
        <v>1.2159533559283375</v>
      </c>
      <c r="M3" s="34">
        <v>0</v>
      </c>
      <c r="N3" s="58">
        <v>0</v>
      </c>
      <c r="O3" s="34">
        <v>0</v>
      </c>
      <c r="P3" s="34">
        <v>55500</v>
      </c>
      <c r="Q3" s="34">
        <v>0</v>
      </c>
      <c r="R3" s="34">
        <f t="shared" ref="R3:R18" si="1669">M3+N3+O3+P3+Q3</f>
        <v>55500</v>
      </c>
      <c r="S3" s="35">
        <f t="shared" ref="S3:S18" si="1670">G3+I3+R3</f>
        <v>460954</v>
      </c>
      <c r="T3" s="35">
        <f t="shared" ref="T3:T18" si="1671">S3-C3</f>
        <v>180361</v>
      </c>
      <c r="U3" s="19">
        <f t="shared" ref="U3:U18" si="1672">S3/C3</f>
        <v>1.6427851015527828</v>
      </c>
    </row>
    <row r="4">
      <c r="A4" s="9" t="s">
        <v>36</v>
      </c>
      <c r="B4" s="9" t="s">
        <v>37</v>
      </c>
      <c r="C4" s="14">
        <v>0</v>
      </c>
      <c r="D4" s="11">
        <v>1.55492805883813</v>
      </c>
      <c r="E4" s="12">
        <f t="shared" si="1665"/>
        <v>0</v>
      </c>
      <c r="F4" s="13">
        <v>35386</v>
      </c>
      <c r="G4" s="13">
        <v>74518</v>
      </c>
      <c r="H4" s="13">
        <v>0</v>
      </c>
      <c r="I4" s="16">
        <f t="shared" si="1666"/>
        <v>35386</v>
      </c>
      <c r="J4" s="17">
        <f t="shared" si="1667"/>
        <v>-74518</v>
      </c>
      <c r="K4" s="18">
        <f>D4*G4</f>
        <v>115870.12908849977</v>
      </c>
      <c r="L4" s="19" t="e">
        <f t="shared" si="1668"/>
        <v>#DIV/0!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669"/>
        <v>0</v>
      </c>
      <c r="S4" s="35">
        <f t="shared" si="1670"/>
        <v>109904</v>
      </c>
      <c r="T4" s="35">
        <f t="shared" si="1671"/>
        <v>109904</v>
      </c>
      <c r="U4" s="19" t="e">
        <f t="shared" si="1672"/>
        <v>#DIV/0!</v>
      </c>
    </row>
    <row r="5">
      <c r="A5" s="9" t="s">
        <v>32</v>
      </c>
      <c r="B5" s="9" t="s">
        <v>33</v>
      </c>
      <c r="C5" s="14">
        <v>291203</v>
      </c>
      <c r="D5" s="11">
        <v>1.0683280588381256</v>
      </c>
      <c r="E5" s="12">
        <f t="shared" si="1665"/>
        <v>311100.33571783872</v>
      </c>
      <c r="F5" s="13">
        <v>134227</v>
      </c>
      <c r="G5" s="13">
        <v>327203</v>
      </c>
      <c r="H5" s="13">
        <v>0</v>
      </c>
      <c r="I5" s="16">
        <f t="shared" si="1666"/>
        <v>134227</v>
      </c>
      <c r="J5" s="17">
        <f t="shared" si="1667"/>
        <v>-36000</v>
      </c>
      <c r="K5" s="18">
        <f t="shared" ref="K5:K19" si="1673">+G5*D5</f>
        <v>349560.14583601122</v>
      </c>
      <c r="L5" s="19">
        <f t="shared" si="1668"/>
        <v>1.1236251000161399</v>
      </c>
      <c r="M5" s="34">
        <v>0</v>
      </c>
      <c r="N5" s="58">
        <v>0</v>
      </c>
      <c r="O5" s="34">
        <v>0</v>
      </c>
      <c r="P5" s="73">
        <v>0</v>
      </c>
      <c r="Q5" s="34">
        <v>0</v>
      </c>
      <c r="R5" s="34">
        <f t="shared" si="1669"/>
        <v>0</v>
      </c>
      <c r="S5" s="35">
        <f t="shared" si="1670"/>
        <v>461430</v>
      </c>
      <c r="T5" s="35">
        <f t="shared" si="1671"/>
        <v>170227</v>
      </c>
      <c r="U5" s="19">
        <f t="shared" si="1672"/>
        <v>1.5845647194568737</v>
      </c>
    </row>
    <row r="6">
      <c r="A6" s="9" t="s">
        <v>34</v>
      </c>
      <c r="B6" s="9" t="s">
        <v>35</v>
      </c>
      <c r="C6" s="14">
        <v>853854</v>
      </c>
      <c r="D6" s="50">
        <v>2.1696780588381257</v>
      </c>
      <c r="E6" s="14">
        <f t="shared" si="1665"/>
        <v>1852588.289251169</v>
      </c>
      <c r="F6" s="13">
        <v>0</v>
      </c>
      <c r="G6" s="13">
        <v>544675</v>
      </c>
      <c r="H6" s="13">
        <v>0</v>
      </c>
      <c r="I6" s="16">
        <f t="shared" si="1666"/>
        <v>0</v>
      </c>
      <c r="J6" s="17">
        <f t="shared" si="1667"/>
        <v>309179</v>
      </c>
      <c r="K6" s="18">
        <f t="shared" si="1673"/>
        <v>1181769.396697656</v>
      </c>
      <c r="L6" s="19">
        <f t="shared" si="1668"/>
        <v>0.63790179585737139</v>
      </c>
      <c r="M6" s="34">
        <v>0</v>
      </c>
      <c r="N6" s="58">
        <v>0</v>
      </c>
      <c r="O6" s="34"/>
      <c r="P6" s="34">
        <v>234000</v>
      </c>
      <c r="Q6" s="34">
        <v>350000</v>
      </c>
      <c r="R6" s="34">
        <f t="shared" si="1669"/>
        <v>584000</v>
      </c>
      <c r="S6" s="35">
        <f t="shared" si="1670"/>
        <v>1128675</v>
      </c>
      <c r="T6" s="35">
        <f t="shared" si="1671"/>
        <v>274821</v>
      </c>
      <c r="U6" s="19">
        <f t="shared" si="1672"/>
        <v>1.321859474804826</v>
      </c>
    </row>
    <row r="7">
      <c r="A7" s="9" t="s">
        <v>40</v>
      </c>
      <c r="B7" s="9" t="s">
        <v>41</v>
      </c>
      <c r="C7" s="14">
        <v>0</v>
      </c>
      <c r="D7" s="11">
        <v>4.3295293823675376</v>
      </c>
      <c r="E7" s="12">
        <f t="shared" si="1665"/>
        <v>0</v>
      </c>
      <c r="F7" s="13">
        <v>0</v>
      </c>
      <c r="G7" s="13">
        <v>0</v>
      </c>
      <c r="H7" s="13">
        <v>0</v>
      </c>
      <c r="I7" s="16">
        <f t="shared" si="1666"/>
        <v>0</v>
      </c>
      <c r="J7" s="17">
        <f t="shared" si="1667"/>
        <v>0</v>
      </c>
      <c r="K7" s="18">
        <f t="shared" si="1673"/>
        <v>0</v>
      </c>
      <c r="L7" s="19" t="e">
        <f t="shared" si="1668"/>
        <v>#DIV/0!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1669"/>
        <v>0</v>
      </c>
      <c r="S7" s="35">
        <f t="shared" si="1670"/>
        <v>0</v>
      </c>
      <c r="T7" s="35">
        <f t="shared" si="1671"/>
        <v>0</v>
      </c>
      <c r="U7" s="19" t="e">
        <f t="shared" si="1672"/>
        <v>#DIV/0!</v>
      </c>
    </row>
    <row r="8">
      <c r="A8" s="9" t="s">
        <v>26</v>
      </c>
      <c r="B8" s="9" t="s">
        <v>27</v>
      </c>
      <c r="C8" s="14">
        <v>482704</v>
      </c>
      <c r="D8" s="11">
        <v>1.1430280588381259</v>
      </c>
      <c r="E8" s="12">
        <f t="shared" si="1665"/>
        <v>551744.21611339867</v>
      </c>
      <c r="F8" s="13">
        <v>44031</v>
      </c>
      <c r="G8" s="44">
        <v>682704</v>
      </c>
      <c r="H8" s="44">
        <v>0</v>
      </c>
      <c r="I8" s="16">
        <f t="shared" si="1666"/>
        <v>44031</v>
      </c>
      <c r="J8" s="17">
        <f t="shared" si="1667"/>
        <v>-200000</v>
      </c>
      <c r="K8" s="18">
        <f t="shared" si="1673"/>
        <v>780349.82788102387</v>
      </c>
      <c r="L8" s="19">
        <f t="shared" si="1668"/>
        <v>1.4143325930591004</v>
      </c>
      <c r="M8" s="34">
        <v>0</v>
      </c>
      <c r="N8" s="58">
        <v>0</v>
      </c>
      <c r="O8" s="34">
        <v>0</v>
      </c>
      <c r="P8" s="34">
        <v>0</v>
      </c>
      <c r="Q8" s="34">
        <v>378000</v>
      </c>
      <c r="R8" s="34">
        <f t="shared" si="1669"/>
        <v>378000</v>
      </c>
      <c r="S8" s="35">
        <f t="shared" si="1670"/>
        <v>1104735</v>
      </c>
      <c r="T8" s="35">
        <f t="shared" si="1671"/>
        <v>622031</v>
      </c>
      <c r="U8" s="19">
        <f t="shared" si="1672"/>
        <v>2.2886385859657263</v>
      </c>
    </row>
    <row r="9">
      <c r="A9" s="9" t="s">
        <v>28</v>
      </c>
      <c r="B9" s="9" t="s">
        <v>29</v>
      </c>
      <c r="C9" s="14">
        <v>453297</v>
      </c>
      <c r="D9" s="11">
        <v>0.63422805883812572</v>
      </c>
      <c r="E9" s="12">
        <f t="shared" si="1665"/>
        <v>287493.67638714588</v>
      </c>
      <c r="F9" s="13">
        <v>0</v>
      </c>
      <c r="G9" s="44">
        <v>436110</v>
      </c>
      <c r="H9" s="13">
        <v>0</v>
      </c>
      <c r="I9" s="16">
        <f t="shared" si="1666"/>
        <v>0</v>
      </c>
      <c r="J9" s="17">
        <f t="shared" si="1667"/>
        <v>17187</v>
      </c>
      <c r="K9" s="18">
        <f t="shared" si="1673"/>
        <v>276593.19873989502</v>
      </c>
      <c r="L9" s="19">
        <f t="shared" si="1668"/>
        <v>0.96208446118107993</v>
      </c>
      <c r="M9" s="34">
        <v>0</v>
      </c>
      <c r="N9" s="58">
        <v>0</v>
      </c>
      <c r="O9" s="34">
        <v>0</v>
      </c>
      <c r="P9" s="34">
        <v>88000</v>
      </c>
      <c r="Q9" s="34">
        <v>176000</v>
      </c>
      <c r="R9" s="34">
        <f t="shared" si="1669"/>
        <v>264000</v>
      </c>
      <c r="S9" s="35">
        <f t="shared" si="1670"/>
        <v>700110</v>
      </c>
      <c r="T9" s="35">
        <f t="shared" si="1671"/>
        <v>246813</v>
      </c>
      <c r="U9" s="19">
        <f t="shared" si="1672"/>
        <v>1.5444840799740567</v>
      </c>
    </row>
    <row r="10">
      <c r="A10" s="9" t="s">
        <v>30</v>
      </c>
      <c r="B10" s="9" t="s">
        <v>31</v>
      </c>
      <c r="C10" s="14">
        <v>307020</v>
      </c>
      <c r="D10" s="50">
        <v>0.89352805883812592</v>
      </c>
      <c r="E10" s="14">
        <f t="shared" si="1665"/>
        <v>274330.98462448141</v>
      </c>
      <c r="F10" s="44">
        <v>0</v>
      </c>
      <c r="G10" s="13">
        <v>529688</v>
      </c>
      <c r="H10" s="44">
        <v>0</v>
      </c>
      <c r="I10" s="16">
        <f>F10+H10</f>
        <v>0</v>
      </c>
      <c r="J10" s="17">
        <f t="shared" si="1667"/>
        <v>-222668</v>
      </c>
      <c r="K10" s="18">
        <f t="shared" si="1673"/>
        <v>473291.09042984922</v>
      </c>
      <c r="L10" s="19">
        <f t="shared" si="1668"/>
        <v>1.7252556836688164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669"/>
        <v>0</v>
      </c>
      <c r="S10" s="35">
        <f t="shared" si="1670"/>
        <v>529688</v>
      </c>
      <c r="T10" s="35">
        <f t="shared" si="1671"/>
        <v>222668</v>
      </c>
      <c r="U10" s="19">
        <f t="shared" si="1672"/>
        <v>1.7252556836688164</v>
      </c>
    </row>
    <row r="11">
      <c r="A11" s="57" t="s">
        <v>46</v>
      </c>
      <c r="B11" s="9" t="s">
        <v>47</v>
      </c>
      <c r="C11" s="14">
        <v>0</v>
      </c>
      <c r="D11" s="11">
        <v>0.40322805883812579</v>
      </c>
      <c r="E11" s="12">
        <f t="shared" si="1665"/>
        <v>0</v>
      </c>
      <c r="F11" s="13">
        <v>0</v>
      </c>
      <c r="G11" s="13">
        <v>0</v>
      </c>
      <c r="H11" s="13">
        <v>0</v>
      </c>
      <c r="I11" s="16">
        <f t="shared" si="1666"/>
        <v>0</v>
      </c>
      <c r="J11" s="17">
        <f t="shared" si="1667"/>
        <v>0</v>
      </c>
      <c r="K11" s="18">
        <f t="shared" si="1673"/>
        <v>0</v>
      </c>
      <c r="L11" s="19" t="e">
        <f t="shared" si="166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669"/>
        <v>0</v>
      </c>
      <c r="S11" s="35">
        <f t="shared" si="1670"/>
        <v>0</v>
      </c>
      <c r="T11" s="35">
        <f t="shared" si="1671"/>
        <v>0</v>
      </c>
      <c r="U11" s="19" t="e">
        <f t="shared" si="1672"/>
        <v>#DIV/0!</v>
      </c>
    </row>
    <row r="12">
      <c r="A12" s="9" t="s">
        <v>24</v>
      </c>
      <c r="B12" s="9" t="s">
        <v>25</v>
      </c>
      <c r="C12" s="14">
        <v>2326</v>
      </c>
      <c r="D12" s="11">
        <v>4.6805391470734206</v>
      </c>
      <c r="E12" s="12">
        <f t="shared" si="1665"/>
        <v>10886.934056092776</v>
      </c>
      <c r="F12" s="13">
        <v>0</v>
      </c>
      <c r="G12" s="13">
        <v>2246</v>
      </c>
      <c r="H12" s="13">
        <v>0</v>
      </c>
      <c r="I12" s="16">
        <f t="shared" si="1666"/>
        <v>0</v>
      </c>
      <c r="J12" s="17">
        <f>C12-G12</f>
        <v>80</v>
      </c>
      <c r="K12" s="18">
        <f t="shared" si="1673"/>
        <v>10512.490924326903</v>
      </c>
      <c r="L12" s="19">
        <f t="shared" si="1668"/>
        <v>0.9656061908856407</v>
      </c>
      <c r="M12" s="34">
        <v>0</v>
      </c>
      <c r="N12" s="58">
        <v>0</v>
      </c>
      <c r="O12" s="34">
        <v>0</v>
      </c>
      <c r="P12" s="34">
        <v>0</v>
      </c>
      <c r="Q12" s="34">
        <v>0</v>
      </c>
      <c r="R12" s="34">
        <f t="shared" si="1669"/>
        <v>0</v>
      </c>
      <c r="S12" s="35">
        <f t="shared" si="1670"/>
        <v>2246</v>
      </c>
      <c r="T12" s="35">
        <f t="shared" si="1671"/>
        <v>-80</v>
      </c>
      <c r="U12" s="19">
        <f t="shared" si="1672"/>
        <v>0.96560619088564059</v>
      </c>
    </row>
    <row r="13">
      <c r="A13" s="56">
        <v>60000000032802</v>
      </c>
      <c r="B13" s="9" t="s">
        <v>113</v>
      </c>
      <c r="C13" s="14">
        <v>12119</v>
      </c>
      <c r="D13" s="11">
        <v>9.2599999999999998</v>
      </c>
      <c r="E13" s="12">
        <f t="shared" si="1665"/>
        <v>112221.94</v>
      </c>
      <c r="F13" s="13">
        <v>0</v>
      </c>
      <c r="G13" s="13">
        <v>12105</v>
      </c>
      <c r="H13" s="13">
        <v>0</v>
      </c>
      <c r="I13" s="16">
        <f t="shared" si="1666"/>
        <v>0</v>
      </c>
      <c r="J13" s="17">
        <f t="shared" si="1667"/>
        <v>14</v>
      </c>
      <c r="K13" s="18">
        <f t="shared" si="1673"/>
        <v>112092.3</v>
      </c>
      <c r="L13" s="19">
        <f t="shared" si="1668"/>
        <v>0.99884478917402431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669"/>
        <v>0</v>
      </c>
      <c r="S13" s="35">
        <f t="shared" si="1670"/>
        <v>12105</v>
      </c>
      <c r="T13" s="35">
        <f t="shared" si="1671"/>
        <v>-14</v>
      </c>
      <c r="U13" s="19">
        <f t="shared" si="1672"/>
        <v>0.99884478917402431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65"/>
        <v>0</v>
      </c>
      <c r="F14" s="13">
        <v>0</v>
      </c>
      <c r="G14" s="13">
        <v>0</v>
      </c>
      <c r="H14" s="13">
        <v>0</v>
      </c>
      <c r="I14" s="16">
        <f t="shared" si="1666"/>
        <v>0</v>
      </c>
      <c r="J14" s="17">
        <f t="shared" si="1667"/>
        <v>0</v>
      </c>
      <c r="K14" s="18">
        <f t="shared" si="1673"/>
        <v>0</v>
      </c>
      <c r="L14" s="19" t="e">
        <f t="shared" si="1668"/>
        <v>#DIV/0!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669"/>
        <v>0</v>
      </c>
      <c r="S14" s="35">
        <f t="shared" si="1670"/>
        <v>0</v>
      </c>
      <c r="T14" s="35">
        <f t="shared" si="1671"/>
        <v>0</v>
      </c>
      <c r="U14" s="19" t="e">
        <f t="shared" si="1672"/>
        <v>#DIV/0!</v>
      </c>
    </row>
    <row r="15">
      <c r="A15" s="62" t="s">
        <v>150</v>
      </c>
      <c r="B15" s="63" t="s">
        <v>151</v>
      </c>
      <c r="C15" s="14">
        <v>0</v>
      </c>
      <c r="D15" s="11">
        <v>6.7956857705540301</v>
      </c>
      <c r="E15" s="12">
        <f t="shared" si="1665"/>
        <v>0</v>
      </c>
      <c r="F15" s="13">
        <v>0</v>
      </c>
      <c r="G15" s="33">
        <v>0</v>
      </c>
      <c r="H15" s="13">
        <v>0</v>
      </c>
      <c r="I15" s="16">
        <f t="shared" si="1666"/>
        <v>0</v>
      </c>
      <c r="J15" s="17">
        <f t="shared" si="1667"/>
        <v>0</v>
      </c>
      <c r="K15" s="18">
        <f t="shared" si="1673"/>
        <v>0</v>
      </c>
      <c r="L15" s="19" t="e">
        <f t="shared" si="1668"/>
        <v>#DIV/0!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669"/>
        <v>0</v>
      </c>
      <c r="S15" s="35">
        <f t="shared" si="1670"/>
        <v>0</v>
      </c>
      <c r="T15" s="35">
        <f t="shared" si="1671"/>
        <v>0</v>
      </c>
      <c r="U15" s="19" t="e">
        <f t="shared" si="1672"/>
        <v>#DIV/0!</v>
      </c>
    </row>
    <row r="16">
      <c r="A16" s="62" t="s">
        <v>152</v>
      </c>
      <c r="B16" s="63" t="s">
        <v>153</v>
      </c>
      <c r="C16" s="14">
        <v>0</v>
      </c>
      <c r="D16" s="11">
        <v>10.033574703112851</v>
      </c>
      <c r="E16" s="12">
        <f t="shared" si="1665"/>
        <v>0</v>
      </c>
      <c r="F16" s="13">
        <v>0</v>
      </c>
      <c r="G16" s="33">
        <v>0</v>
      </c>
      <c r="H16" s="13">
        <v>0</v>
      </c>
      <c r="I16" s="16">
        <f t="shared" si="1666"/>
        <v>0</v>
      </c>
      <c r="J16" s="17">
        <f t="shared" si="1667"/>
        <v>0</v>
      </c>
      <c r="K16" s="18">
        <f t="shared" si="1673"/>
        <v>0</v>
      </c>
      <c r="L16" s="19" t="e">
        <f t="shared" si="1668"/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669"/>
        <v>0</v>
      </c>
      <c r="S16" s="35">
        <f t="shared" si="1670"/>
        <v>0</v>
      </c>
      <c r="T16" s="35">
        <f t="shared" si="1671"/>
        <v>0</v>
      </c>
      <c r="U16" s="19" t="e">
        <f t="shared" si="1672"/>
        <v>#DIV/0!</v>
      </c>
    </row>
    <row r="17">
      <c r="A17" s="9" t="s">
        <v>44</v>
      </c>
      <c r="B17" s="9" t="s">
        <v>215</v>
      </c>
      <c r="C17" s="14">
        <v>0</v>
      </c>
      <c r="D17" s="11">
        <v>12.061373764720482</v>
      </c>
      <c r="E17" s="12">
        <f t="shared" si="1665"/>
        <v>0</v>
      </c>
      <c r="F17" s="13">
        <v>0</v>
      </c>
      <c r="G17" s="33">
        <v>0</v>
      </c>
      <c r="H17" s="13">
        <v>0</v>
      </c>
      <c r="I17" s="16">
        <f t="shared" si="1666"/>
        <v>0</v>
      </c>
      <c r="J17" s="17">
        <f t="shared" si="1667"/>
        <v>0</v>
      </c>
      <c r="K17" s="18">
        <f t="shared" si="1673"/>
        <v>0</v>
      </c>
      <c r="L17" s="19" t="e">
        <f t="shared" si="1668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669"/>
        <v>0</v>
      </c>
      <c r="S17" s="35">
        <f t="shared" si="1670"/>
        <v>0</v>
      </c>
      <c r="T17" s="35">
        <f t="shared" si="1671"/>
        <v>0</v>
      </c>
      <c r="U17" s="19" t="e">
        <f t="shared" si="1672"/>
        <v>#DIV/0!</v>
      </c>
    </row>
    <row r="18">
      <c r="A18" s="9" t="s">
        <v>22</v>
      </c>
      <c r="B18" s="9" t="s">
        <v>23</v>
      </c>
      <c r="C18" s="14">
        <v>434386</v>
      </c>
      <c r="D18" s="50">
        <v>1.3029343529557731</v>
      </c>
      <c r="E18" s="14">
        <f t="shared" si="1665"/>
        <v>565976.44184304646</v>
      </c>
      <c r="F18" s="13">
        <v>988679</v>
      </c>
      <c r="G18" s="13">
        <v>274234</v>
      </c>
      <c r="H18" s="13">
        <v>0</v>
      </c>
      <c r="I18" s="16">
        <f t="shared" ref="I18:I19" si="1674">F18+H18</f>
        <v>988679</v>
      </c>
      <c r="J18" s="17">
        <f t="shared" si="1667"/>
        <v>160152</v>
      </c>
      <c r="K18" s="18">
        <f t="shared" si="1673"/>
        <v>357308.89934847347</v>
      </c>
      <c r="L18" s="19">
        <f t="shared" si="1668"/>
        <v>0.63131408470807071</v>
      </c>
      <c r="M18" s="34">
        <v>0</v>
      </c>
      <c r="N18" s="58">
        <v>0</v>
      </c>
      <c r="O18" s="34">
        <v>0</v>
      </c>
      <c r="P18" s="34">
        <v>0</v>
      </c>
      <c r="Q18" s="34">
        <v>0</v>
      </c>
      <c r="R18" s="34">
        <f t="shared" si="1669"/>
        <v>0</v>
      </c>
      <c r="S18" s="35">
        <f t="shared" si="1670"/>
        <v>1262913</v>
      </c>
      <c r="T18" s="35">
        <f t="shared" si="1671"/>
        <v>828527</v>
      </c>
      <c r="U18" s="19">
        <f t="shared" si="1672"/>
        <v>2.9073519864820692</v>
      </c>
    </row>
    <row r="19">
      <c r="A19" s="57" t="s">
        <v>48</v>
      </c>
      <c r="B19" s="9" t="s">
        <v>49</v>
      </c>
      <c r="C19" s="14">
        <v>0</v>
      </c>
      <c r="D19" s="11">
        <v>3.0573254068481477</v>
      </c>
      <c r="E19" s="12">
        <f>C19*D19</f>
        <v>0</v>
      </c>
      <c r="F19" s="13">
        <v>0</v>
      </c>
      <c r="G19" s="13">
        <v>0</v>
      </c>
      <c r="H19" s="13">
        <v>0</v>
      </c>
      <c r="I19" s="16">
        <f t="shared" si="1674"/>
        <v>0</v>
      </c>
      <c r="J19" s="17">
        <f>C19-G19</f>
        <v>0</v>
      </c>
      <c r="K19" s="18">
        <f t="shared" si="1673"/>
        <v>0</v>
      </c>
      <c r="L19" s="19" t="e">
        <f t="shared" si="1668"/>
        <v>#DIV/0!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ref="R19:R20" si="1675">M19+N19+O19+P19+Q19</f>
        <v>0</v>
      </c>
      <c r="S19" s="35">
        <f t="shared" ref="S19:S20" si="1676">G19+I19+R19</f>
        <v>0</v>
      </c>
      <c r="T19" s="35">
        <f>S19-C19</f>
        <v>0</v>
      </c>
      <c r="U19" s="19" t="e">
        <f>S19/C19</f>
        <v>#DIV/0!</v>
      </c>
    </row>
    <row r="20" ht="16.5">
      <c r="A20" s="21" t="s">
        <v>50</v>
      </c>
      <c r="B20" s="21"/>
      <c r="C20" s="36">
        <f>SUM(C3:C19)</f>
        <v>3117502</v>
      </c>
      <c r="D20" s="23"/>
      <c r="E20" s="22">
        <f t="shared" ref="E20:K20" si="1677">SUM(E3:E19)</f>
        <v>4777923.8546567401</v>
      </c>
      <c r="F20" s="24">
        <f t="shared" si="1677"/>
        <v>1266589</v>
      </c>
      <c r="G20" s="24">
        <f t="shared" si="1677"/>
        <v>3224671</v>
      </c>
      <c r="H20" s="24">
        <f t="shared" si="1677"/>
        <v>0</v>
      </c>
      <c r="I20" s="25">
        <f t="shared" si="1677"/>
        <v>1266589</v>
      </c>
      <c r="J20" s="26">
        <f t="shared" si="1677"/>
        <v>-107169</v>
      </c>
      <c r="K20" s="26">
        <f t="shared" si="1677"/>
        <v>4644192.1640845975</v>
      </c>
      <c r="L20" s="19">
        <f t="shared" si="1668"/>
        <v>0.97201050191668448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675"/>
        <v>0</v>
      </c>
      <c r="S20" s="35">
        <f t="shared" si="1676"/>
        <v>4491260</v>
      </c>
      <c r="T20" s="41"/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005C0021-0092-4FA9-86D3-00C80066003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8" operator="lessThan" id="{007C00DD-003B-4654-A6BF-000300AB002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7" operator="between" id="{001B0099-004E-4CE3-ADA4-00610050006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U3:U19 L3:L20</xm:sqref>
        </x14:conditionalFormatting>
        <x14:conditionalFormatting xmlns:xm="http://schemas.microsoft.com/office/excel/2006/main">
          <x14:cfRule type="cellIs" priority="6" operator="greaterThan" id="{0043002F-0038-4807-A244-0014009C004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" operator="lessThan" id="{00AE00A4-00BA-4F89-87A6-009900F7009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" operator="between" id="{00450036-00F7-4FE3-A015-001900A7006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3" operator="greaterThan" id="{00280045-00FC-47E6-8FF5-00620098004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2" operator="lessThan" id="{003000E3-0057-4292-84A8-00280059009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" operator="between" id="{009C0086-001D-4036-B9B1-0078007C004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U13</xm:sqref>
        </x14:conditionalFormatting>
      </x14:conditionalFormattings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A7" activeCellId="0" sqref="A7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72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138">C3*D3</f>
        <v>1655102.6042308819</v>
      </c>
      <c r="F3" s="43">
        <v>130137</v>
      </c>
      <c r="G3" s="43">
        <v>0</v>
      </c>
      <c r="H3" s="13">
        <v>0</v>
      </c>
      <c r="I3" s="16">
        <f t="shared" ref="I3:I17" si="139">F3+H3</f>
        <v>130137</v>
      </c>
      <c r="J3" s="17">
        <f t="shared" ref="J3:J17" si="140">C3-G3</f>
        <v>572229</v>
      </c>
      <c r="K3" s="18">
        <f t="shared" ref="K3:K17" si="141">+G3*D3</f>
        <v>0</v>
      </c>
      <c r="L3" s="19">
        <f t="shared" ref="L3:L11" si="142">K3/E3</f>
        <v>0</v>
      </c>
      <c r="M3" s="33">
        <v>0</v>
      </c>
      <c r="N3" s="33">
        <v>203500</v>
      </c>
      <c r="O3" s="33">
        <v>111000</v>
      </c>
      <c r="P3" s="33">
        <v>148000</v>
      </c>
      <c r="Q3" s="33">
        <v>0</v>
      </c>
      <c r="R3" s="34">
        <f t="shared" ref="R3:R18" si="143">M3+N3+O3+P3+Q3</f>
        <v>462500</v>
      </c>
      <c r="S3" s="35">
        <f t="shared" ref="S3:S18" si="144">G3+I3+R3</f>
        <v>592637</v>
      </c>
      <c r="T3" s="35">
        <f t="shared" ref="T3:T17" si="145">S3-C3</f>
        <v>20408</v>
      </c>
      <c r="U3" s="19">
        <f t="shared" ref="U3:U17" si="146">S3/C3</f>
        <v>1.0356640435909399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138"/>
        <v>186188.01610302701</v>
      </c>
      <c r="F4" s="13">
        <v>0</v>
      </c>
      <c r="G4" s="13">
        <v>142753</v>
      </c>
      <c r="H4" s="13">
        <v>0</v>
      </c>
      <c r="I4" s="16">
        <f t="shared" si="139"/>
        <v>0</v>
      </c>
      <c r="J4" s="17">
        <f t="shared" si="140"/>
        <v>146</v>
      </c>
      <c r="K4" s="18">
        <f t="shared" si="141"/>
        <v>185997.78768749547</v>
      </c>
      <c r="L4" s="19">
        <f t="shared" si="142"/>
        <v>0.99897829935828797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43"/>
        <v>0</v>
      </c>
      <c r="S4" s="35">
        <f t="shared" si="144"/>
        <v>142753</v>
      </c>
      <c r="T4" s="35">
        <f t="shared" si="145"/>
        <v>-146</v>
      </c>
      <c r="U4" s="19">
        <f t="shared" si="146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38"/>
        <v>0</v>
      </c>
      <c r="F5" s="13">
        <v>0</v>
      </c>
      <c r="G5" s="13">
        <v>0</v>
      </c>
      <c r="H5" s="13">
        <v>0</v>
      </c>
      <c r="I5" s="16">
        <f t="shared" si="139"/>
        <v>0</v>
      </c>
      <c r="J5" s="17">
        <f t="shared" si="140"/>
        <v>0</v>
      </c>
      <c r="K5" s="18">
        <f t="shared" si="14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43"/>
        <v>0</v>
      </c>
      <c r="S5" s="35">
        <f t="shared" si="144"/>
        <v>0</v>
      </c>
      <c r="T5" s="35">
        <f t="shared" si="145"/>
        <v>0</v>
      </c>
      <c r="U5" s="19" t="e">
        <f t="shared" si="146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138"/>
        <v>392010.61700300599</v>
      </c>
      <c r="F6" s="43">
        <v>63254</v>
      </c>
      <c r="G6" s="43">
        <v>0</v>
      </c>
      <c r="H6" s="43">
        <v>0</v>
      </c>
      <c r="I6" s="16">
        <f t="shared" si="139"/>
        <v>63254</v>
      </c>
      <c r="J6" s="17">
        <f t="shared" si="140"/>
        <v>342958</v>
      </c>
      <c r="K6" s="18">
        <f t="shared" si="141"/>
        <v>0</v>
      </c>
      <c r="L6" s="19">
        <f t="shared" si="142"/>
        <v>0</v>
      </c>
      <c r="M6" s="33">
        <v>0</v>
      </c>
      <c r="N6" s="33">
        <v>283500</v>
      </c>
      <c r="O6" s="33">
        <v>63000</v>
      </c>
      <c r="P6" s="33">
        <v>157500</v>
      </c>
      <c r="Q6" s="33">
        <v>0</v>
      </c>
      <c r="R6" s="34">
        <f t="shared" si="143"/>
        <v>504000</v>
      </c>
      <c r="S6" s="35">
        <f t="shared" si="144"/>
        <v>567254</v>
      </c>
      <c r="T6" s="35">
        <f t="shared" si="145"/>
        <v>224296</v>
      </c>
      <c r="U6" s="19">
        <f t="shared" si="146"/>
        <v>1.6540042804075135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138"/>
        <v>238831.89434473185</v>
      </c>
      <c r="F7" s="13">
        <v>0</v>
      </c>
      <c r="G7" s="13">
        <v>0</v>
      </c>
      <c r="H7" s="13">
        <v>0</v>
      </c>
      <c r="I7" s="16">
        <f t="shared" si="139"/>
        <v>0</v>
      </c>
      <c r="J7" s="17">
        <f t="shared" si="140"/>
        <v>376571</v>
      </c>
      <c r="K7" s="18">
        <f t="shared" si="141"/>
        <v>0</v>
      </c>
      <c r="L7" s="19">
        <f t="shared" si="142"/>
        <v>0</v>
      </c>
      <c r="M7" s="33">
        <v>0</v>
      </c>
      <c r="N7" s="33">
        <v>609000</v>
      </c>
      <c r="O7" s="33">
        <v>0</v>
      </c>
      <c r="P7" s="33">
        <v>0</v>
      </c>
      <c r="Q7" s="33">
        <v>0</v>
      </c>
      <c r="R7" s="34">
        <f t="shared" si="143"/>
        <v>609000</v>
      </c>
      <c r="S7" s="35">
        <f t="shared" si="144"/>
        <v>609000</v>
      </c>
      <c r="T7" s="35">
        <f t="shared" si="145"/>
        <v>232429</v>
      </c>
      <c r="U7" s="19">
        <f t="shared" si="146"/>
        <v>1.6172249057946575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138"/>
        <v>357411.22353525035</v>
      </c>
      <c r="F8" s="13">
        <v>0</v>
      </c>
      <c r="G8" s="13">
        <v>0</v>
      </c>
      <c r="H8" s="13">
        <v>0</v>
      </c>
      <c r="I8" s="16">
        <f t="shared" si="139"/>
        <v>0</v>
      </c>
      <c r="J8" s="17">
        <f t="shared" si="140"/>
        <v>400000</v>
      </c>
      <c r="K8" s="18">
        <f t="shared" si="141"/>
        <v>0</v>
      </c>
      <c r="L8" s="19">
        <f t="shared" si="142"/>
        <v>0</v>
      </c>
      <c r="M8" s="33">
        <v>0</v>
      </c>
      <c r="N8" s="33">
        <v>391500</v>
      </c>
      <c r="O8" s="33">
        <v>261000</v>
      </c>
      <c r="P8" s="33">
        <v>0</v>
      </c>
      <c r="Q8" s="33">
        <v>0</v>
      </c>
      <c r="R8" s="34">
        <f t="shared" si="143"/>
        <v>652500</v>
      </c>
      <c r="S8" s="35">
        <f t="shared" si="144"/>
        <v>652500</v>
      </c>
      <c r="T8" s="35">
        <f t="shared" si="145"/>
        <v>252500</v>
      </c>
      <c r="U8" s="19">
        <f t="shared" si="146"/>
        <v>1.6312500000000001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138"/>
        <v>82902.257365838552</v>
      </c>
      <c r="F9" s="13">
        <v>0</v>
      </c>
      <c r="G9" s="13">
        <v>0</v>
      </c>
      <c r="H9" s="13">
        <v>0</v>
      </c>
      <c r="I9" s="16">
        <f t="shared" si="139"/>
        <v>0</v>
      </c>
      <c r="J9" s="17">
        <f t="shared" si="140"/>
        <v>77600</v>
      </c>
      <c r="K9" s="18">
        <f t="shared" si="141"/>
        <v>0</v>
      </c>
      <c r="L9" s="19">
        <f t="shared" si="142"/>
        <v>0</v>
      </c>
      <c r="M9" s="33">
        <v>0</v>
      </c>
      <c r="N9" s="33">
        <v>0</v>
      </c>
      <c r="O9" s="33">
        <v>0</v>
      </c>
      <c r="P9" s="33">
        <v>156000</v>
      </c>
      <c r="Q9" s="33">
        <v>0</v>
      </c>
      <c r="R9" s="34">
        <f t="shared" si="143"/>
        <v>156000</v>
      </c>
      <c r="S9" s="35">
        <f t="shared" si="144"/>
        <v>156000</v>
      </c>
      <c r="T9" s="35">
        <f t="shared" si="145"/>
        <v>78400</v>
      </c>
      <c r="U9" s="19">
        <f t="shared" si="146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138"/>
        <v>84183.508682919273</v>
      </c>
      <c r="F10" s="13">
        <v>0</v>
      </c>
      <c r="G10" s="13">
        <v>0</v>
      </c>
      <c r="H10" s="13">
        <v>0</v>
      </c>
      <c r="I10" s="16">
        <f t="shared" si="139"/>
        <v>0</v>
      </c>
      <c r="J10" s="17">
        <f t="shared" si="140"/>
        <v>38800</v>
      </c>
      <c r="K10" s="18">
        <f t="shared" si="141"/>
        <v>0</v>
      </c>
      <c r="L10" s="19">
        <f t="shared" si="142"/>
        <v>0</v>
      </c>
      <c r="M10" s="33">
        <v>0</v>
      </c>
      <c r="N10" s="33">
        <v>6</v>
      </c>
      <c r="O10" s="33">
        <v>0</v>
      </c>
      <c r="P10" s="33">
        <v>38800</v>
      </c>
      <c r="Q10" s="33">
        <v>0</v>
      </c>
      <c r="R10" s="34">
        <f t="shared" si="143"/>
        <v>38806</v>
      </c>
      <c r="S10" s="35">
        <f t="shared" si="144"/>
        <v>38806</v>
      </c>
      <c r="T10" s="35">
        <f t="shared" si="145"/>
        <v>6</v>
      </c>
      <c r="U10" s="19">
        <f t="shared" si="146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38"/>
        <v>0</v>
      </c>
      <c r="F11" s="13">
        <v>0</v>
      </c>
      <c r="G11" s="13">
        <v>0</v>
      </c>
      <c r="H11" s="13">
        <v>0</v>
      </c>
      <c r="I11" s="16">
        <f t="shared" si="139"/>
        <v>0</v>
      </c>
      <c r="J11" s="17">
        <f t="shared" si="140"/>
        <v>0</v>
      </c>
      <c r="K11" s="18">
        <f t="shared" si="141"/>
        <v>0</v>
      </c>
      <c r="L11" s="19" t="e">
        <f t="shared" si="142"/>
        <v>#DIV/0!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43"/>
        <v>0</v>
      </c>
      <c r="S11" s="35">
        <f t="shared" si="144"/>
        <v>0</v>
      </c>
      <c r="T11" s="35">
        <f t="shared" si="145"/>
        <v>0</v>
      </c>
      <c r="U11" s="19" t="e">
        <f t="shared" si="146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38"/>
        <v>0</v>
      </c>
      <c r="F12" s="13">
        <v>0</v>
      </c>
      <c r="G12" s="13">
        <v>0</v>
      </c>
      <c r="H12" s="13">
        <v>0</v>
      </c>
      <c r="I12" s="16">
        <f t="shared" si="139"/>
        <v>0</v>
      </c>
      <c r="J12" s="17">
        <f t="shared" si="140"/>
        <v>0</v>
      </c>
      <c r="K12" s="18">
        <f t="shared" si="14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43"/>
        <v>0</v>
      </c>
      <c r="S12" s="35">
        <f t="shared" si="144"/>
        <v>0</v>
      </c>
      <c r="T12" s="35">
        <f t="shared" si="145"/>
        <v>0</v>
      </c>
      <c r="U12" s="19" t="e">
        <f t="shared" si="14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38"/>
        <v>0</v>
      </c>
      <c r="F13" s="13">
        <v>0</v>
      </c>
      <c r="G13" s="13">
        <v>0</v>
      </c>
      <c r="H13" s="13">
        <v>0</v>
      </c>
      <c r="I13" s="16">
        <f t="shared" si="139"/>
        <v>0</v>
      </c>
      <c r="J13" s="17">
        <f t="shared" si="140"/>
        <v>0</v>
      </c>
      <c r="K13" s="18">
        <f t="shared" si="14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43"/>
        <v>0</v>
      </c>
      <c r="S13" s="35">
        <f t="shared" si="144"/>
        <v>0</v>
      </c>
      <c r="T13" s="35">
        <f t="shared" si="145"/>
        <v>0</v>
      </c>
      <c r="U13" s="19" t="e">
        <f t="shared" si="14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38"/>
        <v>0</v>
      </c>
      <c r="F14" s="13">
        <v>0</v>
      </c>
      <c r="G14" s="13">
        <v>0</v>
      </c>
      <c r="H14" s="13">
        <v>0</v>
      </c>
      <c r="I14" s="16">
        <f t="shared" si="139"/>
        <v>0</v>
      </c>
      <c r="J14" s="17">
        <f t="shared" si="140"/>
        <v>0</v>
      </c>
      <c r="K14" s="18">
        <f t="shared" si="14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43"/>
        <v>0</v>
      </c>
      <c r="S14" s="35">
        <f t="shared" si="144"/>
        <v>0</v>
      </c>
      <c r="T14" s="35">
        <f t="shared" si="145"/>
        <v>0</v>
      </c>
      <c r="U14" s="19" t="e">
        <f t="shared" si="14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38"/>
        <v>0</v>
      </c>
      <c r="F15" s="13">
        <v>0</v>
      </c>
      <c r="G15" s="13">
        <v>0</v>
      </c>
      <c r="H15" s="13">
        <v>0</v>
      </c>
      <c r="I15" s="16">
        <f t="shared" si="139"/>
        <v>0</v>
      </c>
      <c r="J15" s="17">
        <f t="shared" si="140"/>
        <v>0</v>
      </c>
      <c r="K15" s="18">
        <f t="shared" si="14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43"/>
        <v>0</v>
      </c>
      <c r="S15" s="35">
        <f t="shared" si="144"/>
        <v>0</v>
      </c>
      <c r="T15" s="35">
        <f t="shared" si="145"/>
        <v>0</v>
      </c>
      <c r="U15" s="19" t="e">
        <f t="shared" si="14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38"/>
        <v>0</v>
      </c>
      <c r="F16" s="13">
        <v>0</v>
      </c>
      <c r="G16" s="13">
        <v>0</v>
      </c>
      <c r="H16" s="13">
        <v>0</v>
      </c>
      <c r="I16" s="16">
        <f t="shared" si="139"/>
        <v>0</v>
      </c>
      <c r="J16" s="17">
        <f t="shared" si="140"/>
        <v>0</v>
      </c>
      <c r="K16" s="18">
        <f t="shared" si="14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43"/>
        <v>0</v>
      </c>
      <c r="S16" s="35">
        <f t="shared" si="144"/>
        <v>0</v>
      </c>
      <c r="T16" s="35">
        <f t="shared" si="145"/>
        <v>0</v>
      </c>
      <c r="U16" s="19" t="e">
        <f t="shared" si="146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138"/>
        <v>0</v>
      </c>
      <c r="F17" s="13">
        <v>50345</v>
      </c>
      <c r="G17" s="13">
        <v>0</v>
      </c>
      <c r="H17" s="13">
        <v>0</v>
      </c>
      <c r="I17" s="16">
        <f t="shared" si="139"/>
        <v>50345</v>
      </c>
      <c r="J17" s="17">
        <f t="shared" si="140"/>
        <v>0</v>
      </c>
      <c r="K17" s="18">
        <f t="shared" si="141"/>
        <v>0</v>
      </c>
      <c r="L17" s="19" t="e">
        <f t="shared" ref="L17:L18" si="147">K17/E17</f>
        <v>#DIV/0!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43"/>
        <v>0</v>
      </c>
      <c r="S17" s="35">
        <f t="shared" si="144"/>
        <v>50345</v>
      </c>
      <c r="T17" s="35">
        <f t="shared" si="145"/>
        <v>50345</v>
      </c>
      <c r="U17" s="19" t="e">
        <f t="shared" si="146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148">SUM(E3:E17)</f>
        <v>2996630.1212656549</v>
      </c>
      <c r="F18" s="21">
        <f t="shared" si="148"/>
        <v>243736</v>
      </c>
      <c r="G18" s="24">
        <f t="shared" si="148"/>
        <v>142753</v>
      </c>
      <c r="H18" s="24">
        <f t="shared" si="148"/>
        <v>0</v>
      </c>
      <c r="I18" s="25">
        <f t="shared" si="148"/>
        <v>243736</v>
      </c>
      <c r="J18" s="26">
        <f t="shared" si="148"/>
        <v>1808304</v>
      </c>
      <c r="K18" s="26">
        <f t="shared" si="148"/>
        <v>185997.78768749547</v>
      </c>
      <c r="L18" s="27">
        <f t="shared" si="147"/>
        <v>0.062068984212485176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43"/>
        <v>0</v>
      </c>
      <c r="S18" s="35">
        <f t="shared" si="144"/>
        <v>386489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5700C0-00F8-45A1-A2FC-006300870035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430061-0041-4CFD-948E-009400E2009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3000A0-0099-4A42-B513-0069005700F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1A001A-0086-40E4-9C20-00440051001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100005-0033-4F76-BE36-0073007E000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CC0055-0029-40DB-8B2A-00C80099001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6D00F3-00B0-4558-8798-001000BE008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H23" activeCellId="0" sqref="H23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73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149">C3*D3</f>
        <v>1655102.6042308819</v>
      </c>
      <c r="F3" s="20">
        <v>55958</v>
      </c>
      <c r="G3" s="44">
        <v>111508</v>
      </c>
      <c r="H3" s="13">
        <v>0</v>
      </c>
      <c r="I3" s="16">
        <f t="shared" ref="I3:I17" si="150">F3+H3</f>
        <v>55958</v>
      </c>
      <c r="J3" s="17">
        <f t="shared" ref="J3:J17" si="151">C3-G3</f>
        <v>460721</v>
      </c>
      <c r="K3" s="18">
        <f t="shared" ref="K3:K17" si="152">+G3*D3</f>
        <v>322523.29258492176</v>
      </c>
      <c r="L3" s="19">
        <f t="shared" ref="L3:L11" si="153">K3/E3</f>
        <v>0.19486604139251945</v>
      </c>
      <c r="M3" s="33">
        <v>0</v>
      </c>
      <c r="N3" s="33">
        <v>203500</v>
      </c>
      <c r="O3" s="33">
        <v>111000</v>
      </c>
      <c r="P3" s="33">
        <v>148000</v>
      </c>
      <c r="Q3" s="33">
        <v>0</v>
      </c>
      <c r="R3" s="34">
        <f t="shared" ref="R3:R18" si="154">M3+N3+O3+P3+Q3</f>
        <v>462500</v>
      </c>
      <c r="S3" s="35">
        <f t="shared" ref="S3:S18" si="155">G3+I3+R3</f>
        <v>629966</v>
      </c>
      <c r="T3" s="35">
        <f t="shared" ref="T3:T17" si="156">S3-C3</f>
        <v>57737</v>
      </c>
      <c r="U3" s="19">
        <f t="shared" ref="U3:U17" si="157">S3/C3</f>
        <v>1.1008984165430273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149"/>
        <v>186188.01610302701</v>
      </c>
      <c r="F4" s="13">
        <v>0</v>
      </c>
      <c r="G4" s="13">
        <v>142753</v>
      </c>
      <c r="H4" s="13">
        <v>0</v>
      </c>
      <c r="I4" s="16">
        <f t="shared" si="150"/>
        <v>0</v>
      </c>
      <c r="J4" s="17">
        <f t="shared" si="151"/>
        <v>146</v>
      </c>
      <c r="K4" s="18">
        <f t="shared" si="152"/>
        <v>185997.78768749547</v>
      </c>
      <c r="L4" s="19">
        <f t="shared" si="153"/>
        <v>0.99897829935828797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54"/>
        <v>0</v>
      </c>
      <c r="S4" s="35">
        <f t="shared" si="155"/>
        <v>142753</v>
      </c>
      <c r="T4" s="35">
        <f t="shared" si="156"/>
        <v>-146</v>
      </c>
      <c r="U4" s="19">
        <f t="shared" si="157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49"/>
        <v>0</v>
      </c>
      <c r="F5" s="13">
        <v>0</v>
      </c>
      <c r="G5" s="13">
        <v>0</v>
      </c>
      <c r="H5" s="13">
        <v>0</v>
      </c>
      <c r="I5" s="16">
        <f t="shared" si="150"/>
        <v>0</v>
      </c>
      <c r="J5" s="17">
        <f t="shared" si="151"/>
        <v>0</v>
      </c>
      <c r="K5" s="18">
        <f t="shared" si="152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54"/>
        <v>0</v>
      </c>
      <c r="S5" s="35">
        <f t="shared" si="155"/>
        <v>0</v>
      </c>
      <c r="T5" s="35">
        <f t="shared" si="156"/>
        <v>0</v>
      </c>
      <c r="U5" s="19" t="e">
        <f t="shared" si="157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149"/>
        <v>392010.61700300599</v>
      </c>
      <c r="F6" s="20">
        <v>158733</v>
      </c>
      <c r="G6" s="43">
        <v>63254</v>
      </c>
      <c r="H6" s="43">
        <v>0</v>
      </c>
      <c r="I6" s="16">
        <f t="shared" si="150"/>
        <v>158733</v>
      </c>
      <c r="J6" s="17">
        <f t="shared" si="151"/>
        <v>279704</v>
      </c>
      <c r="K6" s="18">
        <f t="shared" si="152"/>
        <v>72301.096833746808</v>
      </c>
      <c r="L6" s="19">
        <f t="shared" si="153"/>
        <v>0.18443657823990106</v>
      </c>
      <c r="M6" s="33">
        <v>0</v>
      </c>
      <c r="N6" s="33">
        <v>283500</v>
      </c>
      <c r="O6" s="33">
        <v>63000</v>
      </c>
      <c r="P6" s="33">
        <v>157500</v>
      </c>
      <c r="Q6" s="33">
        <v>0</v>
      </c>
      <c r="R6" s="34">
        <f t="shared" si="154"/>
        <v>504000</v>
      </c>
      <c r="S6" s="35">
        <f t="shared" si="155"/>
        <v>725987</v>
      </c>
      <c r="T6" s="35">
        <f t="shared" si="156"/>
        <v>383029</v>
      </c>
      <c r="U6" s="19">
        <f t="shared" si="157"/>
        <v>2.1168393797491238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149"/>
        <v>238831.89434473185</v>
      </c>
      <c r="F7" s="20">
        <v>84102</v>
      </c>
      <c r="G7" s="13">
        <v>0</v>
      </c>
      <c r="H7" s="13">
        <v>0</v>
      </c>
      <c r="I7" s="16">
        <f t="shared" si="150"/>
        <v>84102</v>
      </c>
      <c r="J7" s="17">
        <f t="shared" si="151"/>
        <v>376571</v>
      </c>
      <c r="K7" s="18">
        <f t="shared" si="152"/>
        <v>0</v>
      </c>
      <c r="L7" s="19">
        <f t="shared" si="153"/>
        <v>0</v>
      </c>
      <c r="M7" s="33">
        <v>0</v>
      </c>
      <c r="N7" s="33">
        <v>609000</v>
      </c>
      <c r="O7" s="33">
        <v>0</v>
      </c>
      <c r="P7" s="33">
        <v>0</v>
      </c>
      <c r="Q7" s="33">
        <v>0</v>
      </c>
      <c r="R7" s="34">
        <f t="shared" si="154"/>
        <v>609000</v>
      </c>
      <c r="S7" s="35">
        <f t="shared" si="155"/>
        <v>693102</v>
      </c>
      <c r="T7" s="35">
        <f t="shared" si="156"/>
        <v>316531</v>
      </c>
      <c r="U7" s="19">
        <f t="shared" si="157"/>
        <v>1.8405612752973544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149"/>
        <v>357411.22353525035</v>
      </c>
      <c r="F8" s="13">
        <v>0</v>
      </c>
      <c r="G8" s="13">
        <v>0</v>
      </c>
      <c r="H8" s="13">
        <v>0</v>
      </c>
      <c r="I8" s="16">
        <f t="shared" si="150"/>
        <v>0</v>
      </c>
      <c r="J8" s="17">
        <f t="shared" si="151"/>
        <v>400000</v>
      </c>
      <c r="K8" s="18">
        <f t="shared" si="152"/>
        <v>0</v>
      </c>
      <c r="L8" s="19">
        <f t="shared" si="153"/>
        <v>0</v>
      </c>
      <c r="M8" s="33">
        <v>0</v>
      </c>
      <c r="N8" s="33">
        <v>391500</v>
      </c>
      <c r="O8" s="33">
        <v>261000</v>
      </c>
      <c r="P8" s="33">
        <v>0</v>
      </c>
      <c r="Q8" s="33">
        <v>0</v>
      </c>
      <c r="R8" s="34">
        <f t="shared" si="154"/>
        <v>652500</v>
      </c>
      <c r="S8" s="35">
        <f t="shared" si="155"/>
        <v>652500</v>
      </c>
      <c r="T8" s="35">
        <f t="shared" si="156"/>
        <v>252500</v>
      </c>
      <c r="U8" s="19">
        <f t="shared" si="157"/>
        <v>1.6312500000000001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149"/>
        <v>82902.257365838552</v>
      </c>
      <c r="F9" s="13">
        <v>0</v>
      </c>
      <c r="G9" s="13">
        <v>0</v>
      </c>
      <c r="H9" s="13">
        <v>0</v>
      </c>
      <c r="I9" s="16">
        <f t="shared" si="150"/>
        <v>0</v>
      </c>
      <c r="J9" s="17">
        <f t="shared" si="151"/>
        <v>77600</v>
      </c>
      <c r="K9" s="18">
        <f t="shared" si="152"/>
        <v>0</v>
      </c>
      <c r="L9" s="19">
        <f t="shared" si="153"/>
        <v>0</v>
      </c>
      <c r="M9" s="33">
        <v>0</v>
      </c>
      <c r="N9" s="33">
        <v>0</v>
      </c>
      <c r="O9" s="33">
        <v>0</v>
      </c>
      <c r="P9" s="33">
        <v>156000</v>
      </c>
      <c r="Q9" s="33">
        <v>0</v>
      </c>
      <c r="R9" s="34">
        <f t="shared" si="154"/>
        <v>156000</v>
      </c>
      <c r="S9" s="35">
        <f t="shared" si="155"/>
        <v>156000</v>
      </c>
      <c r="T9" s="35">
        <f t="shared" si="156"/>
        <v>78400</v>
      </c>
      <c r="U9" s="19">
        <f t="shared" si="157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149"/>
        <v>84183.508682919273</v>
      </c>
      <c r="F10" s="13">
        <v>0</v>
      </c>
      <c r="G10" s="13">
        <v>0</v>
      </c>
      <c r="H10" s="13">
        <v>0</v>
      </c>
      <c r="I10" s="16">
        <f t="shared" si="150"/>
        <v>0</v>
      </c>
      <c r="J10" s="17">
        <f t="shared" si="151"/>
        <v>38800</v>
      </c>
      <c r="K10" s="18">
        <f t="shared" si="152"/>
        <v>0</v>
      </c>
      <c r="L10" s="19">
        <f t="shared" si="153"/>
        <v>0</v>
      </c>
      <c r="M10" s="33">
        <v>0</v>
      </c>
      <c r="N10" s="33">
        <v>6</v>
      </c>
      <c r="O10" s="33">
        <v>0</v>
      </c>
      <c r="P10" s="33">
        <v>38800</v>
      </c>
      <c r="Q10" s="33">
        <v>0</v>
      </c>
      <c r="R10" s="34">
        <f t="shared" si="154"/>
        <v>38806</v>
      </c>
      <c r="S10" s="35">
        <f t="shared" si="155"/>
        <v>38806</v>
      </c>
      <c r="T10" s="35">
        <f t="shared" si="156"/>
        <v>6</v>
      </c>
      <c r="U10" s="19">
        <f t="shared" si="157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49"/>
        <v>0</v>
      </c>
      <c r="F11" s="13">
        <v>0</v>
      </c>
      <c r="G11" s="13">
        <v>0</v>
      </c>
      <c r="H11" s="13">
        <v>0</v>
      </c>
      <c r="I11" s="16">
        <f t="shared" si="150"/>
        <v>0</v>
      </c>
      <c r="J11" s="17">
        <f t="shared" si="151"/>
        <v>0</v>
      </c>
      <c r="K11" s="18">
        <f t="shared" si="152"/>
        <v>0</v>
      </c>
      <c r="L11" s="19" t="e">
        <f t="shared" si="153"/>
        <v>#DIV/0!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54"/>
        <v>0</v>
      </c>
      <c r="S11" s="35">
        <f t="shared" si="155"/>
        <v>0</v>
      </c>
      <c r="T11" s="35">
        <f t="shared" si="156"/>
        <v>0</v>
      </c>
      <c r="U11" s="19" t="e">
        <f t="shared" si="15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49"/>
        <v>0</v>
      </c>
      <c r="F12" s="13">
        <v>0</v>
      </c>
      <c r="G12" s="13">
        <v>0</v>
      </c>
      <c r="H12" s="13">
        <v>0</v>
      </c>
      <c r="I12" s="16">
        <f t="shared" si="150"/>
        <v>0</v>
      </c>
      <c r="J12" s="17">
        <f t="shared" si="151"/>
        <v>0</v>
      </c>
      <c r="K12" s="18">
        <f t="shared" si="152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54"/>
        <v>0</v>
      </c>
      <c r="S12" s="35">
        <f t="shared" si="155"/>
        <v>0</v>
      </c>
      <c r="T12" s="35">
        <f t="shared" si="156"/>
        <v>0</v>
      </c>
      <c r="U12" s="19" t="e">
        <f t="shared" si="15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49"/>
        <v>0</v>
      </c>
      <c r="F13" s="13">
        <v>0</v>
      </c>
      <c r="G13" s="13">
        <v>0</v>
      </c>
      <c r="H13" s="13">
        <v>0</v>
      </c>
      <c r="I13" s="16">
        <f t="shared" si="150"/>
        <v>0</v>
      </c>
      <c r="J13" s="17">
        <f t="shared" si="151"/>
        <v>0</v>
      </c>
      <c r="K13" s="18">
        <f t="shared" si="152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54"/>
        <v>0</v>
      </c>
      <c r="S13" s="35">
        <f t="shared" si="155"/>
        <v>0</v>
      </c>
      <c r="T13" s="35">
        <f t="shared" si="156"/>
        <v>0</v>
      </c>
      <c r="U13" s="19" t="e">
        <f t="shared" si="157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49"/>
        <v>0</v>
      </c>
      <c r="F14" s="13">
        <v>0</v>
      </c>
      <c r="G14" s="13">
        <v>0</v>
      </c>
      <c r="H14" s="13">
        <v>0</v>
      </c>
      <c r="I14" s="16">
        <f t="shared" si="150"/>
        <v>0</v>
      </c>
      <c r="J14" s="17">
        <f t="shared" si="151"/>
        <v>0</v>
      </c>
      <c r="K14" s="18">
        <f t="shared" si="152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54"/>
        <v>0</v>
      </c>
      <c r="S14" s="35">
        <f t="shared" si="155"/>
        <v>0</v>
      </c>
      <c r="T14" s="35">
        <f t="shared" si="156"/>
        <v>0</v>
      </c>
      <c r="U14" s="19" t="e">
        <f t="shared" si="157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49"/>
        <v>0</v>
      </c>
      <c r="F15" s="13">
        <v>0</v>
      </c>
      <c r="G15" s="13">
        <v>0</v>
      </c>
      <c r="H15" s="13">
        <v>0</v>
      </c>
      <c r="I15" s="16">
        <f t="shared" si="150"/>
        <v>0</v>
      </c>
      <c r="J15" s="17">
        <f t="shared" si="151"/>
        <v>0</v>
      </c>
      <c r="K15" s="18">
        <f t="shared" si="152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54"/>
        <v>0</v>
      </c>
      <c r="S15" s="35">
        <f t="shared" si="155"/>
        <v>0</v>
      </c>
      <c r="T15" s="35">
        <f t="shared" si="156"/>
        <v>0</v>
      </c>
      <c r="U15" s="19" t="e">
        <f t="shared" si="157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49"/>
        <v>0</v>
      </c>
      <c r="F16" s="13">
        <v>0</v>
      </c>
      <c r="G16" s="13">
        <v>0</v>
      </c>
      <c r="H16" s="13">
        <v>0</v>
      </c>
      <c r="I16" s="16">
        <f t="shared" si="150"/>
        <v>0</v>
      </c>
      <c r="J16" s="17">
        <f t="shared" si="151"/>
        <v>0</v>
      </c>
      <c r="K16" s="18">
        <f t="shared" si="152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54"/>
        <v>0</v>
      </c>
      <c r="S16" s="35">
        <f t="shared" si="155"/>
        <v>0</v>
      </c>
      <c r="T16" s="35">
        <f t="shared" si="156"/>
        <v>0</v>
      </c>
      <c r="U16" s="19" t="e">
        <f t="shared" si="157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149"/>
        <v>0</v>
      </c>
      <c r="F17" s="13">
        <v>50345</v>
      </c>
      <c r="G17" s="13">
        <v>0</v>
      </c>
      <c r="H17" s="13">
        <v>0</v>
      </c>
      <c r="I17" s="16">
        <f t="shared" si="150"/>
        <v>50345</v>
      </c>
      <c r="J17" s="17">
        <f t="shared" si="151"/>
        <v>0</v>
      </c>
      <c r="K17" s="18">
        <f t="shared" si="152"/>
        <v>0</v>
      </c>
      <c r="L17" s="19" t="e">
        <f t="shared" ref="L17:L18" si="158">K17/E17</f>
        <v>#DIV/0!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54"/>
        <v>0</v>
      </c>
      <c r="S17" s="35">
        <f t="shared" si="155"/>
        <v>50345</v>
      </c>
      <c r="T17" s="35">
        <f t="shared" si="156"/>
        <v>50345</v>
      </c>
      <c r="U17" s="19" t="e">
        <f t="shared" si="157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159">SUM(E3:E17)</f>
        <v>2996630.1212656549</v>
      </c>
      <c r="F18" s="21">
        <f t="shared" si="159"/>
        <v>349138</v>
      </c>
      <c r="G18" s="24">
        <f t="shared" si="159"/>
        <v>317515</v>
      </c>
      <c r="H18" s="24">
        <f t="shared" si="159"/>
        <v>0</v>
      </c>
      <c r="I18" s="25">
        <f t="shared" si="159"/>
        <v>349138</v>
      </c>
      <c r="J18" s="26">
        <f t="shared" si="159"/>
        <v>1633542</v>
      </c>
      <c r="K18" s="26">
        <f t="shared" si="159"/>
        <v>580822.17710616405</v>
      </c>
      <c r="L18" s="27">
        <f t="shared" si="158"/>
        <v>0.19382511474617639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54"/>
        <v>0</v>
      </c>
      <c r="S18" s="35">
        <f t="shared" si="155"/>
        <v>666653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CA0000-0096-4FBD-902A-007B00370001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BC009B-007E-45A7-A5DC-00780073001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0D00BE-0024-478D-BEC9-00CF0063001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100A8-00C3-467F-8DA9-00D000CF00E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CE0083-0067-4DBA-9C37-0067002400F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91003E-00F3-4379-B7F7-005800FB00D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1400F1-0042-4D31-95D9-0083000D005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N6" activeCellId="0" sqref="N6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73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160">C3*D3</f>
        <v>1655102.6042308819</v>
      </c>
      <c r="F3" s="20">
        <v>37077</v>
      </c>
      <c r="G3" s="44">
        <v>111508</v>
      </c>
      <c r="H3" s="13">
        <v>55934</v>
      </c>
      <c r="I3" s="16">
        <f t="shared" ref="I3:I17" si="161">F3+H3</f>
        <v>93011</v>
      </c>
      <c r="J3" s="17">
        <f t="shared" ref="J3:J17" si="162">C3-G3</f>
        <v>460721</v>
      </c>
      <c r="K3" s="18">
        <f t="shared" ref="K3:K17" si="163">+G3*D3</f>
        <v>322523.29258492176</v>
      </c>
      <c r="L3" s="19">
        <f t="shared" ref="L3:L11" si="164">K3/E3</f>
        <v>0.19486604139251945</v>
      </c>
      <c r="M3" s="33">
        <v>0</v>
      </c>
      <c r="N3" s="33">
        <v>203500</v>
      </c>
      <c r="O3" s="33">
        <v>111000</v>
      </c>
      <c r="P3" s="33">
        <v>148000</v>
      </c>
      <c r="Q3" s="33">
        <v>0</v>
      </c>
      <c r="R3" s="34">
        <f t="shared" ref="R3:R18" si="165">M3+N3+O3+P3+Q3</f>
        <v>462500</v>
      </c>
      <c r="S3" s="35">
        <f t="shared" ref="S3:S18" si="166">G3+I3+R3</f>
        <v>667019</v>
      </c>
      <c r="T3" s="35">
        <f t="shared" ref="T3:T17" si="167">S3-C3</f>
        <v>94790</v>
      </c>
      <c r="U3" s="19">
        <f t="shared" ref="U3:U17" si="168">S3/C3</f>
        <v>1.1656504651109958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160"/>
        <v>186188.01610302701</v>
      </c>
      <c r="F4" s="13">
        <v>0</v>
      </c>
      <c r="G4" s="13">
        <v>142753</v>
      </c>
      <c r="H4" s="13">
        <v>0</v>
      </c>
      <c r="I4" s="16">
        <f t="shared" si="161"/>
        <v>0</v>
      </c>
      <c r="J4" s="17">
        <f t="shared" si="162"/>
        <v>146</v>
      </c>
      <c r="K4" s="18">
        <f t="shared" si="163"/>
        <v>185997.78768749547</v>
      </c>
      <c r="L4" s="19">
        <f t="shared" si="164"/>
        <v>0.99897829935828797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165"/>
        <v>0</v>
      </c>
      <c r="S4" s="35">
        <f t="shared" si="166"/>
        <v>142753</v>
      </c>
      <c r="T4" s="35">
        <f t="shared" si="167"/>
        <v>-146</v>
      </c>
      <c r="U4" s="19">
        <f t="shared" si="168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60"/>
        <v>0</v>
      </c>
      <c r="F5" s="13">
        <v>0</v>
      </c>
      <c r="G5" s="13">
        <v>0</v>
      </c>
      <c r="H5" s="13">
        <v>0</v>
      </c>
      <c r="I5" s="16">
        <f t="shared" si="161"/>
        <v>0</v>
      </c>
      <c r="J5" s="17">
        <f t="shared" si="162"/>
        <v>0</v>
      </c>
      <c r="K5" s="18">
        <f t="shared" si="163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165"/>
        <v>0</v>
      </c>
      <c r="S5" s="35">
        <f t="shared" si="166"/>
        <v>0</v>
      </c>
      <c r="T5" s="35">
        <f t="shared" si="167"/>
        <v>0</v>
      </c>
      <c r="U5" s="19" t="e">
        <f t="shared" si="168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160"/>
        <v>392010.61700300599</v>
      </c>
      <c r="F6" s="20">
        <v>63241</v>
      </c>
      <c r="G6" s="43">
        <v>221987</v>
      </c>
      <c r="H6" s="43">
        <v>0</v>
      </c>
      <c r="I6" s="16">
        <f t="shared" si="161"/>
        <v>63241</v>
      </c>
      <c r="J6" s="17">
        <f t="shared" si="162"/>
        <v>120971</v>
      </c>
      <c r="K6" s="18">
        <f t="shared" si="163"/>
        <v>253737.36969729906</v>
      </c>
      <c r="L6" s="19">
        <f t="shared" si="164"/>
        <v>0.6472716775815115</v>
      </c>
      <c r="M6" s="33">
        <v>0</v>
      </c>
      <c r="N6" s="33">
        <v>283500</v>
      </c>
      <c r="O6" s="33">
        <v>63000</v>
      </c>
      <c r="P6" s="33">
        <v>157500</v>
      </c>
      <c r="Q6" s="33">
        <v>0</v>
      </c>
      <c r="R6" s="34">
        <f t="shared" si="165"/>
        <v>504000</v>
      </c>
      <c r="S6" s="35">
        <f t="shared" si="166"/>
        <v>789228</v>
      </c>
      <c r="T6" s="35">
        <f t="shared" si="167"/>
        <v>446270</v>
      </c>
      <c r="U6" s="19">
        <f t="shared" si="168"/>
        <v>2.3012380524728977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160"/>
        <v>238831.89434473185</v>
      </c>
      <c r="F7" s="20">
        <v>0</v>
      </c>
      <c r="G7" s="13">
        <v>0</v>
      </c>
      <c r="H7" s="13">
        <v>84102</v>
      </c>
      <c r="I7" s="16">
        <f t="shared" si="161"/>
        <v>84102</v>
      </c>
      <c r="J7" s="17">
        <f t="shared" si="162"/>
        <v>376571</v>
      </c>
      <c r="K7" s="18">
        <f t="shared" si="163"/>
        <v>0</v>
      </c>
      <c r="L7" s="19">
        <f t="shared" si="164"/>
        <v>0</v>
      </c>
      <c r="M7" s="33">
        <v>0</v>
      </c>
      <c r="N7" s="33">
        <v>609000</v>
      </c>
      <c r="O7" s="33">
        <v>0</v>
      </c>
      <c r="P7" s="33">
        <v>0</v>
      </c>
      <c r="Q7" s="33">
        <v>0</v>
      </c>
      <c r="R7" s="34">
        <f t="shared" si="165"/>
        <v>609000</v>
      </c>
      <c r="S7" s="35">
        <f t="shared" si="166"/>
        <v>693102</v>
      </c>
      <c r="T7" s="35">
        <f t="shared" si="167"/>
        <v>316531</v>
      </c>
      <c r="U7" s="19">
        <f t="shared" si="168"/>
        <v>1.8405612752973544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160"/>
        <v>357411.22353525035</v>
      </c>
      <c r="F8" s="43">
        <v>263293</v>
      </c>
      <c r="G8" s="13">
        <v>0</v>
      </c>
      <c r="H8" s="13">
        <v>0</v>
      </c>
      <c r="I8" s="16">
        <f t="shared" si="161"/>
        <v>263293</v>
      </c>
      <c r="J8" s="17">
        <f t="shared" si="162"/>
        <v>400000</v>
      </c>
      <c r="K8" s="18">
        <f t="shared" si="163"/>
        <v>0</v>
      </c>
      <c r="L8" s="19">
        <f t="shared" si="164"/>
        <v>0</v>
      </c>
      <c r="M8" s="33">
        <v>0</v>
      </c>
      <c r="N8" s="33">
        <v>391500</v>
      </c>
      <c r="O8" s="33">
        <v>261000</v>
      </c>
      <c r="P8" s="33">
        <v>0</v>
      </c>
      <c r="Q8" s="33">
        <v>0</v>
      </c>
      <c r="R8" s="34">
        <f t="shared" si="165"/>
        <v>652500</v>
      </c>
      <c r="S8" s="35">
        <f t="shared" si="166"/>
        <v>915793</v>
      </c>
      <c r="T8" s="35">
        <f t="shared" si="167"/>
        <v>515793</v>
      </c>
      <c r="U8" s="19">
        <f t="shared" si="168"/>
        <v>2.2894825000000001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160"/>
        <v>82902.257365838552</v>
      </c>
      <c r="F9" s="13">
        <v>0</v>
      </c>
      <c r="G9" s="13">
        <v>0</v>
      </c>
      <c r="H9" s="13">
        <v>0</v>
      </c>
      <c r="I9" s="16">
        <f t="shared" si="161"/>
        <v>0</v>
      </c>
      <c r="J9" s="17">
        <f t="shared" si="162"/>
        <v>77600</v>
      </c>
      <c r="K9" s="18">
        <f t="shared" si="163"/>
        <v>0</v>
      </c>
      <c r="L9" s="19">
        <f t="shared" si="164"/>
        <v>0</v>
      </c>
      <c r="M9" s="33">
        <v>0</v>
      </c>
      <c r="N9" s="33">
        <v>0</v>
      </c>
      <c r="O9" s="33">
        <v>0</v>
      </c>
      <c r="P9" s="33">
        <v>156000</v>
      </c>
      <c r="Q9" s="33">
        <v>0</v>
      </c>
      <c r="R9" s="34">
        <f t="shared" si="165"/>
        <v>156000</v>
      </c>
      <c r="S9" s="35">
        <f t="shared" si="166"/>
        <v>156000</v>
      </c>
      <c r="T9" s="35">
        <f t="shared" si="167"/>
        <v>78400</v>
      </c>
      <c r="U9" s="19">
        <f t="shared" si="168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160"/>
        <v>84183.508682919273</v>
      </c>
      <c r="F10" s="13">
        <v>0</v>
      </c>
      <c r="G10" s="13">
        <v>0</v>
      </c>
      <c r="H10" s="13">
        <v>0</v>
      </c>
      <c r="I10" s="16">
        <f t="shared" si="161"/>
        <v>0</v>
      </c>
      <c r="J10" s="17">
        <f t="shared" si="162"/>
        <v>38800</v>
      </c>
      <c r="K10" s="18">
        <f t="shared" si="163"/>
        <v>0</v>
      </c>
      <c r="L10" s="19">
        <f t="shared" si="164"/>
        <v>0</v>
      </c>
      <c r="M10" s="33">
        <v>0</v>
      </c>
      <c r="N10" s="33">
        <v>6</v>
      </c>
      <c r="O10" s="33">
        <v>0</v>
      </c>
      <c r="P10" s="33">
        <v>38800</v>
      </c>
      <c r="Q10" s="33">
        <v>0</v>
      </c>
      <c r="R10" s="34">
        <f t="shared" si="165"/>
        <v>38806</v>
      </c>
      <c r="S10" s="35">
        <f t="shared" si="166"/>
        <v>38806</v>
      </c>
      <c r="T10" s="35">
        <f t="shared" si="167"/>
        <v>6</v>
      </c>
      <c r="U10" s="19">
        <f t="shared" si="168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60"/>
        <v>0</v>
      </c>
      <c r="F11" s="13">
        <v>0</v>
      </c>
      <c r="G11" s="13">
        <v>0</v>
      </c>
      <c r="H11" s="13">
        <v>0</v>
      </c>
      <c r="I11" s="16">
        <f t="shared" si="161"/>
        <v>0</v>
      </c>
      <c r="J11" s="17">
        <f t="shared" si="162"/>
        <v>0</v>
      </c>
      <c r="K11" s="18">
        <f t="shared" si="163"/>
        <v>0</v>
      </c>
      <c r="L11" s="19" t="e">
        <f t="shared" si="164"/>
        <v>#DIV/0!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165"/>
        <v>0</v>
      </c>
      <c r="S11" s="35">
        <f t="shared" si="166"/>
        <v>0</v>
      </c>
      <c r="T11" s="35">
        <f t="shared" si="167"/>
        <v>0</v>
      </c>
      <c r="U11" s="19" t="e">
        <f t="shared" si="168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60"/>
        <v>0</v>
      </c>
      <c r="F12" s="13">
        <v>0</v>
      </c>
      <c r="G12" s="13">
        <v>0</v>
      </c>
      <c r="H12" s="13">
        <v>0</v>
      </c>
      <c r="I12" s="16">
        <f t="shared" si="161"/>
        <v>0</v>
      </c>
      <c r="J12" s="17">
        <f t="shared" si="162"/>
        <v>0</v>
      </c>
      <c r="K12" s="18">
        <f t="shared" si="163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165"/>
        <v>0</v>
      </c>
      <c r="S12" s="35">
        <f t="shared" si="166"/>
        <v>0</v>
      </c>
      <c r="T12" s="35">
        <f t="shared" si="167"/>
        <v>0</v>
      </c>
      <c r="U12" s="19" t="e">
        <f t="shared" si="16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60"/>
        <v>0</v>
      </c>
      <c r="F13" s="13">
        <v>0</v>
      </c>
      <c r="G13" s="13">
        <v>0</v>
      </c>
      <c r="H13" s="13">
        <v>0</v>
      </c>
      <c r="I13" s="16">
        <f t="shared" si="161"/>
        <v>0</v>
      </c>
      <c r="J13" s="17">
        <f t="shared" si="162"/>
        <v>0</v>
      </c>
      <c r="K13" s="18">
        <f t="shared" si="163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165"/>
        <v>0</v>
      </c>
      <c r="S13" s="35">
        <f t="shared" si="166"/>
        <v>0</v>
      </c>
      <c r="T13" s="35">
        <f t="shared" si="167"/>
        <v>0</v>
      </c>
      <c r="U13" s="19" t="e">
        <f t="shared" si="168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60"/>
        <v>0</v>
      </c>
      <c r="F14" s="13">
        <v>0</v>
      </c>
      <c r="G14" s="13">
        <v>0</v>
      </c>
      <c r="H14" s="13">
        <v>0</v>
      </c>
      <c r="I14" s="16">
        <f t="shared" si="161"/>
        <v>0</v>
      </c>
      <c r="J14" s="17">
        <f t="shared" si="162"/>
        <v>0</v>
      </c>
      <c r="K14" s="18">
        <f t="shared" si="163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165"/>
        <v>0</v>
      </c>
      <c r="S14" s="35">
        <f t="shared" si="166"/>
        <v>0</v>
      </c>
      <c r="T14" s="35">
        <f t="shared" si="167"/>
        <v>0</v>
      </c>
      <c r="U14" s="19" t="e">
        <f t="shared" si="168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60"/>
        <v>0</v>
      </c>
      <c r="F15" s="13">
        <v>0</v>
      </c>
      <c r="G15" s="13">
        <v>0</v>
      </c>
      <c r="H15" s="13">
        <v>0</v>
      </c>
      <c r="I15" s="16">
        <f t="shared" si="161"/>
        <v>0</v>
      </c>
      <c r="J15" s="17">
        <f t="shared" si="162"/>
        <v>0</v>
      </c>
      <c r="K15" s="18">
        <f t="shared" si="163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165"/>
        <v>0</v>
      </c>
      <c r="S15" s="35">
        <f t="shared" si="166"/>
        <v>0</v>
      </c>
      <c r="T15" s="35">
        <f t="shared" si="167"/>
        <v>0</v>
      </c>
      <c r="U15" s="19" t="e">
        <f t="shared" si="168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60"/>
        <v>0</v>
      </c>
      <c r="F16" s="13">
        <v>0</v>
      </c>
      <c r="G16" s="13">
        <v>0</v>
      </c>
      <c r="H16" s="13">
        <v>0</v>
      </c>
      <c r="I16" s="16">
        <f t="shared" si="161"/>
        <v>0</v>
      </c>
      <c r="J16" s="17">
        <f t="shared" si="162"/>
        <v>0</v>
      </c>
      <c r="K16" s="18">
        <f t="shared" si="163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165"/>
        <v>0</v>
      </c>
      <c r="S16" s="35">
        <f t="shared" si="166"/>
        <v>0</v>
      </c>
      <c r="T16" s="35">
        <f t="shared" si="167"/>
        <v>0</v>
      </c>
      <c r="U16" s="19" t="e">
        <f t="shared" si="168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160"/>
        <v>0</v>
      </c>
      <c r="F17" s="13">
        <v>50345</v>
      </c>
      <c r="G17" s="13">
        <v>0</v>
      </c>
      <c r="H17" s="13">
        <v>0</v>
      </c>
      <c r="I17" s="16">
        <f t="shared" si="161"/>
        <v>50345</v>
      </c>
      <c r="J17" s="17">
        <f t="shared" si="162"/>
        <v>0</v>
      </c>
      <c r="K17" s="18">
        <f t="shared" si="163"/>
        <v>0</v>
      </c>
      <c r="L17" s="19" t="e">
        <f t="shared" ref="L17:L18" si="169">K17/E17</f>
        <v>#DIV/0!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165"/>
        <v>0</v>
      </c>
      <c r="S17" s="35">
        <f t="shared" si="166"/>
        <v>50345</v>
      </c>
      <c r="T17" s="35">
        <f t="shared" si="167"/>
        <v>50345</v>
      </c>
      <c r="U17" s="19" t="e">
        <f t="shared" si="168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170">SUM(E3:E17)</f>
        <v>2996630.1212656549</v>
      </c>
      <c r="F18" s="21">
        <f t="shared" si="170"/>
        <v>413956</v>
      </c>
      <c r="G18" s="24">
        <f t="shared" si="170"/>
        <v>476248</v>
      </c>
      <c r="H18" s="24">
        <f t="shared" si="170"/>
        <v>140036</v>
      </c>
      <c r="I18" s="25">
        <f t="shared" si="170"/>
        <v>553992</v>
      </c>
      <c r="J18" s="26">
        <f t="shared" si="170"/>
        <v>1474809</v>
      </c>
      <c r="K18" s="26">
        <f t="shared" si="170"/>
        <v>762258.44996971625</v>
      </c>
      <c r="L18" s="27">
        <f t="shared" si="169"/>
        <v>0.25437188412421391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165"/>
        <v>0</v>
      </c>
      <c r="S18" s="35">
        <f t="shared" si="166"/>
        <v>1030240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800011-00F8-4985-858C-004F00C20011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BA00A4-00BC-49DF-BD5B-00390078001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4700C2-0079-46F0-8E23-003B00FC00B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9800CC-001C-4987-88F5-002B0045008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3000E4-003A-4014-AE64-0029001C00D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91004C-00AA-4BD9-823B-0006001D00B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8800DD-0084-4701-A097-00C2008800A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J27" activeCellId="0" sqref="J27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74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171">C3*D3</f>
        <v>1655102.6042308819</v>
      </c>
      <c r="F3" s="13">
        <v>0</v>
      </c>
      <c r="G3" s="44">
        <v>167442</v>
      </c>
      <c r="H3" s="13">
        <v>37077</v>
      </c>
      <c r="I3" s="16">
        <f t="shared" ref="I3:I17" si="172">F3+H3</f>
        <v>37077</v>
      </c>
      <c r="J3" s="17">
        <f t="shared" ref="J3:J17" si="173">C3-G3</f>
        <v>404787</v>
      </c>
      <c r="K3" s="18">
        <f t="shared" ref="K3:K17" si="174">+G3*D3</f>
        <v>484305.56692797347</v>
      </c>
      <c r="L3" s="19">
        <f t="shared" ref="L3:L11" si="175">K3/E3</f>
        <v>0.2926136214697263</v>
      </c>
      <c r="M3" s="34">
        <v>0</v>
      </c>
      <c r="N3" s="34">
        <v>0</v>
      </c>
      <c r="O3" s="34">
        <v>240500</v>
      </c>
      <c r="P3" s="34">
        <v>148000</v>
      </c>
      <c r="Q3" s="34">
        <v>0</v>
      </c>
      <c r="R3" s="34">
        <f t="shared" ref="R3:R18" si="176">M3+N3+O3+P3+Q3</f>
        <v>388500</v>
      </c>
      <c r="S3" s="35">
        <f t="shared" ref="S3:S18" si="177">G3+I3+R3</f>
        <v>593019</v>
      </c>
      <c r="T3" s="35">
        <f t="shared" ref="T3:T17" si="178">S3-C3</f>
        <v>20790</v>
      </c>
      <c r="U3" s="19">
        <f t="shared" ref="U3:U17" si="179">S3/C3</f>
        <v>1.0363316084993945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171"/>
        <v>186188.01610302701</v>
      </c>
      <c r="F4" s="13">
        <v>0</v>
      </c>
      <c r="G4" s="13">
        <v>142753</v>
      </c>
      <c r="H4" s="13">
        <v>0</v>
      </c>
      <c r="I4" s="16">
        <f t="shared" si="172"/>
        <v>0</v>
      </c>
      <c r="J4" s="17">
        <f t="shared" si="173"/>
        <v>146</v>
      </c>
      <c r="K4" s="18">
        <f t="shared" si="174"/>
        <v>185997.78768749547</v>
      </c>
      <c r="L4" s="19">
        <f t="shared" si="175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176"/>
        <v>0</v>
      </c>
      <c r="S4" s="35">
        <f t="shared" si="177"/>
        <v>142753</v>
      </c>
      <c r="T4" s="35">
        <f t="shared" si="178"/>
        <v>-146</v>
      </c>
      <c r="U4" s="19">
        <f t="shared" si="179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71"/>
        <v>0</v>
      </c>
      <c r="F5" s="13">
        <v>0</v>
      </c>
      <c r="G5" s="13">
        <v>0</v>
      </c>
      <c r="H5" s="13">
        <v>0</v>
      </c>
      <c r="I5" s="16">
        <f t="shared" si="172"/>
        <v>0</v>
      </c>
      <c r="J5" s="17">
        <f t="shared" si="173"/>
        <v>0</v>
      </c>
      <c r="K5" s="18">
        <f t="shared" si="174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176"/>
        <v>0</v>
      </c>
      <c r="S5" s="35">
        <f t="shared" si="177"/>
        <v>0</v>
      </c>
      <c r="T5" s="35">
        <f t="shared" si="178"/>
        <v>0</v>
      </c>
      <c r="U5" s="19" t="e">
        <f t="shared" si="179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171"/>
        <v>392010.61700300599</v>
      </c>
      <c r="F6" s="13">
        <v>0</v>
      </c>
      <c r="G6" s="44">
        <v>221987</v>
      </c>
      <c r="H6" s="44">
        <v>63241</v>
      </c>
      <c r="I6" s="16">
        <f t="shared" si="172"/>
        <v>63241</v>
      </c>
      <c r="J6" s="17">
        <f t="shared" si="173"/>
        <v>120971</v>
      </c>
      <c r="K6" s="18">
        <f t="shared" si="174"/>
        <v>253737.36969729906</v>
      </c>
      <c r="L6" s="19">
        <f t="shared" si="175"/>
        <v>0.6472716775815115</v>
      </c>
      <c r="M6" s="34">
        <v>0</v>
      </c>
      <c r="N6" s="34">
        <v>0</v>
      </c>
      <c r="O6" s="34">
        <v>126000</v>
      </c>
      <c r="P6" s="34">
        <v>157500</v>
      </c>
      <c r="Q6" s="34">
        <v>0</v>
      </c>
      <c r="R6" s="34">
        <f t="shared" si="176"/>
        <v>283500</v>
      </c>
      <c r="S6" s="35">
        <f t="shared" si="177"/>
        <v>568728</v>
      </c>
      <c r="T6" s="35">
        <f t="shared" si="178"/>
        <v>225770</v>
      </c>
      <c r="U6" s="19">
        <f t="shared" si="179"/>
        <v>1.6583021827745672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171"/>
        <v>238831.89434473185</v>
      </c>
      <c r="F7" s="13">
        <v>0</v>
      </c>
      <c r="G7" s="13">
        <v>84102</v>
      </c>
      <c r="H7" s="13">
        <v>0</v>
      </c>
      <c r="I7" s="16">
        <f t="shared" si="172"/>
        <v>0</v>
      </c>
      <c r="J7" s="17">
        <f t="shared" si="173"/>
        <v>292469</v>
      </c>
      <c r="K7" s="18">
        <f t="shared" si="174"/>
        <v>53339.84820440405</v>
      </c>
      <c r="L7" s="19">
        <f t="shared" si="175"/>
        <v>0.2233363695026967</v>
      </c>
      <c r="M7" s="34">
        <v>0</v>
      </c>
      <c r="N7" s="34">
        <v>0</v>
      </c>
      <c r="O7" s="34">
        <v>522000</v>
      </c>
      <c r="P7" s="34">
        <v>0</v>
      </c>
      <c r="Q7" s="34">
        <v>0</v>
      </c>
      <c r="R7" s="34">
        <f t="shared" si="176"/>
        <v>522000</v>
      </c>
      <c r="S7" s="35">
        <f t="shared" si="177"/>
        <v>606102</v>
      </c>
      <c r="T7" s="35">
        <f t="shared" si="178"/>
        <v>229531</v>
      </c>
      <c r="U7" s="19">
        <f t="shared" si="179"/>
        <v>1.6095291458981176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171"/>
        <v>357411.22353525035</v>
      </c>
      <c r="F8" s="44">
        <v>130747</v>
      </c>
      <c r="G8" s="13">
        <v>0</v>
      </c>
      <c r="H8" s="44">
        <v>263293</v>
      </c>
      <c r="I8" s="16">
        <f t="shared" si="172"/>
        <v>394040</v>
      </c>
      <c r="J8" s="17">
        <f t="shared" si="173"/>
        <v>400000</v>
      </c>
      <c r="K8" s="18">
        <f t="shared" si="174"/>
        <v>0</v>
      </c>
      <c r="L8" s="19">
        <f t="shared" si="175"/>
        <v>0</v>
      </c>
      <c r="M8" s="34">
        <v>0</v>
      </c>
      <c r="N8" s="34">
        <v>0</v>
      </c>
      <c r="O8" s="34">
        <v>261000</v>
      </c>
      <c r="P8" s="34">
        <v>0</v>
      </c>
      <c r="Q8" s="34">
        <v>0</v>
      </c>
      <c r="R8" s="34">
        <f t="shared" si="176"/>
        <v>261000</v>
      </c>
      <c r="S8" s="35">
        <f t="shared" si="177"/>
        <v>655040</v>
      </c>
      <c r="T8" s="35">
        <f t="shared" si="178"/>
        <v>255040</v>
      </c>
      <c r="U8" s="19">
        <f t="shared" si="179"/>
        <v>1.6375999999999999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171"/>
        <v>82902.257365838552</v>
      </c>
      <c r="F9" s="13">
        <v>0</v>
      </c>
      <c r="G9" s="13">
        <v>0</v>
      </c>
      <c r="H9" s="13">
        <v>0</v>
      </c>
      <c r="I9" s="16">
        <f t="shared" si="172"/>
        <v>0</v>
      </c>
      <c r="J9" s="17">
        <f t="shared" si="173"/>
        <v>77600</v>
      </c>
      <c r="K9" s="18">
        <f t="shared" si="174"/>
        <v>0</v>
      </c>
      <c r="L9" s="19">
        <f t="shared" si="175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176"/>
        <v>156000</v>
      </c>
      <c r="S9" s="35">
        <f t="shared" si="177"/>
        <v>156000</v>
      </c>
      <c r="T9" s="35">
        <f t="shared" si="178"/>
        <v>78400</v>
      </c>
      <c r="U9" s="19">
        <f t="shared" si="179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171"/>
        <v>84183.508682919273</v>
      </c>
      <c r="F10" s="13">
        <v>0</v>
      </c>
      <c r="G10" s="13">
        <v>0</v>
      </c>
      <c r="H10" s="13">
        <v>0</v>
      </c>
      <c r="I10" s="16">
        <f t="shared" si="172"/>
        <v>0</v>
      </c>
      <c r="J10" s="17">
        <f t="shared" si="173"/>
        <v>38800</v>
      </c>
      <c r="K10" s="18">
        <f t="shared" si="174"/>
        <v>0</v>
      </c>
      <c r="L10" s="19">
        <f t="shared" si="175"/>
        <v>0</v>
      </c>
      <c r="M10" s="34">
        <v>0</v>
      </c>
      <c r="N10" s="34">
        <v>6</v>
      </c>
      <c r="O10" s="34">
        <v>0</v>
      </c>
      <c r="P10" s="34">
        <v>38800</v>
      </c>
      <c r="Q10" s="34">
        <v>0</v>
      </c>
      <c r="R10" s="34">
        <f t="shared" si="176"/>
        <v>38806</v>
      </c>
      <c r="S10" s="35">
        <f t="shared" si="177"/>
        <v>38806</v>
      </c>
      <c r="T10" s="35">
        <f t="shared" si="178"/>
        <v>6</v>
      </c>
      <c r="U10" s="19">
        <f t="shared" si="179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71"/>
        <v>0</v>
      </c>
      <c r="F11" s="13">
        <v>0</v>
      </c>
      <c r="G11" s="13">
        <v>0</v>
      </c>
      <c r="H11" s="13">
        <v>0</v>
      </c>
      <c r="I11" s="16">
        <f t="shared" si="172"/>
        <v>0</v>
      </c>
      <c r="J11" s="17">
        <f t="shared" si="173"/>
        <v>0</v>
      </c>
      <c r="K11" s="18">
        <f t="shared" si="174"/>
        <v>0</v>
      </c>
      <c r="L11" s="19" t="e">
        <f t="shared" si="175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76"/>
        <v>0</v>
      </c>
      <c r="S11" s="35">
        <f t="shared" si="177"/>
        <v>0</v>
      </c>
      <c r="T11" s="35">
        <f t="shared" si="178"/>
        <v>0</v>
      </c>
      <c r="U11" s="19" t="e">
        <f t="shared" si="17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71"/>
        <v>0</v>
      </c>
      <c r="F12" s="13">
        <v>0</v>
      </c>
      <c r="G12" s="13">
        <v>0</v>
      </c>
      <c r="H12" s="13">
        <v>0</v>
      </c>
      <c r="I12" s="16">
        <f t="shared" si="172"/>
        <v>0</v>
      </c>
      <c r="J12" s="17">
        <f t="shared" si="173"/>
        <v>0</v>
      </c>
      <c r="K12" s="18">
        <f t="shared" si="174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76"/>
        <v>0</v>
      </c>
      <c r="S12" s="35">
        <f t="shared" si="177"/>
        <v>0</v>
      </c>
      <c r="T12" s="35">
        <f t="shared" si="178"/>
        <v>0</v>
      </c>
      <c r="U12" s="19" t="e">
        <f t="shared" si="17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71"/>
        <v>0</v>
      </c>
      <c r="F13" s="13">
        <v>0</v>
      </c>
      <c r="G13" s="13">
        <v>0</v>
      </c>
      <c r="H13" s="13">
        <v>0</v>
      </c>
      <c r="I13" s="16">
        <f t="shared" si="172"/>
        <v>0</v>
      </c>
      <c r="J13" s="17">
        <f t="shared" si="173"/>
        <v>0</v>
      </c>
      <c r="K13" s="18">
        <f t="shared" si="17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76"/>
        <v>0</v>
      </c>
      <c r="S13" s="35">
        <f t="shared" si="177"/>
        <v>0</v>
      </c>
      <c r="T13" s="35">
        <f t="shared" si="178"/>
        <v>0</v>
      </c>
      <c r="U13" s="19" t="e">
        <f t="shared" si="179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71"/>
        <v>0</v>
      </c>
      <c r="F14" s="13">
        <v>0</v>
      </c>
      <c r="G14" s="13">
        <v>0</v>
      </c>
      <c r="H14" s="13">
        <v>0</v>
      </c>
      <c r="I14" s="16">
        <f t="shared" si="172"/>
        <v>0</v>
      </c>
      <c r="J14" s="17">
        <f t="shared" si="173"/>
        <v>0</v>
      </c>
      <c r="K14" s="18">
        <f t="shared" si="17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76"/>
        <v>0</v>
      </c>
      <c r="S14" s="35">
        <f t="shared" si="177"/>
        <v>0</v>
      </c>
      <c r="T14" s="35">
        <f t="shared" si="178"/>
        <v>0</v>
      </c>
      <c r="U14" s="19" t="e">
        <f t="shared" si="179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71"/>
        <v>0</v>
      </c>
      <c r="F15" s="13">
        <v>0</v>
      </c>
      <c r="G15" s="13">
        <v>0</v>
      </c>
      <c r="H15" s="13">
        <v>0</v>
      </c>
      <c r="I15" s="16">
        <f t="shared" si="172"/>
        <v>0</v>
      </c>
      <c r="J15" s="17">
        <f t="shared" si="173"/>
        <v>0</v>
      </c>
      <c r="K15" s="18">
        <f t="shared" si="17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76"/>
        <v>0</v>
      </c>
      <c r="S15" s="35">
        <f t="shared" si="177"/>
        <v>0</v>
      </c>
      <c r="T15" s="35">
        <f t="shared" si="178"/>
        <v>0</v>
      </c>
      <c r="U15" s="19" t="e">
        <f t="shared" si="179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71"/>
        <v>0</v>
      </c>
      <c r="F16" s="13">
        <v>0</v>
      </c>
      <c r="G16" s="13">
        <v>0</v>
      </c>
      <c r="H16" s="13">
        <v>0</v>
      </c>
      <c r="I16" s="16">
        <f t="shared" si="172"/>
        <v>0</v>
      </c>
      <c r="J16" s="17">
        <f t="shared" si="173"/>
        <v>0</v>
      </c>
      <c r="K16" s="18">
        <f t="shared" si="174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76"/>
        <v>0</v>
      </c>
      <c r="S16" s="35">
        <f t="shared" si="177"/>
        <v>0</v>
      </c>
      <c r="T16" s="35">
        <f t="shared" si="178"/>
        <v>0</v>
      </c>
      <c r="U16" s="19" t="e">
        <f t="shared" si="179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171"/>
        <v>0</v>
      </c>
      <c r="F17" s="13">
        <v>50345</v>
      </c>
      <c r="G17" s="13">
        <v>0</v>
      </c>
      <c r="H17" s="13">
        <v>0</v>
      </c>
      <c r="I17" s="16">
        <f t="shared" si="172"/>
        <v>50345</v>
      </c>
      <c r="J17" s="17">
        <f t="shared" si="173"/>
        <v>0</v>
      </c>
      <c r="K17" s="18">
        <f t="shared" si="174"/>
        <v>0</v>
      </c>
      <c r="L17" s="19" t="e">
        <f t="shared" ref="L17:L18" si="180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76"/>
        <v>0</v>
      </c>
      <c r="S17" s="35">
        <f t="shared" si="177"/>
        <v>50345</v>
      </c>
      <c r="T17" s="35">
        <f t="shared" si="178"/>
        <v>50345</v>
      </c>
      <c r="U17" s="19" t="e">
        <f t="shared" si="179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181">SUM(E3:E17)</f>
        <v>2996630.1212656549</v>
      </c>
      <c r="F18" s="24">
        <f t="shared" si="181"/>
        <v>181092</v>
      </c>
      <c r="G18" s="24">
        <f t="shared" si="181"/>
        <v>616284</v>
      </c>
      <c r="H18" s="24">
        <f t="shared" si="181"/>
        <v>363611</v>
      </c>
      <c r="I18" s="25">
        <f t="shared" si="181"/>
        <v>544703</v>
      </c>
      <c r="J18" s="26">
        <f t="shared" si="181"/>
        <v>1334773</v>
      </c>
      <c r="K18" s="26">
        <f t="shared" si="181"/>
        <v>977380.57251717208</v>
      </c>
      <c r="L18" s="27">
        <f t="shared" si="180"/>
        <v>0.32615989727299616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76"/>
        <v>0</v>
      </c>
      <c r="S18" s="35">
        <f t="shared" si="177"/>
        <v>1160987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0300E9-000C-4825-BDD1-0040000800C9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00006C-004C-494D-AC82-00670012002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C300D4-00DF-431C-A124-00920072006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E300F0-0037-411A-B3E0-00590096006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650068-001E-4C3D-A4C1-00340030003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85007D-000E-441B-903F-00A200CF003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560060-009C-43EF-B4DB-00C80010008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O11" activeCellId="0" sqref="O1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75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182">C3*D3</f>
        <v>1655102.6042308819</v>
      </c>
      <c r="F3" s="13">
        <v>0</v>
      </c>
      <c r="G3" s="44">
        <v>167442</v>
      </c>
      <c r="H3" s="13">
        <v>37077</v>
      </c>
      <c r="I3" s="16">
        <f t="shared" ref="I3:I17" si="183">F3+H3</f>
        <v>37077</v>
      </c>
      <c r="J3" s="17">
        <f t="shared" ref="J3:J17" si="184">C3-G3</f>
        <v>404787</v>
      </c>
      <c r="K3" s="18">
        <f t="shared" ref="K3:K17" si="185">+G3*D3</f>
        <v>484305.56692797347</v>
      </c>
      <c r="L3" s="19">
        <f t="shared" ref="L3:L11" si="186">K3/E3</f>
        <v>0.2926136214697263</v>
      </c>
      <c r="M3" s="34">
        <v>0</v>
      </c>
      <c r="N3" s="34">
        <v>0</v>
      </c>
      <c r="O3" s="34">
        <v>240500</v>
      </c>
      <c r="P3" s="34">
        <v>148000</v>
      </c>
      <c r="Q3" s="34">
        <v>0</v>
      </c>
      <c r="R3" s="34">
        <f t="shared" ref="R3:R18" si="187">M3+N3+O3+P3+Q3</f>
        <v>388500</v>
      </c>
      <c r="S3" s="35">
        <f t="shared" ref="S3:S18" si="188">G3+I3+R3</f>
        <v>593019</v>
      </c>
      <c r="T3" s="35">
        <f t="shared" ref="T3:T17" si="189">S3-C3</f>
        <v>20790</v>
      </c>
      <c r="U3" s="19">
        <f t="shared" ref="U3:U17" si="190">S3/C3</f>
        <v>1.0363316084993945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182"/>
        <v>186188.01610302701</v>
      </c>
      <c r="F4" s="13">
        <v>0</v>
      </c>
      <c r="G4" s="13">
        <v>142753</v>
      </c>
      <c r="H4" s="13">
        <v>0</v>
      </c>
      <c r="I4" s="16">
        <f t="shared" si="183"/>
        <v>0</v>
      </c>
      <c r="J4" s="17">
        <f t="shared" si="184"/>
        <v>146</v>
      </c>
      <c r="K4" s="18">
        <f t="shared" si="185"/>
        <v>185997.78768749547</v>
      </c>
      <c r="L4" s="19">
        <f t="shared" si="186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187"/>
        <v>0</v>
      </c>
      <c r="S4" s="35">
        <f t="shared" si="188"/>
        <v>142753</v>
      </c>
      <c r="T4" s="35">
        <f t="shared" si="189"/>
        <v>-146</v>
      </c>
      <c r="U4" s="19">
        <f t="shared" si="190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82"/>
        <v>0</v>
      </c>
      <c r="F5" s="13">
        <v>0</v>
      </c>
      <c r="G5" s="13">
        <v>0</v>
      </c>
      <c r="H5" s="13">
        <v>0</v>
      </c>
      <c r="I5" s="16">
        <f t="shared" si="183"/>
        <v>0</v>
      </c>
      <c r="J5" s="17">
        <f t="shared" si="184"/>
        <v>0</v>
      </c>
      <c r="K5" s="18">
        <f t="shared" si="185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187"/>
        <v>0</v>
      </c>
      <c r="S5" s="35">
        <f t="shared" si="188"/>
        <v>0</v>
      </c>
      <c r="T5" s="35">
        <f t="shared" si="189"/>
        <v>0</v>
      </c>
      <c r="U5" s="19" t="e">
        <f t="shared" si="190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182"/>
        <v>392010.61700300599</v>
      </c>
      <c r="F6" s="13">
        <v>0</v>
      </c>
      <c r="G6" s="44">
        <v>221987</v>
      </c>
      <c r="H6" s="44">
        <v>63241</v>
      </c>
      <c r="I6" s="16">
        <f t="shared" si="183"/>
        <v>63241</v>
      </c>
      <c r="J6" s="17">
        <f t="shared" si="184"/>
        <v>120971</v>
      </c>
      <c r="K6" s="18">
        <f t="shared" si="185"/>
        <v>253737.36969729906</v>
      </c>
      <c r="L6" s="19">
        <f t="shared" si="186"/>
        <v>0.6472716775815115</v>
      </c>
      <c r="M6" s="34">
        <v>0</v>
      </c>
      <c r="N6" s="34">
        <v>0</v>
      </c>
      <c r="O6" s="34">
        <v>126000</v>
      </c>
      <c r="P6" s="34">
        <v>157500</v>
      </c>
      <c r="Q6" s="34">
        <v>0</v>
      </c>
      <c r="R6" s="34">
        <f t="shared" si="187"/>
        <v>283500</v>
      </c>
      <c r="S6" s="35">
        <f t="shared" si="188"/>
        <v>568728</v>
      </c>
      <c r="T6" s="35">
        <f t="shared" si="189"/>
        <v>225770</v>
      </c>
      <c r="U6" s="19">
        <f t="shared" si="190"/>
        <v>1.6583021827745672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182"/>
        <v>238831.89434473185</v>
      </c>
      <c r="F7" s="13">
        <v>0</v>
      </c>
      <c r="G7" s="13">
        <v>84102</v>
      </c>
      <c r="H7" s="13">
        <v>0</v>
      </c>
      <c r="I7" s="16">
        <f t="shared" si="183"/>
        <v>0</v>
      </c>
      <c r="J7" s="17">
        <f t="shared" si="184"/>
        <v>292469</v>
      </c>
      <c r="K7" s="18">
        <f t="shared" si="185"/>
        <v>53339.84820440405</v>
      </c>
      <c r="L7" s="19">
        <f t="shared" si="186"/>
        <v>0.2233363695026967</v>
      </c>
      <c r="M7" s="34">
        <v>0</v>
      </c>
      <c r="N7" s="34">
        <v>0</v>
      </c>
      <c r="O7" s="34">
        <v>522000</v>
      </c>
      <c r="P7" s="34">
        <v>0</v>
      </c>
      <c r="Q7" s="34">
        <v>0</v>
      </c>
      <c r="R7" s="34">
        <f t="shared" si="187"/>
        <v>522000</v>
      </c>
      <c r="S7" s="35">
        <f t="shared" si="188"/>
        <v>606102</v>
      </c>
      <c r="T7" s="35">
        <f t="shared" si="189"/>
        <v>229531</v>
      </c>
      <c r="U7" s="19">
        <f t="shared" si="190"/>
        <v>1.6095291458981176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182"/>
        <v>357411.22353525035</v>
      </c>
      <c r="F8" s="44">
        <v>130747</v>
      </c>
      <c r="G8" s="13">
        <v>113400</v>
      </c>
      <c r="H8" s="44">
        <v>149893</v>
      </c>
      <c r="I8" s="16">
        <f t="shared" si="183"/>
        <v>280640</v>
      </c>
      <c r="J8" s="17">
        <f t="shared" si="184"/>
        <v>286600</v>
      </c>
      <c r="K8" s="18">
        <f t="shared" si="185"/>
        <v>101326.08187224348</v>
      </c>
      <c r="L8" s="19">
        <f t="shared" si="186"/>
        <v>0.28350000000000003</v>
      </c>
      <c r="M8" s="34">
        <v>0</v>
      </c>
      <c r="N8" s="34">
        <v>0</v>
      </c>
      <c r="O8" s="34">
        <v>261000</v>
      </c>
      <c r="P8" s="34">
        <v>0</v>
      </c>
      <c r="Q8" s="34">
        <v>0</v>
      </c>
      <c r="R8" s="34">
        <f t="shared" si="187"/>
        <v>261000</v>
      </c>
      <c r="S8" s="35">
        <f t="shared" si="188"/>
        <v>655040</v>
      </c>
      <c r="T8" s="35">
        <f t="shared" si="189"/>
        <v>255040</v>
      </c>
      <c r="U8" s="19">
        <f t="shared" si="190"/>
        <v>1.6375999999999999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182"/>
        <v>82902.257365838552</v>
      </c>
      <c r="F9" s="13">
        <v>0</v>
      </c>
      <c r="G9" s="13">
        <v>0</v>
      </c>
      <c r="H9" s="13">
        <v>0</v>
      </c>
      <c r="I9" s="16">
        <f t="shared" si="183"/>
        <v>0</v>
      </c>
      <c r="J9" s="17">
        <f t="shared" si="184"/>
        <v>77600</v>
      </c>
      <c r="K9" s="18">
        <f t="shared" si="185"/>
        <v>0</v>
      </c>
      <c r="L9" s="19">
        <f t="shared" si="186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187"/>
        <v>156000</v>
      </c>
      <c r="S9" s="35">
        <f t="shared" si="188"/>
        <v>156000</v>
      </c>
      <c r="T9" s="35">
        <f t="shared" si="189"/>
        <v>78400</v>
      </c>
      <c r="U9" s="19">
        <f t="shared" si="190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182"/>
        <v>84183.508682919273</v>
      </c>
      <c r="F10" s="13">
        <v>0</v>
      </c>
      <c r="G10" s="13">
        <v>0</v>
      </c>
      <c r="H10" s="13">
        <v>0</v>
      </c>
      <c r="I10" s="16">
        <f t="shared" si="183"/>
        <v>0</v>
      </c>
      <c r="J10" s="17">
        <f t="shared" si="184"/>
        <v>38800</v>
      </c>
      <c r="K10" s="18">
        <f t="shared" si="185"/>
        <v>0</v>
      </c>
      <c r="L10" s="19">
        <f t="shared" si="186"/>
        <v>0</v>
      </c>
      <c r="M10" s="34">
        <v>0</v>
      </c>
      <c r="N10" s="34">
        <v>6</v>
      </c>
      <c r="O10" s="34">
        <v>0</v>
      </c>
      <c r="P10" s="34">
        <v>38800</v>
      </c>
      <c r="Q10" s="34">
        <v>0</v>
      </c>
      <c r="R10" s="34">
        <f t="shared" si="187"/>
        <v>38806</v>
      </c>
      <c r="S10" s="35">
        <f t="shared" si="188"/>
        <v>38806</v>
      </c>
      <c r="T10" s="35">
        <f t="shared" si="189"/>
        <v>6</v>
      </c>
      <c r="U10" s="19">
        <f t="shared" si="190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82"/>
        <v>0</v>
      </c>
      <c r="F11" s="13">
        <v>0</v>
      </c>
      <c r="G11" s="13">
        <v>0</v>
      </c>
      <c r="H11" s="13">
        <v>0</v>
      </c>
      <c r="I11" s="16">
        <f t="shared" si="183"/>
        <v>0</v>
      </c>
      <c r="J11" s="17">
        <f t="shared" si="184"/>
        <v>0</v>
      </c>
      <c r="K11" s="18">
        <f t="shared" si="185"/>
        <v>0</v>
      </c>
      <c r="L11" s="19" t="e">
        <f t="shared" si="186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87"/>
        <v>0</v>
      </c>
      <c r="S11" s="35">
        <f t="shared" si="188"/>
        <v>0</v>
      </c>
      <c r="T11" s="35">
        <f t="shared" si="189"/>
        <v>0</v>
      </c>
      <c r="U11" s="19" t="e">
        <f t="shared" si="190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82"/>
        <v>0</v>
      </c>
      <c r="F12" s="13">
        <v>0</v>
      </c>
      <c r="G12" s="13">
        <v>0</v>
      </c>
      <c r="H12" s="13">
        <v>0</v>
      </c>
      <c r="I12" s="16">
        <f t="shared" si="183"/>
        <v>0</v>
      </c>
      <c r="J12" s="17">
        <f t="shared" si="184"/>
        <v>0</v>
      </c>
      <c r="K12" s="18">
        <f t="shared" si="185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87"/>
        <v>0</v>
      </c>
      <c r="S12" s="35">
        <f t="shared" si="188"/>
        <v>0</v>
      </c>
      <c r="T12" s="35">
        <f t="shared" si="189"/>
        <v>0</v>
      </c>
      <c r="U12" s="19" t="e">
        <f t="shared" si="19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82"/>
        <v>0</v>
      </c>
      <c r="F13" s="13">
        <v>0</v>
      </c>
      <c r="G13" s="13">
        <v>0</v>
      </c>
      <c r="H13" s="13">
        <v>0</v>
      </c>
      <c r="I13" s="16">
        <f t="shared" si="183"/>
        <v>0</v>
      </c>
      <c r="J13" s="17">
        <f t="shared" si="184"/>
        <v>0</v>
      </c>
      <c r="K13" s="18">
        <f t="shared" si="18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87"/>
        <v>0</v>
      </c>
      <c r="S13" s="35">
        <f t="shared" si="188"/>
        <v>0</v>
      </c>
      <c r="T13" s="35">
        <f t="shared" si="189"/>
        <v>0</v>
      </c>
      <c r="U13" s="19" t="e">
        <f t="shared" si="190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82"/>
        <v>0</v>
      </c>
      <c r="F14" s="13">
        <v>0</v>
      </c>
      <c r="G14" s="13">
        <v>0</v>
      </c>
      <c r="H14" s="13">
        <v>0</v>
      </c>
      <c r="I14" s="16">
        <f t="shared" si="183"/>
        <v>0</v>
      </c>
      <c r="J14" s="17">
        <f t="shared" si="184"/>
        <v>0</v>
      </c>
      <c r="K14" s="18">
        <f t="shared" si="18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87"/>
        <v>0</v>
      </c>
      <c r="S14" s="35">
        <f t="shared" si="188"/>
        <v>0</v>
      </c>
      <c r="T14" s="35">
        <f t="shared" si="189"/>
        <v>0</v>
      </c>
      <c r="U14" s="19" t="e">
        <f t="shared" si="190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82"/>
        <v>0</v>
      </c>
      <c r="F15" s="13">
        <v>0</v>
      </c>
      <c r="G15" s="13">
        <v>0</v>
      </c>
      <c r="H15" s="13">
        <v>0</v>
      </c>
      <c r="I15" s="16">
        <f t="shared" si="183"/>
        <v>0</v>
      </c>
      <c r="J15" s="17">
        <f t="shared" si="184"/>
        <v>0</v>
      </c>
      <c r="K15" s="18">
        <f t="shared" si="18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87"/>
        <v>0</v>
      </c>
      <c r="S15" s="35">
        <f t="shared" si="188"/>
        <v>0</v>
      </c>
      <c r="T15" s="35">
        <f t="shared" si="189"/>
        <v>0</v>
      </c>
      <c r="U15" s="19" t="e">
        <f t="shared" si="190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82"/>
        <v>0</v>
      </c>
      <c r="F16" s="13">
        <v>0</v>
      </c>
      <c r="G16" s="13">
        <v>0</v>
      </c>
      <c r="H16" s="13">
        <v>0</v>
      </c>
      <c r="I16" s="16">
        <f t="shared" si="183"/>
        <v>0</v>
      </c>
      <c r="J16" s="17">
        <f t="shared" si="184"/>
        <v>0</v>
      </c>
      <c r="K16" s="18">
        <f t="shared" si="185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87"/>
        <v>0</v>
      </c>
      <c r="S16" s="35">
        <f t="shared" si="188"/>
        <v>0</v>
      </c>
      <c r="T16" s="35">
        <f t="shared" si="189"/>
        <v>0</v>
      </c>
      <c r="U16" s="19" t="e">
        <f t="shared" si="190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182"/>
        <v>0</v>
      </c>
      <c r="F17" s="13">
        <v>50345</v>
      </c>
      <c r="G17" s="13">
        <v>0</v>
      </c>
      <c r="H17" s="13">
        <v>0</v>
      </c>
      <c r="I17" s="16">
        <f t="shared" si="183"/>
        <v>50345</v>
      </c>
      <c r="J17" s="17">
        <f t="shared" si="184"/>
        <v>0</v>
      </c>
      <c r="K17" s="18">
        <f t="shared" si="185"/>
        <v>0</v>
      </c>
      <c r="L17" s="19" t="e">
        <f t="shared" ref="L17:L18" si="191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87"/>
        <v>0</v>
      </c>
      <c r="S17" s="35">
        <f t="shared" si="188"/>
        <v>50345</v>
      </c>
      <c r="T17" s="35">
        <f t="shared" si="189"/>
        <v>50345</v>
      </c>
      <c r="U17" s="19" t="e">
        <f t="shared" si="190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192">SUM(E3:E17)</f>
        <v>2996630.1212656549</v>
      </c>
      <c r="F18" s="24">
        <f t="shared" si="192"/>
        <v>181092</v>
      </c>
      <c r="G18" s="24">
        <f t="shared" si="192"/>
        <v>729684</v>
      </c>
      <c r="H18" s="24">
        <f t="shared" si="192"/>
        <v>250211</v>
      </c>
      <c r="I18" s="25">
        <f t="shared" si="192"/>
        <v>431303</v>
      </c>
      <c r="J18" s="26">
        <f t="shared" si="192"/>
        <v>1221373</v>
      </c>
      <c r="K18" s="26">
        <f t="shared" si="192"/>
        <v>1078706.6543894156</v>
      </c>
      <c r="L18" s="27">
        <f t="shared" si="191"/>
        <v>0.35997324018548332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87"/>
        <v>0</v>
      </c>
      <c r="S18" s="35">
        <f t="shared" si="188"/>
        <v>1160987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30002F-00AF-4AF1-9310-00BE00BA0032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B20082-00FD-4582-A6E3-0095006400D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B3006D-00AD-4E32-A133-0030002400C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030002-00B1-49D1-B331-0051003500B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4F008D-007E-4970-8DAB-004F00C1006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EB0017-00EE-401F-B228-006C002200E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B200F8-0040-4BF4-99D1-00D30047001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14" activeCellId="0" sqref="F14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5546875"/>
    <col bestFit="1" customWidth="1" min="10" max="10" width="18.44140625"/>
    <col customWidth="1" min="11" max="11" width="16"/>
    <col customWidth="1" min="12" max="12" width="12.88671875"/>
    <col customWidth="1" min="13" max="14" width="16.6640625"/>
    <col customWidth="1" min="15" max="15" width="15.44140625"/>
  </cols>
  <sheetData>
    <row r="1" ht="16.5">
      <c r="J1" s="29"/>
      <c r="K1" s="29"/>
      <c r="L1" s="30"/>
      <c r="P1" s="31" t="s">
        <v>0</v>
      </c>
      <c r="Q1" s="31" t="s">
        <v>1</v>
      </c>
      <c r="R1" s="31" t="s">
        <v>2</v>
      </c>
      <c r="S1" s="31" t="s">
        <v>3</v>
      </c>
      <c r="T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5" t="s">
        <v>52</v>
      </c>
      <c r="K2" s="6" t="s">
        <v>15</v>
      </c>
      <c r="L2" s="6" t="s">
        <v>16</v>
      </c>
      <c r="M2" s="7" t="s">
        <v>17</v>
      </c>
      <c r="N2" s="7" t="s">
        <v>18</v>
      </c>
      <c r="O2" s="7" t="s">
        <v>19</v>
      </c>
      <c r="P2" s="31" t="s">
        <v>0</v>
      </c>
      <c r="Q2" s="31" t="s">
        <v>1</v>
      </c>
      <c r="R2" s="31" t="s">
        <v>2</v>
      </c>
      <c r="S2" s="31" t="s">
        <v>3</v>
      </c>
      <c r="T2" s="31" t="s">
        <v>51</v>
      </c>
      <c r="U2" s="32" t="s">
        <v>53</v>
      </c>
      <c r="V2" s="32" t="s">
        <v>54</v>
      </c>
      <c r="W2" t="s">
        <v>55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0">C3*D3</f>
        <v>1870761.2046759115</v>
      </c>
      <c r="F3" s="13"/>
      <c r="G3" s="13"/>
      <c r="H3" s="13">
        <v>0</v>
      </c>
      <c r="I3" s="13">
        <f t="shared" ref="I3:I17" si="1">F3-(G3+H3)</f>
        <v>0</v>
      </c>
      <c r="J3" s="16"/>
      <c r="K3" s="14">
        <f t="shared" ref="K3:K9" si="2">G3+H3+J3</f>
        <v>0</v>
      </c>
      <c r="L3" s="14">
        <f t="shared" ref="L3:L17" si="3">K3-F3</f>
        <v>0</v>
      </c>
      <c r="M3" s="17">
        <f t="shared" ref="M3:M17" si="4">C3-G3</f>
        <v>646790</v>
      </c>
      <c r="N3" s="18">
        <f t="shared" ref="N3:N17" si="5">+G3*D3</f>
        <v>0</v>
      </c>
      <c r="O3" s="19">
        <f t="shared" ref="O3:O11" si="6">N3/E3</f>
        <v>0</v>
      </c>
      <c r="P3" s="33"/>
      <c r="Q3" s="33">
        <v>149828</v>
      </c>
      <c r="R3" s="33">
        <f>8*18500</f>
        <v>148000</v>
      </c>
      <c r="S3" s="33">
        <f>8*18500</f>
        <v>148000</v>
      </c>
      <c r="T3" s="33">
        <f>7*18500</f>
        <v>129500</v>
      </c>
      <c r="U3" s="34">
        <f t="shared" ref="U3:U17" si="7">SUM(Q3:T3)</f>
        <v>575328</v>
      </c>
      <c r="V3" s="35">
        <f t="shared" ref="V3:V18" si="8">+U3-C3</f>
        <v>-71462</v>
      </c>
      <c r="W3" s="19">
        <f t="shared" ref="W3:W17" si="9">+U3/C3</f>
        <v>0.88951282487360661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0"/>
        <v>390880.30588673195</v>
      </c>
      <c r="F4" s="13"/>
      <c r="G4" s="13"/>
      <c r="H4" s="13">
        <v>0</v>
      </c>
      <c r="I4" s="13">
        <f t="shared" si="1"/>
        <v>0</v>
      </c>
      <c r="J4" s="16"/>
      <c r="K4" s="14">
        <f t="shared" si="2"/>
        <v>0</v>
      </c>
      <c r="L4" s="14">
        <f t="shared" si="3"/>
        <v>0</v>
      </c>
      <c r="M4" s="17">
        <f t="shared" si="4"/>
        <v>300000</v>
      </c>
      <c r="N4" s="18">
        <f t="shared" si="5"/>
        <v>0</v>
      </c>
      <c r="O4" s="19">
        <f t="shared" si="6"/>
        <v>0</v>
      </c>
      <c r="P4" s="33"/>
      <c r="Q4" s="33">
        <v>442871</v>
      </c>
      <c r="R4" s="33"/>
      <c r="S4" s="33"/>
      <c r="T4" s="33"/>
      <c r="U4" s="34">
        <f t="shared" si="7"/>
        <v>442871</v>
      </c>
      <c r="V4" s="35">
        <f t="shared" si="8"/>
        <v>142871</v>
      </c>
      <c r="W4" s="19">
        <f t="shared" si="9"/>
        <v>1.4762366666666666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0"/>
        <v>0</v>
      </c>
      <c r="F5" s="13"/>
      <c r="G5" s="13"/>
      <c r="H5" s="13">
        <v>0</v>
      </c>
      <c r="I5" s="13">
        <f t="shared" si="1"/>
        <v>0</v>
      </c>
      <c r="J5" s="16"/>
      <c r="K5" s="14">
        <f t="shared" si="2"/>
        <v>0</v>
      </c>
      <c r="L5" s="14">
        <f t="shared" si="3"/>
        <v>0</v>
      </c>
      <c r="M5" s="17">
        <f t="shared" si="4"/>
        <v>0</v>
      </c>
      <c r="N5" s="18">
        <f t="shared" si="5"/>
        <v>0</v>
      </c>
      <c r="O5" s="19">
        <v>0</v>
      </c>
      <c r="P5" s="33"/>
      <c r="Q5" s="33">
        <v>0</v>
      </c>
      <c r="R5" s="33"/>
      <c r="S5" s="33"/>
      <c r="T5" s="33"/>
      <c r="U5" s="34">
        <f t="shared" si="7"/>
        <v>0</v>
      </c>
      <c r="V5" s="35">
        <f t="shared" si="8"/>
        <v>0</v>
      </c>
      <c r="W5" s="19">
        <v>0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0"/>
        <v>644777.55587835144</v>
      </c>
      <c r="F6" s="13"/>
      <c r="G6" s="13"/>
      <c r="H6" s="13">
        <v>0</v>
      </c>
      <c r="I6" s="13">
        <f t="shared" si="1"/>
        <v>0</v>
      </c>
      <c r="J6" s="16"/>
      <c r="K6" s="14">
        <f t="shared" si="2"/>
        <v>0</v>
      </c>
      <c r="L6" s="14">
        <f t="shared" si="3"/>
        <v>0</v>
      </c>
      <c r="M6" s="17">
        <f t="shared" si="4"/>
        <v>564096</v>
      </c>
      <c r="N6" s="18">
        <f t="shared" si="5"/>
        <v>0</v>
      </c>
      <c r="O6" s="19">
        <f t="shared" si="6"/>
        <v>0</v>
      </c>
      <c r="P6" s="33"/>
      <c r="Q6" s="33">
        <v>94823</v>
      </c>
      <c r="R6" s="33">
        <v>220500</v>
      </c>
      <c r="S6" s="33">
        <f>5*31500</f>
        <v>157500</v>
      </c>
      <c r="T6" s="33">
        <v>93500</v>
      </c>
      <c r="U6" s="34">
        <f t="shared" si="7"/>
        <v>566323</v>
      </c>
      <c r="V6" s="35">
        <f t="shared" si="8"/>
        <v>2227</v>
      </c>
      <c r="W6" s="19">
        <f t="shared" si="9"/>
        <v>1.0039479095756751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0"/>
        <v>221472.43814627349</v>
      </c>
      <c r="F7" s="13"/>
      <c r="G7" s="13"/>
      <c r="H7" s="13">
        <v>0</v>
      </c>
      <c r="I7" s="13">
        <f t="shared" si="1"/>
        <v>0</v>
      </c>
      <c r="J7" s="16"/>
      <c r="K7" s="14">
        <f t="shared" si="2"/>
        <v>0</v>
      </c>
      <c r="L7" s="14">
        <f t="shared" si="3"/>
        <v>0</v>
      </c>
      <c r="M7" s="17">
        <f t="shared" si="4"/>
        <v>349200</v>
      </c>
      <c r="N7" s="18">
        <f t="shared" si="5"/>
        <v>0</v>
      </c>
      <c r="O7" s="19">
        <f t="shared" si="6"/>
        <v>0</v>
      </c>
      <c r="P7" s="33"/>
      <c r="Q7" s="33">
        <v>0</v>
      </c>
      <c r="R7" s="33"/>
      <c r="S7" s="33">
        <f>3*87000</f>
        <v>261000</v>
      </c>
      <c r="T7" s="33">
        <v>87000</v>
      </c>
      <c r="U7" s="34">
        <f t="shared" si="7"/>
        <v>348000</v>
      </c>
      <c r="V7" s="35">
        <f t="shared" si="8"/>
        <v>-1200</v>
      </c>
      <c r="W7" s="19">
        <f t="shared" si="9"/>
        <v>0.99656357388316152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0"/>
        <v>585037.49652426294</v>
      </c>
      <c r="F8" s="13"/>
      <c r="G8" s="13"/>
      <c r="H8" s="13">
        <v>0</v>
      </c>
      <c r="I8" s="13">
        <f t="shared" si="1"/>
        <v>0</v>
      </c>
      <c r="J8" s="16"/>
      <c r="K8" s="14">
        <f t="shared" si="2"/>
        <v>0</v>
      </c>
      <c r="L8" s="14">
        <f t="shared" si="3"/>
        <v>0</v>
      </c>
      <c r="M8" s="17">
        <f t="shared" si="4"/>
        <v>654750</v>
      </c>
      <c r="N8" s="18">
        <f t="shared" si="5"/>
        <v>0</v>
      </c>
      <c r="O8" s="19">
        <f t="shared" si="6"/>
        <v>0</v>
      </c>
      <c r="P8" s="33"/>
      <c r="Q8" s="33">
        <v>44215</v>
      </c>
      <c r="R8" s="33">
        <f>5*43500</f>
        <v>217500</v>
      </c>
      <c r="S8" s="33">
        <f>2*43500</f>
        <v>87000</v>
      </c>
      <c r="T8" s="33">
        <f>6*43500</f>
        <v>261000</v>
      </c>
      <c r="U8" s="34">
        <f t="shared" si="7"/>
        <v>609715</v>
      </c>
      <c r="V8" s="35">
        <f t="shared" si="8"/>
        <v>-45035</v>
      </c>
      <c r="W8" s="19">
        <f t="shared" si="9"/>
        <v>0.93121802214585725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0"/>
        <v>216656.93033237188</v>
      </c>
      <c r="F9" s="13"/>
      <c r="G9" s="13"/>
      <c r="H9" s="13">
        <v>0</v>
      </c>
      <c r="I9" s="13">
        <f t="shared" si="1"/>
        <v>0</v>
      </c>
      <c r="J9" s="16"/>
      <c r="K9" s="14">
        <f t="shared" si="2"/>
        <v>0</v>
      </c>
      <c r="L9" s="14">
        <f t="shared" si="3"/>
        <v>0</v>
      </c>
      <c r="M9" s="17">
        <f t="shared" si="4"/>
        <v>202800</v>
      </c>
      <c r="N9" s="18">
        <f t="shared" si="5"/>
        <v>0</v>
      </c>
      <c r="O9" s="19">
        <f t="shared" si="6"/>
        <v>0</v>
      </c>
      <c r="P9" s="33"/>
      <c r="Q9" s="33">
        <v>0</v>
      </c>
      <c r="R9" s="33"/>
      <c r="S9" s="33">
        <v>234000</v>
      </c>
      <c r="T9" s="33"/>
      <c r="U9" s="34">
        <f t="shared" si="7"/>
        <v>234000</v>
      </c>
      <c r="V9" s="35">
        <f t="shared" si="8"/>
        <v>31200</v>
      </c>
      <c r="W9" s="19">
        <f t="shared" si="9"/>
        <v>1.1538461538461537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0"/>
        <v>505114.07016586867</v>
      </c>
      <c r="F10" s="13"/>
      <c r="G10" s="13"/>
      <c r="H10" s="13">
        <v>0</v>
      </c>
      <c r="I10" s="13">
        <f t="shared" si="1"/>
        <v>0</v>
      </c>
      <c r="J10" s="16"/>
      <c r="K10" s="14">
        <f>G10+H8+J10</f>
        <v>0</v>
      </c>
      <c r="L10" s="14">
        <f t="shared" si="3"/>
        <v>0</v>
      </c>
      <c r="M10" s="17">
        <f t="shared" si="4"/>
        <v>232806</v>
      </c>
      <c r="N10" s="18">
        <f t="shared" si="5"/>
        <v>0</v>
      </c>
      <c r="O10" s="19">
        <f t="shared" si="6"/>
        <v>0</v>
      </c>
      <c r="P10" s="33"/>
      <c r="Q10" s="33">
        <v>6</v>
      </c>
      <c r="R10" s="33">
        <f>6*38500</f>
        <v>231000</v>
      </c>
      <c r="S10" s="33"/>
      <c r="T10" s="33"/>
      <c r="U10" s="34">
        <f t="shared" si="7"/>
        <v>231006</v>
      </c>
      <c r="V10" s="35">
        <f t="shared" si="8"/>
        <v>-1800</v>
      </c>
      <c r="W10" s="19">
        <f t="shared" si="9"/>
        <v>0.99226824050926521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0"/>
        <v>58121.655911310321</v>
      </c>
      <c r="F11" s="13"/>
      <c r="G11" s="13"/>
      <c r="H11" s="13">
        <v>0</v>
      </c>
      <c r="I11" s="13">
        <f t="shared" si="1"/>
        <v>0</v>
      </c>
      <c r="J11" s="16"/>
      <c r="K11" s="14">
        <f t="shared" ref="K11:K17" si="10">G11+H11+J11</f>
        <v>0</v>
      </c>
      <c r="L11" s="14">
        <f t="shared" si="3"/>
        <v>0</v>
      </c>
      <c r="M11" s="17">
        <f t="shared" si="4"/>
        <v>37379</v>
      </c>
      <c r="N11" s="18">
        <f t="shared" si="5"/>
        <v>0</v>
      </c>
      <c r="O11" s="19">
        <f t="shared" si="6"/>
        <v>0</v>
      </c>
      <c r="P11" s="33"/>
      <c r="Q11" s="33">
        <v>0</v>
      </c>
      <c r="R11" s="33"/>
      <c r="S11" s="33"/>
      <c r="T11" s="33"/>
      <c r="U11" s="34">
        <f t="shared" si="7"/>
        <v>0</v>
      </c>
      <c r="V11" s="35">
        <f t="shared" si="8"/>
        <v>-37379</v>
      </c>
      <c r="W11" s="19">
        <f t="shared" si="9"/>
        <v>0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0"/>
        <v>0</v>
      </c>
      <c r="F12" s="13"/>
      <c r="G12" s="13"/>
      <c r="H12" s="13">
        <v>0</v>
      </c>
      <c r="I12" s="13">
        <f t="shared" si="1"/>
        <v>0</v>
      </c>
      <c r="J12" s="16"/>
      <c r="K12" s="14">
        <f t="shared" si="10"/>
        <v>0</v>
      </c>
      <c r="L12" s="14">
        <f t="shared" si="3"/>
        <v>0</v>
      </c>
      <c r="M12" s="17">
        <f t="shared" si="4"/>
        <v>0</v>
      </c>
      <c r="N12" s="18">
        <f t="shared" si="5"/>
        <v>0</v>
      </c>
      <c r="O12" s="19">
        <v>0</v>
      </c>
      <c r="P12" s="33"/>
      <c r="Q12" s="33">
        <v>0</v>
      </c>
      <c r="R12" s="33"/>
      <c r="S12" s="33"/>
      <c r="T12" s="33"/>
      <c r="U12" s="34">
        <f t="shared" si="7"/>
        <v>0</v>
      </c>
      <c r="V12" s="35">
        <f t="shared" si="8"/>
        <v>0</v>
      </c>
      <c r="W12" s="19">
        <v>0</v>
      </c>
    </row>
    <row r="13">
      <c r="A13" s="9" t="s">
        <v>40</v>
      </c>
      <c r="B13" s="9" t="s">
        <v>41</v>
      </c>
      <c r="C13" s="10">
        <v>0</v>
      </c>
      <c r="D13" s="11">
        <v>4.3295293823675376</v>
      </c>
      <c r="E13" s="12">
        <f t="shared" si="0"/>
        <v>0</v>
      </c>
      <c r="F13" s="13"/>
      <c r="G13" s="13"/>
      <c r="H13" s="13">
        <v>0</v>
      </c>
      <c r="I13" s="13">
        <f t="shared" si="1"/>
        <v>0</v>
      </c>
      <c r="J13" s="16"/>
      <c r="K13" s="14">
        <f t="shared" si="10"/>
        <v>0</v>
      </c>
      <c r="L13" s="14">
        <f t="shared" si="3"/>
        <v>0</v>
      </c>
      <c r="M13" s="17">
        <f t="shared" si="4"/>
        <v>0</v>
      </c>
      <c r="N13" s="18">
        <f t="shared" si="5"/>
        <v>0</v>
      </c>
      <c r="O13" s="19">
        <v>0</v>
      </c>
      <c r="P13" s="33"/>
      <c r="Q13" s="33">
        <v>0</v>
      </c>
      <c r="R13" s="33"/>
      <c r="S13" s="33"/>
      <c r="T13" s="33"/>
      <c r="U13" s="34">
        <f t="shared" si="7"/>
        <v>0</v>
      </c>
      <c r="V13" s="35">
        <f t="shared" si="8"/>
        <v>0</v>
      </c>
      <c r="W13" s="19">
        <v>0</v>
      </c>
    </row>
    <row r="14">
      <c r="A14" s="9" t="s">
        <v>42</v>
      </c>
      <c r="B14" s="9" t="s">
        <v>43</v>
      </c>
      <c r="C14" s="10">
        <v>0</v>
      </c>
      <c r="D14" s="11">
        <v>8.9388782058969483</v>
      </c>
      <c r="E14" s="12">
        <f t="shared" si="0"/>
        <v>0</v>
      </c>
      <c r="F14" s="13"/>
      <c r="G14" s="13"/>
      <c r="H14" s="13">
        <v>0</v>
      </c>
      <c r="I14" s="13">
        <f t="shared" si="1"/>
        <v>0</v>
      </c>
      <c r="J14" s="16"/>
      <c r="K14" s="14">
        <f t="shared" si="10"/>
        <v>0</v>
      </c>
      <c r="L14" s="14">
        <f t="shared" si="3"/>
        <v>0</v>
      </c>
      <c r="M14" s="17">
        <f t="shared" si="4"/>
        <v>0</v>
      </c>
      <c r="N14" s="18">
        <f t="shared" si="5"/>
        <v>0</v>
      </c>
      <c r="O14" s="19">
        <v>0</v>
      </c>
      <c r="P14" s="33"/>
      <c r="Q14" s="33">
        <v>0</v>
      </c>
      <c r="R14" s="33"/>
      <c r="S14" s="33"/>
      <c r="T14" s="33"/>
      <c r="U14" s="34">
        <f t="shared" si="7"/>
        <v>0</v>
      </c>
      <c r="V14" s="35">
        <f t="shared" si="8"/>
        <v>0</v>
      </c>
      <c r="W14" s="19">
        <v>0</v>
      </c>
    </row>
    <row r="15">
      <c r="A15" s="8" t="s">
        <v>44</v>
      </c>
      <c r="B15" s="9" t="s">
        <v>45</v>
      </c>
      <c r="C15" s="10">
        <v>0</v>
      </c>
      <c r="D15" s="11">
        <v>12.061373764720482</v>
      </c>
      <c r="E15" s="12">
        <f t="shared" si="0"/>
        <v>0</v>
      </c>
      <c r="F15" s="13"/>
      <c r="G15" s="13"/>
      <c r="H15" s="13">
        <v>0</v>
      </c>
      <c r="I15" s="13">
        <f t="shared" si="1"/>
        <v>0</v>
      </c>
      <c r="J15" s="16"/>
      <c r="K15" s="14">
        <f t="shared" si="10"/>
        <v>0</v>
      </c>
      <c r="L15" s="14">
        <f t="shared" si="3"/>
        <v>0</v>
      </c>
      <c r="M15" s="17">
        <f t="shared" si="4"/>
        <v>0</v>
      </c>
      <c r="N15" s="18">
        <f t="shared" si="5"/>
        <v>0</v>
      </c>
      <c r="O15" s="19">
        <v>0</v>
      </c>
      <c r="P15" s="33"/>
      <c r="Q15" s="33">
        <v>0</v>
      </c>
      <c r="R15" s="33"/>
      <c r="S15" s="33"/>
      <c r="T15" s="33"/>
      <c r="U15" s="34">
        <f t="shared" si="7"/>
        <v>0</v>
      </c>
      <c r="V15" s="35">
        <f t="shared" si="8"/>
        <v>0</v>
      </c>
      <c r="W15" s="19">
        <v>0</v>
      </c>
    </row>
    <row r="16">
      <c r="A16" s="20" t="s">
        <v>46</v>
      </c>
      <c r="B16" s="9" t="s">
        <v>47</v>
      </c>
      <c r="C16" s="10">
        <v>0</v>
      </c>
      <c r="D16" s="11">
        <v>0.40322805883812579</v>
      </c>
      <c r="E16" s="12">
        <f t="shared" si="0"/>
        <v>0</v>
      </c>
      <c r="F16" s="13"/>
      <c r="G16" s="13"/>
      <c r="H16" s="13">
        <v>0</v>
      </c>
      <c r="I16" s="13">
        <f t="shared" si="1"/>
        <v>0</v>
      </c>
      <c r="J16" s="16"/>
      <c r="K16" s="14">
        <f t="shared" si="10"/>
        <v>0</v>
      </c>
      <c r="L16" s="14">
        <f t="shared" si="3"/>
        <v>0</v>
      </c>
      <c r="M16" s="17">
        <f t="shared" si="4"/>
        <v>0</v>
      </c>
      <c r="N16" s="18">
        <f t="shared" si="5"/>
        <v>0</v>
      </c>
      <c r="O16" s="19">
        <v>0</v>
      </c>
      <c r="P16" s="33"/>
      <c r="Q16" s="33">
        <v>0</v>
      </c>
      <c r="R16" s="33"/>
      <c r="S16" s="33"/>
      <c r="T16" s="33"/>
      <c r="U16" s="34">
        <f t="shared" si="7"/>
        <v>0</v>
      </c>
      <c r="V16" s="35">
        <f t="shared" si="8"/>
        <v>0</v>
      </c>
      <c r="W16" s="19">
        <v>0</v>
      </c>
    </row>
    <row r="17">
      <c r="A17" s="20" t="s">
        <v>48</v>
      </c>
      <c r="B17" s="9" t="s">
        <v>49</v>
      </c>
      <c r="C17" s="10">
        <v>1187</v>
      </c>
      <c r="D17" s="11">
        <v>3.0573254068481477</v>
      </c>
      <c r="E17" s="12">
        <f t="shared" si="0"/>
        <v>3629.0452579287512</v>
      </c>
      <c r="F17" s="13"/>
      <c r="G17" s="13"/>
      <c r="H17" s="13">
        <v>0</v>
      </c>
      <c r="I17" s="13">
        <f t="shared" si="1"/>
        <v>0</v>
      </c>
      <c r="J17" s="16"/>
      <c r="K17" s="14">
        <f t="shared" si="10"/>
        <v>0</v>
      </c>
      <c r="L17" s="14">
        <f t="shared" si="3"/>
        <v>0</v>
      </c>
      <c r="M17" s="17">
        <f t="shared" si="4"/>
        <v>1187</v>
      </c>
      <c r="N17" s="18">
        <f t="shared" si="5"/>
        <v>0</v>
      </c>
      <c r="O17" s="19">
        <f t="shared" ref="O17:O18" si="11">N17/E17</f>
        <v>0</v>
      </c>
      <c r="P17" s="33"/>
      <c r="Q17" s="33">
        <v>1187</v>
      </c>
      <c r="R17" s="33"/>
      <c r="S17" s="33"/>
      <c r="T17" s="33"/>
      <c r="U17" s="34">
        <f t="shared" si="7"/>
        <v>1187</v>
      </c>
      <c r="V17" s="35">
        <f t="shared" si="8"/>
        <v>0</v>
      </c>
      <c r="W17" s="19">
        <f t="shared" si="9"/>
        <v>1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0</v>
      </c>
      <c r="H18" s="24">
        <f>SUM(H3:H17)</f>
        <v>0</v>
      </c>
      <c r="I18" s="21"/>
      <c r="J18" s="25">
        <f>SUM(J3:J17)</f>
        <v>0</v>
      </c>
      <c r="K18" s="21"/>
      <c r="L18" s="21"/>
      <c r="M18" s="26">
        <f>SUM(M3:M17)</f>
        <v>2989008</v>
      </c>
      <c r="N18" s="26">
        <f>SUM(N3:N17)</f>
        <v>0</v>
      </c>
      <c r="O18" s="27">
        <f t="shared" si="11"/>
        <v>0</v>
      </c>
      <c r="P18" s="33"/>
      <c r="Q18" s="33"/>
      <c r="R18" s="33"/>
      <c r="S18" s="33"/>
      <c r="T18" s="33"/>
      <c r="U18" s="34">
        <f>+R18+Q18+G18+S18+T18</f>
        <v>0</v>
      </c>
      <c r="V18" s="35">
        <f t="shared" si="8"/>
        <v>-2989008</v>
      </c>
    </row>
    <row r="19">
      <c r="B19" s="28"/>
      <c r="C19" s="28"/>
      <c r="D19" s="28"/>
      <c r="E19" s="28"/>
    </row>
    <row r="20">
      <c r="B20" s="28"/>
      <c r="C20" s="28"/>
      <c r="D20" s="28"/>
      <c r="E20" s="28"/>
    </row>
    <row r="21">
      <c r="B21" s="28"/>
      <c r="C21" s="28"/>
      <c r="D21" s="28"/>
      <c r="E21" s="28"/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A2:O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8300C9-0028-4AC4-892B-0032000E0014}">
            <xm:f>$TO20&gt;41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CF001B-00D8-4E17-858A-00180047008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5" operator="lessThan" id="{00020093-008E-4C7D-B441-005300AD001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4" operator="between" id="{000C0006-00EB-40F8-BA8C-009C005600A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3" operator="greaterThan" id="{00EB0041-0002-4360-BA9B-0038003800F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2" operator="lessThan" id="{00410030-001B-4231-8210-00000059004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1" operator="between" id="{00B30048-0095-4011-90DA-0002008300C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W3:W17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V25" activeCellId="0" sqref="V25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76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193">C3*D3</f>
        <v>1655102.6042308819</v>
      </c>
      <c r="F3" s="13">
        <v>0</v>
      </c>
      <c r="G3" s="44">
        <v>167442</v>
      </c>
      <c r="H3" s="13">
        <v>37077</v>
      </c>
      <c r="I3" s="16">
        <f t="shared" ref="I3:I17" si="194">F3+H3</f>
        <v>37077</v>
      </c>
      <c r="J3" s="17">
        <f t="shared" ref="J3:J17" si="195">C3-G3</f>
        <v>404787</v>
      </c>
      <c r="K3" s="18">
        <f t="shared" ref="K3:K17" si="196">+G3*D3</f>
        <v>484305.56692797347</v>
      </c>
      <c r="L3" s="19">
        <f t="shared" ref="L3:L11" si="197">K3/E3</f>
        <v>0.2926136214697263</v>
      </c>
      <c r="M3" s="34">
        <v>0</v>
      </c>
      <c r="N3" s="34">
        <v>0</v>
      </c>
      <c r="O3" s="34">
        <v>240500</v>
      </c>
      <c r="P3" s="34">
        <v>148000</v>
      </c>
      <c r="Q3" s="34">
        <v>0</v>
      </c>
      <c r="R3" s="34">
        <f t="shared" ref="R3:R18" si="198">M3+N3+O3+P3+Q3</f>
        <v>388500</v>
      </c>
      <c r="S3" s="35">
        <f t="shared" ref="S3:S18" si="199">G3+I3+R3</f>
        <v>593019</v>
      </c>
      <c r="T3" s="35">
        <f t="shared" ref="T3:T17" si="200">S3-C3</f>
        <v>20790</v>
      </c>
      <c r="U3" s="19">
        <f t="shared" ref="U3:U17" si="201">S3/C3</f>
        <v>1.0363316084993945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193"/>
        <v>186188.01610302701</v>
      </c>
      <c r="F4" s="13">
        <v>0</v>
      </c>
      <c r="G4" s="13">
        <v>142753</v>
      </c>
      <c r="H4" s="13">
        <v>0</v>
      </c>
      <c r="I4" s="16">
        <f t="shared" si="194"/>
        <v>0</v>
      </c>
      <c r="J4" s="17">
        <f t="shared" si="195"/>
        <v>146</v>
      </c>
      <c r="K4" s="18">
        <f t="shared" si="196"/>
        <v>185997.78768749547</v>
      </c>
      <c r="L4" s="19">
        <f t="shared" si="197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198"/>
        <v>0</v>
      </c>
      <c r="S4" s="35">
        <f t="shared" si="199"/>
        <v>142753</v>
      </c>
      <c r="T4" s="35">
        <f t="shared" si="200"/>
        <v>-146</v>
      </c>
      <c r="U4" s="19">
        <f t="shared" si="201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93"/>
        <v>0</v>
      </c>
      <c r="F5" s="13">
        <v>0</v>
      </c>
      <c r="G5" s="13">
        <v>0</v>
      </c>
      <c r="H5" s="13">
        <v>0</v>
      </c>
      <c r="I5" s="16">
        <f t="shared" si="194"/>
        <v>0</v>
      </c>
      <c r="J5" s="17">
        <f t="shared" si="195"/>
        <v>0</v>
      </c>
      <c r="K5" s="18">
        <f t="shared" si="196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198"/>
        <v>0</v>
      </c>
      <c r="S5" s="35">
        <f t="shared" si="199"/>
        <v>0</v>
      </c>
      <c r="T5" s="35">
        <f t="shared" si="200"/>
        <v>0</v>
      </c>
      <c r="U5" s="19" t="e">
        <f t="shared" si="201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193"/>
        <v>392010.61700300599</v>
      </c>
      <c r="F6" s="13">
        <v>0</v>
      </c>
      <c r="G6" s="44">
        <v>221987</v>
      </c>
      <c r="H6" s="44">
        <v>63241</v>
      </c>
      <c r="I6" s="16">
        <f t="shared" si="194"/>
        <v>63241</v>
      </c>
      <c r="J6" s="17">
        <f t="shared" si="195"/>
        <v>120971</v>
      </c>
      <c r="K6" s="18">
        <f t="shared" si="196"/>
        <v>253737.36969729906</v>
      </c>
      <c r="L6" s="19">
        <f t="shared" si="197"/>
        <v>0.6472716775815115</v>
      </c>
      <c r="M6" s="34">
        <v>0</v>
      </c>
      <c r="N6" s="34">
        <v>0</v>
      </c>
      <c r="O6" s="34">
        <v>126000</v>
      </c>
      <c r="P6" s="34">
        <v>157500</v>
      </c>
      <c r="Q6" s="34">
        <v>0</v>
      </c>
      <c r="R6" s="34">
        <f t="shared" si="198"/>
        <v>283500</v>
      </c>
      <c r="S6" s="35">
        <f t="shared" si="199"/>
        <v>568728</v>
      </c>
      <c r="T6" s="35">
        <f t="shared" si="200"/>
        <v>225770</v>
      </c>
      <c r="U6" s="19">
        <f t="shared" si="201"/>
        <v>1.6583021827745672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193"/>
        <v>238831.89434473185</v>
      </c>
      <c r="F7" s="13">
        <v>0</v>
      </c>
      <c r="G7" s="13">
        <v>84102</v>
      </c>
      <c r="H7" s="13">
        <v>0</v>
      </c>
      <c r="I7" s="16">
        <f t="shared" si="194"/>
        <v>0</v>
      </c>
      <c r="J7" s="17">
        <f t="shared" si="195"/>
        <v>292469</v>
      </c>
      <c r="K7" s="18">
        <f t="shared" si="196"/>
        <v>53339.84820440405</v>
      </c>
      <c r="L7" s="19">
        <f t="shared" si="197"/>
        <v>0.2233363695026967</v>
      </c>
      <c r="M7" s="34">
        <v>0</v>
      </c>
      <c r="N7" s="34">
        <v>0</v>
      </c>
      <c r="O7" s="34">
        <v>522000</v>
      </c>
      <c r="P7" s="34">
        <v>0</v>
      </c>
      <c r="Q7" s="34">
        <v>0</v>
      </c>
      <c r="R7" s="34">
        <f t="shared" si="198"/>
        <v>522000</v>
      </c>
      <c r="S7" s="35">
        <f t="shared" si="199"/>
        <v>606102</v>
      </c>
      <c r="T7" s="35">
        <f t="shared" si="200"/>
        <v>229531</v>
      </c>
      <c r="U7" s="19">
        <f t="shared" si="201"/>
        <v>1.6095291458981176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193"/>
        <v>357411.22353525035</v>
      </c>
      <c r="F8" s="44">
        <v>0</v>
      </c>
      <c r="G8" s="13">
        <v>226800</v>
      </c>
      <c r="H8" s="44">
        <v>167240</v>
      </c>
      <c r="I8" s="16">
        <f t="shared" si="194"/>
        <v>167240</v>
      </c>
      <c r="J8" s="17">
        <f t="shared" si="195"/>
        <v>173200</v>
      </c>
      <c r="K8" s="18">
        <f t="shared" si="196"/>
        <v>202652.16374448696</v>
      </c>
      <c r="L8" s="19">
        <f t="shared" si="197"/>
        <v>0.56700000000000006</v>
      </c>
      <c r="M8" s="34">
        <v>0</v>
      </c>
      <c r="N8" s="34">
        <v>0</v>
      </c>
      <c r="O8" s="34">
        <v>261000</v>
      </c>
      <c r="P8" s="34">
        <v>0</v>
      </c>
      <c r="Q8" s="34">
        <v>0</v>
      </c>
      <c r="R8" s="34">
        <f t="shared" si="198"/>
        <v>261000</v>
      </c>
      <c r="S8" s="35">
        <f t="shared" si="199"/>
        <v>655040</v>
      </c>
      <c r="T8" s="35">
        <f t="shared" si="200"/>
        <v>255040</v>
      </c>
      <c r="U8" s="19">
        <f t="shared" si="201"/>
        <v>1.6375999999999999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193"/>
        <v>82902.257365838552</v>
      </c>
      <c r="F9" s="13">
        <v>0</v>
      </c>
      <c r="G9" s="13">
        <v>0</v>
      </c>
      <c r="H9" s="13">
        <v>0</v>
      </c>
      <c r="I9" s="16">
        <f t="shared" si="194"/>
        <v>0</v>
      </c>
      <c r="J9" s="17">
        <f t="shared" si="195"/>
        <v>77600</v>
      </c>
      <c r="K9" s="18">
        <f t="shared" si="196"/>
        <v>0</v>
      </c>
      <c r="L9" s="19">
        <f t="shared" si="197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198"/>
        <v>156000</v>
      </c>
      <c r="S9" s="35">
        <f t="shared" si="199"/>
        <v>156000</v>
      </c>
      <c r="T9" s="35">
        <f t="shared" si="200"/>
        <v>78400</v>
      </c>
      <c r="U9" s="19">
        <f t="shared" si="201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193"/>
        <v>84183.508682919273</v>
      </c>
      <c r="F10" s="13">
        <v>0</v>
      </c>
      <c r="G10" s="13">
        <v>0</v>
      </c>
      <c r="H10" s="13">
        <v>0</v>
      </c>
      <c r="I10" s="16">
        <f t="shared" si="194"/>
        <v>0</v>
      </c>
      <c r="J10" s="17">
        <f t="shared" si="195"/>
        <v>38800</v>
      </c>
      <c r="K10" s="18">
        <f t="shared" si="196"/>
        <v>0</v>
      </c>
      <c r="L10" s="19">
        <f t="shared" si="197"/>
        <v>0</v>
      </c>
      <c r="M10" s="34">
        <v>0</v>
      </c>
      <c r="N10" s="34">
        <v>6</v>
      </c>
      <c r="O10" s="34">
        <v>0</v>
      </c>
      <c r="P10" s="34">
        <v>38800</v>
      </c>
      <c r="Q10" s="34">
        <v>0</v>
      </c>
      <c r="R10" s="34">
        <f t="shared" si="198"/>
        <v>38806</v>
      </c>
      <c r="S10" s="35">
        <f t="shared" si="199"/>
        <v>38806</v>
      </c>
      <c r="T10" s="35">
        <f t="shared" si="200"/>
        <v>6</v>
      </c>
      <c r="U10" s="19">
        <f t="shared" si="201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193"/>
        <v>0</v>
      </c>
      <c r="F11" s="13">
        <v>0</v>
      </c>
      <c r="G11" s="13">
        <v>0</v>
      </c>
      <c r="H11" s="13">
        <v>0</v>
      </c>
      <c r="I11" s="16">
        <f t="shared" si="194"/>
        <v>0</v>
      </c>
      <c r="J11" s="17">
        <f t="shared" si="195"/>
        <v>0</v>
      </c>
      <c r="K11" s="18">
        <f t="shared" si="196"/>
        <v>0</v>
      </c>
      <c r="L11" s="19" t="e">
        <f t="shared" si="197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198"/>
        <v>0</v>
      </c>
      <c r="S11" s="35">
        <f t="shared" si="199"/>
        <v>0</v>
      </c>
      <c r="T11" s="35">
        <f t="shared" si="200"/>
        <v>0</v>
      </c>
      <c r="U11" s="19" t="e">
        <f t="shared" si="20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93"/>
        <v>0</v>
      </c>
      <c r="F12" s="13">
        <v>0</v>
      </c>
      <c r="G12" s="13">
        <v>0</v>
      </c>
      <c r="H12" s="13">
        <v>0</v>
      </c>
      <c r="I12" s="16">
        <f t="shared" si="194"/>
        <v>0</v>
      </c>
      <c r="J12" s="17">
        <f t="shared" si="195"/>
        <v>0</v>
      </c>
      <c r="K12" s="18">
        <f t="shared" si="196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98"/>
        <v>0</v>
      </c>
      <c r="S12" s="35">
        <f t="shared" si="199"/>
        <v>0</v>
      </c>
      <c r="T12" s="35">
        <f t="shared" si="200"/>
        <v>0</v>
      </c>
      <c r="U12" s="19" t="e">
        <f t="shared" si="20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93"/>
        <v>0</v>
      </c>
      <c r="F13" s="13">
        <v>0</v>
      </c>
      <c r="G13" s="13">
        <v>0</v>
      </c>
      <c r="H13" s="13">
        <v>0</v>
      </c>
      <c r="I13" s="16">
        <f t="shared" si="194"/>
        <v>0</v>
      </c>
      <c r="J13" s="17">
        <f t="shared" si="195"/>
        <v>0</v>
      </c>
      <c r="K13" s="18">
        <f t="shared" si="19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98"/>
        <v>0</v>
      </c>
      <c r="S13" s="35">
        <f t="shared" si="199"/>
        <v>0</v>
      </c>
      <c r="T13" s="35">
        <f t="shared" si="200"/>
        <v>0</v>
      </c>
      <c r="U13" s="19" t="e">
        <f t="shared" si="201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193"/>
        <v>0</v>
      </c>
      <c r="F14" s="13">
        <v>0</v>
      </c>
      <c r="G14" s="13">
        <v>0</v>
      </c>
      <c r="H14" s="13">
        <v>0</v>
      </c>
      <c r="I14" s="16">
        <f t="shared" si="194"/>
        <v>0</v>
      </c>
      <c r="J14" s="17">
        <f t="shared" si="195"/>
        <v>0</v>
      </c>
      <c r="K14" s="18">
        <f t="shared" si="19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98"/>
        <v>0</v>
      </c>
      <c r="S14" s="35">
        <f t="shared" si="199"/>
        <v>0</v>
      </c>
      <c r="T14" s="35">
        <f t="shared" si="200"/>
        <v>0</v>
      </c>
      <c r="U14" s="19" t="e">
        <f t="shared" si="201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193"/>
        <v>0</v>
      </c>
      <c r="F15" s="13">
        <v>0</v>
      </c>
      <c r="G15" s="13">
        <v>0</v>
      </c>
      <c r="H15" s="13">
        <v>0</v>
      </c>
      <c r="I15" s="16">
        <f t="shared" si="194"/>
        <v>0</v>
      </c>
      <c r="J15" s="17">
        <f t="shared" si="195"/>
        <v>0</v>
      </c>
      <c r="K15" s="18">
        <f t="shared" si="19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98"/>
        <v>0</v>
      </c>
      <c r="S15" s="35">
        <f t="shared" si="199"/>
        <v>0</v>
      </c>
      <c r="T15" s="35">
        <f t="shared" si="200"/>
        <v>0</v>
      </c>
      <c r="U15" s="19" t="e">
        <f t="shared" si="201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193"/>
        <v>0</v>
      </c>
      <c r="F16" s="13">
        <v>0</v>
      </c>
      <c r="G16" s="13">
        <v>0</v>
      </c>
      <c r="H16" s="13">
        <v>0</v>
      </c>
      <c r="I16" s="16">
        <f t="shared" si="194"/>
        <v>0</v>
      </c>
      <c r="J16" s="17">
        <f t="shared" si="195"/>
        <v>0</v>
      </c>
      <c r="K16" s="18">
        <f t="shared" si="196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98"/>
        <v>0</v>
      </c>
      <c r="S16" s="35">
        <f t="shared" si="199"/>
        <v>0</v>
      </c>
      <c r="T16" s="35">
        <f t="shared" si="200"/>
        <v>0</v>
      </c>
      <c r="U16" s="19" t="e">
        <f t="shared" si="201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193"/>
        <v>0</v>
      </c>
      <c r="F17" s="13">
        <v>40345</v>
      </c>
      <c r="G17" s="13">
        <v>0</v>
      </c>
      <c r="H17" s="13">
        <v>10000</v>
      </c>
      <c r="I17" s="16">
        <f t="shared" si="194"/>
        <v>50345</v>
      </c>
      <c r="J17" s="17">
        <f t="shared" si="195"/>
        <v>0</v>
      </c>
      <c r="K17" s="18">
        <f t="shared" si="196"/>
        <v>0</v>
      </c>
      <c r="L17" s="19" t="e">
        <f t="shared" ref="L17:L18" si="202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98"/>
        <v>0</v>
      </c>
      <c r="S17" s="35">
        <f t="shared" si="199"/>
        <v>50345</v>
      </c>
      <c r="T17" s="35">
        <f t="shared" si="200"/>
        <v>50345</v>
      </c>
      <c r="U17" s="19" t="e">
        <f t="shared" si="201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03">SUM(E3:E17)</f>
        <v>2996630.1212656549</v>
      </c>
      <c r="F18" s="24">
        <f t="shared" si="203"/>
        <v>40345</v>
      </c>
      <c r="G18" s="24">
        <f t="shared" si="203"/>
        <v>843084</v>
      </c>
      <c r="H18" s="24">
        <f t="shared" si="203"/>
        <v>277558</v>
      </c>
      <c r="I18" s="25">
        <f t="shared" si="203"/>
        <v>317903</v>
      </c>
      <c r="J18" s="26">
        <f t="shared" si="203"/>
        <v>1107973</v>
      </c>
      <c r="K18" s="26">
        <f t="shared" si="203"/>
        <v>1180032.7362616591</v>
      </c>
      <c r="L18" s="27">
        <f t="shared" si="202"/>
        <v>0.39378658309797043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98"/>
        <v>0</v>
      </c>
      <c r="S18" s="35">
        <f t="shared" si="199"/>
        <v>1160987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660049-0061-4BFA-B116-005E00490075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F900E1-004F-4117-A25D-00C20098002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4D007C-0075-443B-8D39-005E004D007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050062-008A-4C90-A4D1-0092004F00B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440033-0095-4022-B7A6-004C00C100D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B7003E-00B7-4145-B670-00D600F6002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CD008E-00C3-4111-82F2-0047009C000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A24" activeCellId="0" sqref="A24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77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04">C3*D3</f>
        <v>1655102.6042308819</v>
      </c>
      <c r="F3" s="13">
        <v>73989</v>
      </c>
      <c r="G3" s="44">
        <v>167442</v>
      </c>
      <c r="H3" s="13">
        <v>37077</v>
      </c>
      <c r="I3" s="16">
        <f t="shared" ref="I3:I17" si="205">F3+H3</f>
        <v>111066</v>
      </c>
      <c r="J3" s="17">
        <f t="shared" ref="J3:J17" si="206">C3-G3</f>
        <v>404787</v>
      </c>
      <c r="K3" s="18">
        <f t="shared" ref="K3:K17" si="207">+G3*D3</f>
        <v>484305.56692797347</v>
      </c>
      <c r="L3" s="19">
        <f t="shared" ref="L3:L11" si="208">K3/E3</f>
        <v>0.2926136214697263</v>
      </c>
      <c r="M3" s="34">
        <v>0</v>
      </c>
      <c r="N3" s="34">
        <v>0</v>
      </c>
      <c r="O3" s="34">
        <v>129500</v>
      </c>
      <c r="P3" s="34">
        <v>148000</v>
      </c>
      <c r="Q3" s="34">
        <v>0</v>
      </c>
      <c r="R3" s="34">
        <f t="shared" ref="R3:R18" si="209">M3+N3+O3+P3+Q3</f>
        <v>277500</v>
      </c>
      <c r="S3" s="35">
        <f t="shared" ref="S3:S18" si="210">G3+I3+R3</f>
        <v>556008</v>
      </c>
      <c r="T3" s="35">
        <f t="shared" ref="T3:T17" si="211">S3-C3</f>
        <v>-16221</v>
      </c>
      <c r="U3" s="19">
        <f t="shared" ref="U3:U17" si="212">S3/C3</f>
        <v>0.97165295712031374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04"/>
        <v>186188.01610302701</v>
      </c>
      <c r="F4" s="13">
        <v>0</v>
      </c>
      <c r="G4" s="13">
        <v>142753</v>
      </c>
      <c r="H4" s="13">
        <v>0</v>
      </c>
      <c r="I4" s="16">
        <f t="shared" si="205"/>
        <v>0</v>
      </c>
      <c r="J4" s="17">
        <f t="shared" si="206"/>
        <v>146</v>
      </c>
      <c r="K4" s="18">
        <f t="shared" si="207"/>
        <v>185997.78768749547</v>
      </c>
      <c r="L4" s="19">
        <f t="shared" si="208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09"/>
        <v>0</v>
      </c>
      <c r="S4" s="35">
        <f t="shared" si="210"/>
        <v>142753</v>
      </c>
      <c r="T4" s="35">
        <f t="shared" si="211"/>
        <v>-146</v>
      </c>
      <c r="U4" s="19">
        <f t="shared" si="212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04"/>
        <v>0</v>
      </c>
      <c r="F5" s="13">
        <v>0</v>
      </c>
      <c r="G5" s="13">
        <v>0</v>
      </c>
      <c r="H5" s="13">
        <v>0</v>
      </c>
      <c r="I5" s="16">
        <f t="shared" si="205"/>
        <v>0</v>
      </c>
      <c r="J5" s="17">
        <f t="shared" si="206"/>
        <v>0</v>
      </c>
      <c r="K5" s="18">
        <f t="shared" si="207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09"/>
        <v>0</v>
      </c>
      <c r="S5" s="35">
        <f t="shared" si="210"/>
        <v>0</v>
      </c>
      <c r="T5" s="35">
        <f t="shared" si="211"/>
        <v>0</v>
      </c>
      <c r="U5" s="19" t="e">
        <f t="shared" si="212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04"/>
        <v>392010.61700300599</v>
      </c>
      <c r="F6" s="13">
        <v>0</v>
      </c>
      <c r="G6" s="44">
        <v>221987</v>
      </c>
      <c r="H6" s="44">
        <v>63241</v>
      </c>
      <c r="I6" s="16">
        <f t="shared" si="205"/>
        <v>63241</v>
      </c>
      <c r="J6" s="17">
        <f t="shared" si="206"/>
        <v>120971</v>
      </c>
      <c r="K6" s="18">
        <f t="shared" si="207"/>
        <v>253737.36969729906</v>
      </c>
      <c r="L6" s="19">
        <f t="shared" si="208"/>
        <v>0.6472716775815115</v>
      </c>
      <c r="M6" s="34">
        <v>0</v>
      </c>
      <c r="N6" s="34">
        <v>0</v>
      </c>
      <c r="O6" s="34">
        <v>0</v>
      </c>
      <c r="P6" s="34">
        <v>63000</v>
      </c>
      <c r="Q6" s="34">
        <v>0</v>
      </c>
      <c r="R6" s="34">
        <f t="shared" si="209"/>
        <v>63000</v>
      </c>
      <c r="S6" s="35">
        <f t="shared" si="210"/>
        <v>348228</v>
      </c>
      <c r="T6" s="35">
        <f t="shared" si="211"/>
        <v>5270</v>
      </c>
      <c r="U6" s="19">
        <f t="shared" si="212"/>
        <v>1.0153663130762367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04"/>
        <v>238831.89434473185</v>
      </c>
      <c r="F7" s="13">
        <v>529882</v>
      </c>
      <c r="G7" s="13">
        <v>84102</v>
      </c>
      <c r="H7" s="13">
        <v>0</v>
      </c>
      <c r="I7" s="16">
        <f t="shared" si="205"/>
        <v>529882</v>
      </c>
      <c r="J7" s="17">
        <f t="shared" si="206"/>
        <v>292469</v>
      </c>
      <c r="K7" s="18">
        <f t="shared" si="207"/>
        <v>53339.84820440405</v>
      </c>
      <c r="L7" s="19">
        <f t="shared" si="208"/>
        <v>0.2233363695026967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09"/>
        <v>0</v>
      </c>
      <c r="S7" s="35">
        <f t="shared" si="210"/>
        <v>613984</v>
      </c>
      <c r="T7" s="35">
        <f t="shared" si="211"/>
        <v>237413</v>
      </c>
      <c r="U7" s="19">
        <f t="shared" si="212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04"/>
        <v>357411.22353525035</v>
      </c>
      <c r="F8" s="44">
        <v>0</v>
      </c>
      <c r="G8" s="13">
        <v>340200</v>
      </c>
      <c r="H8" s="44">
        <v>53840</v>
      </c>
      <c r="I8" s="16">
        <f t="shared" si="205"/>
        <v>53840</v>
      </c>
      <c r="J8" s="17">
        <f t="shared" si="206"/>
        <v>59800</v>
      </c>
      <c r="K8" s="18">
        <f t="shared" si="207"/>
        <v>303978.24561673042</v>
      </c>
      <c r="L8" s="19">
        <f t="shared" si="208"/>
        <v>0.85050000000000003</v>
      </c>
      <c r="M8" s="34">
        <v>0</v>
      </c>
      <c r="N8" s="34">
        <v>0</v>
      </c>
      <c r="O8" s="34">
        <v>261000</v>
      </c>
      <c r="P8" s="34">
        <v>0</v>
      </c>
      <c r="Q8" s="34">
        <v>0</v>
      </c>
      <c r="R8" s="34">
        <f t="shared" si="209"/>
        <v>261000</v>
      </c>
      <c r="S8" s="35">
        <f t="shared" si="210"/>
        <v>655040</v>
      </c>
      <c r="T8" s="35">
        <f t="shared" si="211"/>
        <v>255040</v>
      </c>
      <c r="U8" s="19">
        <f t="shared" si="212"/>
        <v>1.6375999999999999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04"/>
        <v>82902.257365838552</v>
      </c>
      <c r="F9" s="13">
        <v>0</v>
      </c>
      <c r="G9" s="13">
        <v>0</v>
      </c>
      <c r="H9" s="13">
        <v>0</v>
      </c>
      <c r="I9" s="16">
        <f t="shared" si="205"/>
        <v>0</v>
      </c>
      <c r="J9" s="17">
        <f t="shared" si="206"/>
        <v>77600</v>
      </c>
      <c r="K9" s="18">
        <f t="shared" si="207"/>
        <v>0</v>
      </c>
      <c r="L9" s="19">
        <f t="shared" si="208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209"/>
        <v>156000</v>
      </c>
      <c r="S9" s="35">
        <f t="shared" si="210"/>
        <v>156000</v>
      </c>
      <c r="T9" s="35">
        <f t="shared" si="211"/>
        <v>78400</v>
      </c>
      <c r="U9" s="19">
        <f t="shared" si="212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04"/>
        <v>84183.508682919273</v>
      </c>
      <c r="F10" s="13">
        <v>0</v>
      </c>
      <c r="G10" s="13">
        <v>0</v>
      </c>
      <c r="H10" s="13">
        <v>0</v>
      </c>
      <c r="I10" s="16">
        <f t="shared" si="205"/>
        <v>0</v>
      </c>
      <c r="J10" s="17">
        <f t="shared" si="206"/>
        <v>38800</v>
      </c>
      <c r="K10" s="18">
        <f t="shared" si="207"/>
        <v>0</v>
      </c>
      <c r="L10" s="19">
        <f t="shared" si="208"/>
        <v>0</v>
      </c>
      <c r="M10" s="34">
        <v>0</v>
      </c>
      <c r="N10" s="34">
        <v>6</v>
      </c>
      <c r="O10" s="34">
        <v>0</v>
      </c>
      <c r="P10" s="34">
        <v>38800</v>
      </c>
      <c r="Q10" s="34">
        <v>0</v>
      </c>
      <c r="R10" s="34">
        <f t="shared" si="209"/>
        <v>38806</v>
      </c>
      <c r="S10" s="35">
        <f t="shared" si="210"/>
        <v>38806</v>
      </c>
      <c r="T10" s="35">
        <f t="shared" si="211"/>
        <v>6</v>
      </c>
      <c r="U10" s="19">
        <f t="shared" si="212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04"/>
        <v>0</v>
      </c>
      <c r="F11" s="13">
        <v>0</v>
      </c>
      <c r="G11" s="13">
        <v>0</v>
      </c>
      <c r="H11" s="13">
        <v>0</v>
      </c>
      <c r="I11" s="16">
        <f t="shared" si="205"/>
        <v>0</v>
      </c>
      <c r="J11" s="17">
        <f t="shared" si="206"/>
        <v>0</v>
      </c>
      <c r="K11" s="18">
        <f t="shared" si="207"/>
        <v>0</v>
      </c>
      <c r="L11" s="19" t="e">
        <f t="shared" si="20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09"/>
        <v>0</v>
      </c>
      <c r="S11" s="35">
        <f t="shared" si="210"/>
        <v>0</v>
      </c>
      <c r="T11" s="35">
        <f t="shared" si="211"/>
        <v>0</v>
      </c>
      <c r="U11" s="19" t="e">
        <f t="shared" si="212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04"/>
        <v>0</v>
      </c>
      <c r="F12" s="13">
        <v>0</v>
      </c>
      <c r="G12" s="13">
        <v>0</v>
      </c>
      <c r="H12" s="13">
        <v>0</v>
      </c>
      <c r="I12" s="16">
        <f t="shared" si="205"/>
        <v>0</v>
      </c>
      <c r="J12" s="17">
        <f t="shared" si="206"/>
        <v>0</v>
      </c>
      <c r="K12" s="18">
        <f t="shared" si="207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09"/>
        <v>0</v>
      </c>
      <c r="S12" s="35">
        <f t="shared" si="210"/>
        <v>0</v>
      </c>
      <c r="T12" s="35">
        <f t="shared" si="211"/>
        <v>0</v>
      </c>
      <c r="U12" s="19" t="e">
        <f t="shared" si="212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04"/>
        <v>0</v>
      </c>
      <c r="F13" s="13">
        <v>0</v>
      </c>
      <c r="G13" s="13">
        <v>0</v>
      </c>
      <c r="H13" s="13">
        <v>0</v>
      </c>
      <c r="I13" s="16">
        <f t="shared" si="205"/>
        <v>0</v>
      </c>
      <c r="J13" s="17">
        <f t="shared" si="206"/>
        <v>0</v>
      </c>
      <c r="K13" s="18">
        <f t="shared" si="20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09"/>
        <v>0</v>
      </c>
      <c r="S13" s="35">
        <f t="shared" si="210"/>
        <v>0</v>
      </c>
      <c r="T13" s="35">
        <f t="shared" si="211"/>
        <v>0</v>
      </c>
      <c r="U13" s="19" t="e">
        <f t="shared" si="212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04"/>
        <v>0</v>
      </c>
      <c r="F14" s="13">
        <v>0</v>
      </c>
      <c r="G14" s="13">
        <v>0</v>
      </c>
      <c r="H14" s="13">
        <v>0</v>
      </c>
      <c r="I14" s="16">
        <f t="shared" si="205"/>
        <v>0</v>
      </c>
      <c r="J14" s="17">
        <f t="shared" si="206"/>
        <v>0</v>
      </c>
      <c r="K14" s="18">
        <f t="shared" si="20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09"/>
        <v>0</v>
      </c>
      <c r="S14" s="35">
        <f t="shared" si="210"/>
        <v>0</v>
      </c>
      <c r="T14" s="35">
        <f t="shared" si="211"/>
        <v>0</v>
      </c>
      <c r="U14" s="19" t="e">
        <f t="shared" si="212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04"/>
        <v>0</v>
      </c>
      <c r="F15" s="13">
        <v>0</v>
      </c>
      <c r="G15" s="13">
        <v>0</v>
      </c>
      <c r="H15" s="13">
        <v>0</v>
      </c>
      <c r="I15" s="16">
        <f t="shared" si="205"/>
        <v>0</v>
      </c>
      <c r="J15" s="17">
        <f t="shared" si="206"/>
        <v>0</v>
      </c>
      <c r="K15" s="18">
        <f t="shared" si="20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09"/>
        <v>0</v>
      </c>
      <c r="S15" s="35">
        <f t="shared" si="210"/>
        <v>0</v>
      </c>
      <c r="T15" s="35">
        <f t="shared" si="211"/>
        <v>0</v>
      </c>
      <c r="U15" s="19" t="e">
        <f t="shared" si="212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04"/>
        <v>0</v>
      </c>
      <c r="F16" s="13">
        <v>0</v>
      </c>
      <c r="G16" s="13">
        <v>0</v>
      </c>
      <c r="H16" s="13">
        <v>0</v>
      </c>
      <c r="I16" s="16">
        <f t="shared" si="205"/>
        <v>0</v>
      </c>
      <c r="J16" s="17">
        <f t="shared" si="206"/>
        <v>0</v>
      </c>
      <c r="K16" s="18">
        <f t="shared" si="207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09"/>
        <v>0</v>
      </c>
      <c r="S16" s="35">
        <f t="shared" si="210"/>
        <v>0</v>
      </c>
      <c r="T16" s="35">
        <f t="shared" si="211"/>
        <v>0</v>
      </c>
      <c r="U16" s="19" t="e">
        <f t="shared" si="212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04"/>
        <v>0</v>
      </c>
      <c r="F17" s="13">
        <v>40345</v>
      </c>
      <c r="G17" s="13">
        <v>0</v>
      </c>
      <c r="H17" s="13">
        <v>10000</v>
      </c>
      <c r="I17" s="16">
        <f t="shared" si="205"/>
        <v>50345</v>
      </c>
      <c r="J17" s="17">
        <f t="shared" si="206"/>
        <v>0</v>
      </c>
      <c r="K17" s="18">
        <f t="shared" si="207"/>
        <v>0</v>
      </c>
      <c r="L17" s="19" t="e">
        <f t="shared" ref="L17:L18" si="213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09"/>
        <v>0</v>
      </c>
      <c r="S17" s="35">
        <f t="shared" si="210"/>
        <v>50345</v>
      </c>
      <c r="T17" s="35">
        <f t="shared" si="211"/>
        <v>50345</v>
      </c>
      <c r="U17" s="19" t="e">
        <f t="shared" si="212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14">SUM(E3:E17)</f>
        <v>2996630.1212656549</v>
      </c>
      <c r="F18" s="24">
        <f t="shared" si="214"/>
        <v>644216</v>
      </c>
      <c r="G18" s="24">
        <f t="shared" si="214"/>
        <v>956484</v>
      </c>
      <c r="H18" s="24">
        <f t="shared" si="214"/>
        <v>164158</v>
      </c>
      <c r="I18" s="25">
        <f t="shared" si="214"/>
        <v>808374</v>
      </c>
      <c r="J18" s="26">
        <f t="shared" si="214"/>
        <v>994573</v>
      </c>
      <c r="K18" s="26">
        <f t="shared" si="214"/>
        <v>1281358.8181339025</v>
      </c>
      <c r="L18" s="27">
        <f t="shared" si="213"/>
        <v>0.42759992601045754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09"/>
        <v>0</v>
      </c>
      <c r="S18" s="35">
        <f t="shared" si="210"/>
        <v>1764858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D00A8-00E0-44AA-B37B-007E00200013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B80007-007E-408A-BE36-004A00F400A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9A0070-003B-4695-96A6-00FD00DD007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E00B7-0068-4A7B-B44D-00DA00B800D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B700AF-00DA-4A15-8F5C-00310035008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EC0010-0082-4A78-96F6-007A00FA00C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21008E-0016-4549-91F3-00A5000D005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88" workbookViewId="0">
      <pane xSplit="3" ySplit="2" topLeftCell="D3" activePane="bottomRight" state="frozen"/>
      <selection activeCell="D8" activeCellId="0" sqref="D8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78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15">C3*D3</f>
        <v>1655102.6042308819</v>
      </c>
      <c r="F3" s="13">
        <v>0</v>
      </c>
      <c r="G3" s="44">
        <v>204519</v>
      </c>
      <c r="H3" s="13">
        <v>73989</v>
      </c>
      <c r="I3" s="16">
        <f t="shared" ref="I3:I17" si="216">F3+H3</f>
        <v>73989</v>
      </c>
      <c r="J3" s="17">
        <f t="shared" ref="J3:J17" si="217">C3-G3</f>
        <v>367710</v>
      </c>
      <c r="K3" s="18">
        <f t="shared" ref="K3:K17" si="218">+G3*D3</f>
        <v>591546.2682155146</v>
      </c>
      <c r="L3" s="19">
        <f t="shared" ref="L3:L11" si="219">K3/E3</f>
        <v>0.35740761128848764</v>
      </c>
      <c r="M3" s="34">
        <v>0</v>
      </c>
      <c r="N3" s="34">
        <v>0</v>
      </c>
      <c r="O3" s="34">
        <v>129500</v>
      </c>
      <c r="P3" s="34">
        <v>148000</v>
      </c>
      <c r="Q3" s="34">
        <v>0</v>
      </c>
      <c r="R3" s="34">
        <f t="shared" ref="R3:R18" si="220">M3+N3+O3+P3+Q3</f>
        <v>277500</v>
      </c>
      <c r="S3" s="35">
        <f t="shared" ref="S3:S18" si="221">G3+I3+R3</f>
        <v>556008</v>
      </c>
      <c r="T3" s="35">
        <f t="shared" ref="T3:T17" si="222">S3-C3</f>
        <v>-16221</v>
      </c>
      <c r="U3" s="19">
        <f t="shared" ref="U3:U17" si="223">S3/C3</f>
        <v>0.97165295712031374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15"/>
        <v>186188.01610302701</v>
      </c>
      <c r="F4" s="13">
        <v>0</v>
      </c>
      <c r="G4" s="13">
        <v>142753</v>
      </c>
      <c r="H4" s="13">
        <v>0</v>
      </c>
      <c r="I4" s="16">
        <f t="shared" si="216"/>
        <v>0</v>
      </c>
      <c r="J4" s="17">
        <f t="shared" si="217"/>
        <v>146</v>
      </c>
      <c r="K4" s="18">
        <f t="shared" si="218"/>
        <v>185997.78768749547</v>
      </c>
      <c r="L4" s="19">
        <f t="shared" si="219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20"/>
        <v>0</v>
      </c>
      <c r="S4" s="35">
        <f t="shared" si="221"/>
        <v>142753</v>
      </c>
      <c r="T4" s="35">
        <f t="shared" si="222"/>
        <v>-146</v>
      </c>
      <c r="U4" s="19">
        <f t="shared" si="223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15"/>
        <v>0</v>
      </c>
      <c r="F5" s="13">
        <v>0</v>
      </c>
      <c r="G5" s="13">
        <v>0</v>
      </c>
      <c r="H5" s="13">
        <v>0</v>
      </c>
      <c r="I5" s="16">
        <f t="shared" si="216"/>
        <v>0</v>
      </c>
      <c r="J5" s="17">
        <f t="shared" si="217"/>
        <v>0</v>
      </c>
      <c r="K5" s="18">
        <f t="shared" si="218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20"/>
        <v>0</v>
      </c>
      <c r="S5" s="35">
        <f t="shared" si="221"/>
        <v>0</v>
      </c>
      <c r="T5" s="35">
        <f t="shared" si="222"/>
        <v>0</v>
      </c>
      <c r="U5" s="19" t="e">
        <f t="shared" si="223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15"/>
        <v>392010.61700300599</v>
      </c>
      <c r="F6" s="13">
        <v>0</v>
      </c>
      <c r="G6" s="44">
        <v>221987</v>
      </c>
      <c r="H6" s="44">
        <v>63241</v>
      </c>
      <c r="I6" s="16">
        <f t="shared" si="216"/>
        <v>63241</v>
      </c>
      <c r="J6" s="17">
        <f t="shared" si="217"/>
        <v>120971</v>
      </c>
      <c r="K6" s="18">
        <f t="shared" si="218"/>
        <v>253737.36969729906</v>
      </c>
      <c r="L6" s="19">
        <f t="shared" si="219"/>
        <v>0.6472716775815115</v>
      </c>
      <c r="M6" s="34">
        <v>0</v>
      </c>
      <c r="N6" s="34">
        <v>0</v>
      </c>
      <c r="O6" s="34">
        <v>0</v>
      </c>
      <c r="P6" s="34">
        <v>63000</v>
      </c>
      <c r="Q6" s="34">
        <v>0</v>
      </c>
      <c r="R6" s="34">
        <f t="shared" si="220"/>
        <v>63000</v>
      </c>
      <c r="S6" s="35">
        <f t="shared" si="221"/>
        <v>348228</v>
      </c>
      <c r="T6" s="35">
        <f t="shared" si="222"/>
        <v>5270</v>
      </c>
      <c r="U6" s="19">
        <f t="shared" si="223"/>
        <v>1.0153663130762367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15"/>
        <v>238831.89434473185</v>
      </c>
      <c r="F7" s="13">
        <v>0</v>
      </c>
      <c r="G7" s="13">
        <v>84102</v>
      </c>
      <c r="H7" s="13">
        <v>529882</v>
      </c>
      <c r="I7" s="16">
        <f t="shared" si="216"/>
        <v>529882</v>
      </c>
      <c r="J7" s="17">
        <f t="shared" si="217"/>
        <v>292469</v>
      </c>
      <c r="K7" s="18">
        <f t="shared" si="218"/>
        <v>53339.84820440405</v>
      </c>
      <c r="L7" s="19">
        <f t="shared" si="219"/>
        <v>0.2233363695026967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20"/>
        <v>0</v>
      </c>
      <c r="S7" s="35">
        <f t="shared" si="221"/>
        <v>613984</v>
      </c>
      <c r="T7" s="35">
        <f t="shared" si="222"/>
        <v>237413</v>
      </c>
      <c r="U7" s="19">
        <f t="shared" si="223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15"/>
        <v>357411.22353525035</v>
      </c>
      <c r="F8" s="44">
        <v>0</v>
      </c>
      <c r="G8" s="13">
        <v>394040</v>
      </c>
      <c r="H8" s="44">
        <v>0</v>
      </c>
      <c r="I8" s="16">
        <f t="shared" si="216"/>
        <v>0</v>
      </c>
      <c r="J8" s="17">
        <f t="shared" si="217"/>
        <v>5960</v>
      </c>
      <c r="K8" s="18">
        <f t="shared" si="218"/>
        <v>352085.79630457511</v>
      </c>
      <c r="L8" s="19">
        <f t="shared" si="219"/>
        <v>0.98509999999999998</v>
      </c>
      <c r="M8" s="34">
        <v>0</v>
      </c>
      <c r="N8" s="34">
        <v>0</v>
      </c>
      <c r="O8" s="34">
        <v>261000</v>
      </c>
      <c r="P8" s="34">
        <v>0</v>
      </c>
      <c r="Q8" s="34">
        <v>0</v>
      </c>
      <c r="R8" s="34">
        <f t="shared" si="220"/>
        <v>261000</v>
      </c>
      <c r="S8" s="35">
        <f t="shared" si="221"/>
        <v>655040</v>
      </c>
      <c r="T8" s="35">
        <f t="shared" si="222"/>
        <v>255040</v>
      </c>
      <c r="U8" s="19">
        <f t="shared" si="223"/>
        <v>1.6375999999999999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15"/>
        <v>82902.257365838552</v>
      </c>
      <c r="F9" s="13">
        <v>0</v>
      </c>
      <c r="G9" s="13">
        <v>0</v>
      </c>
      <c r="H9" s="13">
        <v>0</v>
      </c>
      <c r="I9" s="16">
        <f t="shared" si="216"/>
        <v>0</v>
      </c>
      <c r="J9" s="17">
        <f t="shared" si="217"/>
        <v>77600</v>
      </c>
      <c r="K9" s="18">
        <f t="shared" si="218"/>
        <v>0</v>
      </c>
      <c r="L9" s="19">
        <f t="shared" si="219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220"/>
        <v>156000</v>
      </c>
      <c r="S9" s="35">
        <f t="shared" si="221"/>
        <v>156000</v>
      </c>
      <c r="T9" s="35">
        <f t="shared" si="222"/>
        <v>78400</v>
      </c>
      <c r="U9" s="19">
        <f t="shared" si="223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15"/>
        <v>84183.508682919273</v>
      </c>
      <c r="F10" s="13">
        <v>0</v>
      </c>
      <c r="G10" s="13">
        <v>0</v>
      </c>
      <c r="H10" s="13">
        <v>0</v>
      </c>
      <c r="I10" s="16">
        <f t="shared" si="216"/>
        <v>0</v>
      </c>
      <c r="J10" s="17">
        <f t="shared" si="217"/>
        <v>38800</v>
      </c>
      <c r="K10" s="18">
        <f t="shared" si="218"/>
        <v>0</v>
      </c>
      <c r="L10" s="19">
        <f t="shared" si="219"/>
        <v>0</v>
      </c>
      <c r="M10" s="34">
        <v>0</v>
      </c>
      <c r="N10" s="34">
        <v>6</v>
      </c>
      <c r="O10" s="34">
        <v>0</v>
      </c>
      <c r="P10" s="34">
        <v>38800</v>
      </c>
      <c r="Q10" s="34">
        <v>0</v>
      </c>
      <c r="R10" s="34">
        <f t="shared" si="220"/>
        <v>38806</v>
      </c>
      <c r="S10" s="35">
        <f t="shared" si="221"/>
        <v>38806</v>
      </c>
      <c r="T10" s="35">
        <f t="shared" si="222"/>
        <v>6</v>
      </c>
      <c r="U10" s="19">
        <f t="shared" si="223"/>
        <v>1.0001546391752578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15"/>
        <v>0</v>
      </c>
      <c r="F11" s="13">
        <v>0</v>
      </c>
      <c r="G11" s="13">
        <v>0</v>
      </c>
      <c r="H11" s="13">
        <v>0</v>
      </c>
      <c r="I11" s="16">
        <f t="shared" si="216"/>
        <v>0</v>
      </c>
      <c r="J11" s="17">
        <f t="shared" si="217"/>
        <v>0</v>
      </c>
      <c r="K11" s="18">
        <f t="shared" si="218"/>
        <v>0</v>
      </c>
      <c r="L11" s="19" t="e">
        <f t="shared" si="219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20"/>
        <v>0</v>
      </c>
      <c r="S11" s="35">
        <f t="shared" si="221"/>
        <v>0</v>
      </c>
      <c r="T11" s="35">
        <f t="shared" si="222"/>
        <v>0</v>
      </c>
      <c r="U11" s="19" t="e">
        <f t="shared" si="22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15"/>
        <v>0</v>
      </c>
      <c r="F12" s="13">
        <v>0</v>
      </c>
      <c r="G12" s="13">
        <v>0</v>
      </c>
      <c r="H12" s="13">
        <v>0</v>
      </c>
      <c r="I12" s="16">
        <f t="shared" si="216"/>
        <v>0</v>
      </c>
      <c r="J12" s="17">
        <f t="shared" si="217"/>
        <v>0</v>
      </c>
      <c r="K12" s="18">
        <f t="shared" si="218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20"/>
        <v>0</v>
      </c>
      <c r="S12" s="35">
        <f t="shared" si="221"/>
        <v>0</v>
      </c>
      <c r="T12" s="35">
        <f t="shared" si="222"/>
        <v>0</v>
      </c>
      <c r="U12" s="19" t="e">
        <f t="shared" si="22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15"/>
        <v>0</v>
      </c>
      <c r="F13" s="13">
        <v>0</v>
      </c>
      <c r="G13" s="13">
        <v>0</v>
      </c>
      <c r="H13" s="13">
        <v>0</v>
      </c>
      <c r="I13" s="16">
        <f t="shared" si="216"/>
        <v>0</v>
      </c>
      <c r="J13" s="17">
        <f t="shared" si="217"/>
        <v>0</v>
      </c>
      <c r="K13" s="18">
        <f t="shared" si="21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20"/>
        <v>0</v>
      </c>
      <c r="S13" s="35">
        <f t="shared" si="221"/>
        <v>0</v>
      </c>
      <c r="T13" s="35">
        <f t="shared" si="222"/>
        <v>0</v>
      </c>
      <c r="U13" s="19" t="e">
        <f t="shared" si="223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15"/>
        <v>0</v>
      </c>
      <c r="F14" s="13">
        <v>0</v>
      </c>
      <c r="G14" s="13">
        <v>0</v>
      </c>
      <c r="H14" s="13">
        <v>0</v>
      </c>
      <c r="I14" s="16">
        <f t="shared" si="216"/>
        <v>0</v>
      </c>
      <c r="J14" s="17">
        <f t="shared" si="217"/>
        <v>0</v>
      </c>
      <c r="K14" s="18">
        <f t="shared" si="21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20"/>
        <v>0</v>
      </c>
      <c r="S14" s="35">
        <f t="shared" si="221"/>
        <v>0</v>
      </c>
      <c r="T14" s="35">
        <f t="shared" si="222"/>
        <v>0</v>
      </c>
      <c r="U14" s="19" t="e">
        <f t="shared" si="223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15"/>
        <v>0</v>
      </c>
      <c r="F15" s="13">
        <v>0</v>
      </c>
      <c r="G15" s="13">
        <v>0</v>
      </c>
      <c r="H15" s="13">
        <v>0</v>
      </c>
      <c r="I15" s="16">
        <f t="shared" si="216"/>
        <v>0</v>
      </c>
      <c r="J15" s="17">
        <f t="shared" si="217"/>
        <v>0</v>
      </c>
      <c r="K15" s="18">
        <f t="shared" si="21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20"/>
        <v>0</v>
      </c>
      <c r="S15" s="35">
        <f t="shared" si="221"/>
        <v>0</v>
      </c>
      <c r="T15" s="35">
        <f t="shared" si="222"/>
        <v>0</v>
      </c>
      <c r="U15" s="19" t="e">
        <f t="shared" si="223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15"/>
        <v>0</v>
      </c>
      <c r="F16" s="13">
        <v>0</v>
      </c>
      <c r="G16" s="13">
        <v>0</v>
      </c>
      <c r="H16" s="13">
        <v>0</v>
      </c>
      <c r="I16" s="16">
        <f t="shared" si="216"/>
        <v>0</v>
      </c>
      <c r="J16" s="17">
        <f t="shared" si="217"/>
        <v>0</v>
      </c>
      <c r="K16" s="18">
        <f t="shared" si="218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20"/>
        <v>0</v>
      </c>
      <c r="S16" s="35">
        <f t="shared" si="221"/>
        <v>0</v>
      </c>
      <c r="T16" s="35">
        <f t="shared" si="222"/>
        <v>0</v>
      </c>
      <c r="U16" s="19" t="e">
        <f t="shared" si="223"/>
        <v>#DIV/0!</v>
      </c>
    </row>
    <row r="17">
      <c r="A17" s="20" t="s">
        <v>48</v>
      </c>
      <c r="B17" s="9" t="s">
        <v>49</v>
      </c>
      <c r="C17" s="14">
        <v>10000</v>
      </c>
      <c r="D17" s="11">
        <v>3.0573254068481477</v>
      </c>
      <c r="E17" s="12">
        <f t="shared" si="215"/>
        <v>30573.254068481478</v>
      </c>
      <c r="F17" s="13">
        <v>30345</v>
      </c>
      <c r="G17" s="13">
        <v>10000</v>
      </c>
      <c r="H17" s="13">
        <v>0</v>
      </c>
      <c r="I17" s="16">
        <f t="shared" si="216"/>
        <v>30345</v>
      </c>
      <c r="J17" s="17">
        <f t="shared" si="217"/>
        <v>0</v>
      </c>
      <c r="K17" s="18">
        <f t="shared" si="218"/>
        <v>30573.254068481478</v>
      </c>
      <c r="L17" s="19">
        <f t="shared" ref="L17:L18" si="224">K17/E17</f>
        <v>1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20"/>
        <v>0</v>
      </c>
      <c r="S17" s="35">
        <f t="shared" si="221"/>
        <v>40345</v>
      </c>
      <c r="T17" s="35">
        <f t="shared" si="222"/>
        <v>30345</v>
      </c>
      <c r="U17" s="19">
        <f t="shared" si="223"/>
        <v>4.0345000000000004</v>
      </c>
    </row>
    <row r="18" ht="16.5">
      <c r="A18" s="21" t="s">
        <v>50</v>
      </c>
      <c r="B18" s="21"/>
      <c r="C18" s="36">
        <f>SUM(C3:C17)</f>
        <v>1961057</v>
      </c>
      <c r="D18" s="23"/>
      <c r="E18" s="22">
        <f t="shared" ref="E18:K18" si="225">SUM(E3:E17)</f>
        <v>3027203.3753341362</v>
      </c>
      <c r="F18" s="24">
        <f t="shared" si="225"/>
        <v>30345</v>
      </c>
      <c r="G18" s="24">
        <f t="shared" si="225"/>
        <v>1057401</v>
      </c>
      <c r="H18" s="24">
        <f t="shared" si="225"/>
        <v>667112</v>
      </c>
      <c r="I18" s="25">
        <f t="shared" si="225"/>
        <v>697457</v>
      </c>
      <c r="J18" s="26">
        <f t="shared" si="225"/>
        <v>903656</v>
      </c>
      <c r="K18" s="26">
        <f t="shared" si="225"/>
        <v>1467280.3241777699</v>
      </c>
      <c r="L18" s="27">
        <f t="shared" si="224"/>
        <v>0.4846982981497947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20"/>
        <v>0</v>
      </c>
      <c r="S18" s="35">
        <f t="shared" si="221"/>
        <v>1754858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/>
    </row>
    <row r="24">
      <c r="B24" s="28"/>
      <c r="C24" s="28"/>
      <c r="D24" s="28"/>
      <c r="E24" s="28">
        <v>376000</v>
      </c>
    </row>
    <row r="25">
      <c r="B25" s="28"/>
      <c r="C25" s="28"/>
      <c r="D25" s="28"/>
      <c r="E25" s="28"/>
    </row>
    <row r="26">
      <c r="B26" s="28"/>
      <c r="C26" s="28"/>
      <c r="D26" s="28"/>
      <c r="E26" s="28">
        <v>84000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5A00D8-00C1-47D1-BCF5-000A006900CE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B200C3-003C-49E3-B40A-008C000900F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1F009A-001B-41BF-A624-000A003D003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230092-00A2-4755-B220-0013003F002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550036-0045-445E-8123-006D009D000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3500E4-0024-4EFF-BA7B-006100C3004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320040-007D-4609-B6B6-00E300EE006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A22" activeCellId="0" sqref="A22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79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26">C3*D3</f>
        <v>1655102.6042308819</v>
      </c>
      <c r="F3" s="13">
        <v>91752</v>
      </c>
      <c r="G3" s="44">
        <v>278508</v>
      </c>
      <c r="H3" s="13">
        <v>0</v>
      </c>
      <c r="I3" s="16">
        <f t="shared" ref="I3:I17" si="227">F3+H3</f>
        <v>91752</v>
      </c>
      <c r="J3" s="17">
        <f t="shared" ref="J3:J17" si="228">C3-G3</f>
        <v>293721</v>
      </c>
      <c r="K3" s="18">
        <f t="shared" ref="K3:K17" si="229">+G3*D3</f>
        <v>805550.42841088877</v>
      </c>
      <c r="L3" s="19">
        <f t="shared" ref="L3:L11" si="230">K3/E3</f>
        <v>0.48670724482680888</v>
      </c>
      <c r="M3" s="34">
        <v>0</v>
      </c>
      <c r="N3" s="34">
        <v>0</v>
      </c>
      <c r="O3" s="34">
        <v>0</v>
      </c>
      <c r="P3" s="34">
        <v>148000</v>
      </c>
      <c r="Q3" s="34">
        <v>0</v>
      </c>
      <c r="R3" s="34">
        <v>222000</v>
      </c>
      <c r="S3" s="35">
        <f t="shared" ref="S3:S18" si="231">G3+I3+R3</f>
        <v>592260</v>
      </c>
      <c r="T3" s="35">
        <f t="shared" ref="T3:T17" si="232">S3-C3</f>
        <v>20031</v>
      </c>
      <c r="U3" s="19">
        <f t="shared" ref="U3:U17" si="233">S3/C3</f>
        <v>1.0350052164430674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26"/>
        <v>186188.01610302701</v>
      </c>
      <c r="F4" s="13">
        <v>0</v>
      </c>
      <c r="G4" s="13">
        <v>142753</v>
      </c>
      <c r="H4" s="13">
        <v>0</v>
      </c>
      <c r="I4" s="16">
        <f t="shared" si="227"/>
        <v>0</v>
      </c>
      <c r="J4" s="17">
        <f t="shared" si="228"/>
        <v>146</v>
      </c>
      <c r="K4" s="18">
        <f t="shared" si="229"/>
        <v>185997.78768749547</v>
      </c>
      <c r="L4" s="19">
        <f t="shared" si="230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ref="R4:R18" si="234">M4+N4+O4+P4+Q4</f>
        <v>0</v>
      </c>
      <c r="S4" s="35">
        <f t="shared" si="231"/>
        <v>142753</v>
      </c>
      <c r="T4" s="35">
        <f t="shared" si="232"/>
        <v>-146</v>
      </c>
      <c r="U4" s="19">
        <f t="shared" si="233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26"/>
        <v>0</v>
      </c>
      <c r="F5" s="13">
        <v>0</v>
      </c>
      <c r="G5" s="13">
        <v>0</v>
      </c>
      <c r="H5" s="13">
        <v>0</v>
      </c>
      <c r="I5" s="16">
        <f t="shared" si="227"/>
        <v>0</v>
      </c>
      <c r="J5" s="17">
        <f t="shared" si="228"/>
        <v>0</v>
      </c>
      <c r="K5" s="18">
        <f t="shared" si="229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34"/>
        <v>0</v>
      </c>
      <c r="S5" s="35">
        <f t="shared" si="231"/>
        <v>0</v>
      </c>
      <c r="T5" s="35">
        <f t="shared" si="232"/>
        <v>0</v>
      </c>
      <c r="U5" s="19" t="e">
        <f t="shared" si="233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26"/>
        <v>392010.61700300599</v>
      </c>
      <c r="F6" s="13">
        <v>0</v>
      </c>
      <c r="G6" s="44">
        <v>285228</v>
      </c>
      <c r="H6" s="44">
        <v>0</v>
      </c>
      <c r="I6" s="16">
        <f t="shared" si="227"/>
        <v>0</v>
      </c>
      <c r="J6" s="17">
        <f t="shared" si="228"/>
        <v>57730</v>
      </c>
      <c r="K6" s="18">
        <f t="shared" si="229"/>
        <v>326023.60716628097</v>
      </c>
      <c r="L6" s="19">
        <f t="shared" si="230"/>
        <v>0.83167035030528513</v>
      </c>
      <c r="M6" s="34">
        <v>0</v>
      </c>
      <c r="N6" s="34">
        <v>0</v>
      </c>
      <c r="O6" s="34">
        <v>0</v>
      </c>
      <c r="P6" s="34">
        <v>63000</v>
      </c>
      <c r="Q6" s="34">
        <v>0</v>
      </c>
      <c r="R6" s="34">
        <f t="shared" si="234"/>
        <v>63000</v>
      </c>
      <c r="S6" s="35">
        <f t="shared" si="231"/>
        <v>348228</v>
      </c>
      <c r="T6" s="35">
        <f t="shared" si="232"/>
        <v>5270</v>
      </c>
      <c r="U6" s="19">
        <f t="shared" si="233"/>
        <v>1.0153663130762367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26"/>
        <v>238831.89434473185</v>
      </c>
      <c r="F7" s="13">
        <v>0</v>
      </c>
      <c r="G7" s="13">
        <v>103684</v>
      </c>
      <c r="H7" s="13">
        <v>510300</v>
      </c>
      <c r="I7" s="16">
        <f t="shared" si="227"/>
        <v>510300</v>
      </c>
      <c r="J7" s="17">
        <f t="shared" si="228"/>
        <v>272887</v>
      </c>
      <c r="K7" s="18">
        <f t="shared" si="229"/>
        <v>65759.302052572224</v>
      </c>
      <c r="L7" s="19">
        <f t="shared" si="230"/>
        <v>0.2753371874095456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34"/>
        <v>0</v>
      </c>
      <c r="S7" s="35">
        <f t="shared" si="231"/>
        <v>613984</v>
      </c>
      <c r="T7" s="35">
        <f t="shared" si="232"/>
        <v>237413</v>
      </c>
      <c r="U7" s="19">
        <f t="shared" si="233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26"/>
        <v>357411.22353525035</v>
      </c>
      <c r="F8" s="44">
        <v>0</v>
      </c>
      <c r="G8" s="13">
        <v>394040</v>
      </c>
      <c r="H8" s="44">
        <v>0</v>
      </c>
      <c r="I8" s="16">
        <f t="shared" si="227"/>
        <v>0</v>
      </c>
      <c r="J8" s="17">
        <f t="shared" si="228"/>
        <v>5960</v>
      </c>
      <c r="K8" s="18">
        <f t="shared" si="229"/>
        <v>352085.79630457511</v>
      </c>
      <c r="L8" s="19">
        <f t="shared" si="230"/>
        <v>0.98509999999999998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34"/>
        <v>0</v>
      </c>
      <c r="S8" s="35">
        <f t="shared" si="231"/>
        <v>394040</v>
      </c>
      <c r="T8" s="35">
        <f t="shared" si="232"/>
        <v>-5960</v>
      </c>
      <c r="U8" s="19">
        <f t="shared" si="233"/>
        <v>0.98509999999999998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26"/>
        <v>82902.257365838552</v>
      </c>
      <c r="F9" s="13">
        <v>0</v>
      </c>
      <c r="G9" s="13">
        <v>0</v>
      </c>
      <c r="H9" s="13">
        <v>0</v>
      </c>
      <c r="I9" s="16">
        <f t="shared" si="227"/>
        <v>0</v>
      </c>
      <c r="J9" s="17">
        <f t="shared" si="228"/>
        <v>77600</v>
      </c>
      <c r="K9" s="18">
        <f t="shared" si="229"/>
        <v>0</v>
      </c>
      <c r="L9" s="19">
        <f t="shared" si="230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234"/>
        <v>156000</v>
      </c>
      <c r="S9" s="35">
        <f t="shared" si="231"/>
        <v>156000</v>
      </c>
      <c r="T9" s="35">
        <f t="shared" si="232"/>
        <v>78400</v>
      </c>
      <c r="U9" s="19">
        <f t="shared" si="233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26"/>
        <v>84183.508682919273</v>
      </c>
      <c r="F10" s="13">
        <v>0</v>
      </c>
      <c r="G10" s="13">
        <v>0</v>
      </c>
      <c r="H10" s="13">
        <v>0</v>
      </c>
      <c r="I10" s="16">
        <f t="shared" si="227"/>
        <v>0</v>
      </c>
      <c r="J10" s="17">
        <f t="shared" si="228"/>
        <v>38800</v>
      </c>
      <c r="K10" s="18">
        <f t="shared" si="229"/>
        <v>0</v>
      </c>
      <c r="L10" s="19">
        <f t="shared" si="230"/>
        <v>0</v>
      </c>
      <c r="M10" s="34">
        <v>0</v>
      </c>
      <c r="N10" s="34">
        <v>6</v>
      </c>
      <c r="O10" s="34">
        <v>0</v>
      </c>
      <c r="P10" s="34">
        <v>0</v>
      </c>
      <c r="Q10" s="34">
        <v>0</v>
      </c>
      <c r="R10" s="34">
        <f t="shared" si="234"/>
        <v>6</v>
      </c>
      <c r="S10" s="35">
        <f t="shared" si="231"/>
        <v>6</v>
      </c>
      <c r="T10" s="35">
        <f t="shared" si="232"/>
        <v>-38794</v>
      </c>
      <c r="U10" s="19">
        <f t="shared" si="233"/>
        <v>0.00015463917525773195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26"/>
        <v>0</v>
      </c>
      <c r="F11" s="13">
        <v>0</v>
      </c>
      <c r="G11" s="13">
        <v>0</v>
      </c>
      <c r="H11" s="13">
        <v>0</v>
      </c>
      <c r="I11" s="16">
        <f t="shared" si="227"/>
        <v>0</v>
      </c>
      <c r="J11" s="17">
        <f t="shared" si="228"/>
        <v>0</v>
      </c>
      <c r="K11" s="18">
        <f t="shared" si="229"/>
        <v>0</v>
      </c>
      <c r="L11" s="19" t="e">
        <f t="shared" si="230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34"/>
        <v>0</v>
      </c>
      <c r="S11" s="35">
        <f t="shared" si="231"/>
        <v>0</v>
      </c>
      <c r="T11" s="35">
        <f t="shared" si="232"/>
        <v>0</v>
      </c>
      <c r="U11" s="19" t="e">
        <f t="shared" si="23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26"/>
        <v>0</v>
      </c>
      <c r="F12" s="13">
        <v>0</v>
      </c>
      <c r="G12" s="13">
        <v>0</v>
      </c>
      <c r="H12" s="13">
        <v>0</v>
      </c>
      <c r="I12" s="16">
        <f t="shared" si="227"/>
        <v>0</v>
      </c>
      <c r="J12" s="17">
        <f t="shared" si="228"/>
        <v>0</v>
      </c>
      <c r="K12" s="18">
        <f t="shared" si="229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34"/>
        <v>0</v>
      </c>
      <c r="S12" s="35">
        <f t="shared" si="231"/>
        <v>0</v>
      </c>
      <c r="T12" s="35">
        <f t="shared" si="232"/>
        <v>0</v>
      </c>
      <c r="U12" s="19" t="e">
        <f t="shared" si="23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26"/>
        <v>0</v>
      </c>
      <c r="F13" s="13">
        <v>0</v>
      </c>
      <c r="G13" s="13">
        <v>0</v>
      </c>
      <c r="H13" s="13">
        <v>0</v>
      </c>
      <c r="I13" s="16">
        <f t="shared" si="227"/>
        <v>0</v>
      </c>
      <c r="J13" s="17">
        <f t="shared" si="228"/>
        <v>0</v>
      </c>
      <c r="K13" s="18">
        <f t="shared" si="22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34"/>
        <v>0</v>
      </c>
      <c r="S13" s="35">
        <f t="shared" si="231"/>
        <v>0</v>
      </c>
      <c r="T13" s="35">
        <f t="shared" si="232"/>
        <v>0</v>
      </c>
      <c r="U13" s="19" t="e">
        <f t="shared" si="233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26"/>
        <v>0</v>
      </c>
      <c r="F14" s="13">
        <v>0</v>
      </c>
      <c r="G14" s="13">
        <v>0</v>
      </c>
      <c r="H14" s="13">
        <v>0</v>
      </c>
      <c r="I14" s="16">
        <f t="shared" si="227"/>
        <v>0</v>
      </c>
      <c r="J14" s="17">
        <f t="shared" si="228"/>
        <v>0</v>
      </c>
      <c r="K14" s="18">
        <f t="shared" si="22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34"/>
        <v>0</v>
      </c>
      <c r="S14" s="35">
        <f t="shared" si="231"/>
        <v>0</v>
      </c>
      <c r="T14" s="35">
        <f t="shared" si="232"/>
        <v>0</v>
      </c>
      <c r="U14" s="19" t="e">
        <f t="shared" si="233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26"/>
        <v>0</v>
      </c>
      <c r="F15" s="13">
        <v>0</v>
      </c>
      <c r="G15" s="13">
        <v>0</v>
      </c>
      <c r="H15" s="13">
        <v>0</v>
      </c>
      <c r="I15" s="16">
        <f t="shared" si="227"/>
        <v>0</v>
      </c>
      <c r="J15" s="17">
        <f t="shared" si="228"/>
        <v>0</v>
      </c>
      <c r="K15" s="18">
        <f t="shared" si="229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34"/>
        <v>0</v>
      </c>
      <c r="S15" s="35">
        <f t="shared" si="231"/>
        <v>0</v>
      </c>
      <c r="T15" s="35">
        <f t="shared" si="232"/>
        <v>0</v>
      </c>
      <c r="U15" s="19" t="e">
        <f t="shared" si="233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26"/>
        <v>0</v>
      </c>
      <c r="F16" s="13">
        <v>0</v>
      </c>
      <c r="G16" s="13">
        <v>0</v>
      </c>
      <c r="H16" s="13">
        <v>0</v>
      </c>
      <c r="I16" s="16">
        <f t="shared" si="227"/>
        <v>0</v>
      </c>
      <c r="J16" s="17">
        <f t="shared" si="228"/>
        <v>0</v>
      </c>
      <c r="K16" s="18">
        <f t="shared" si="229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34"/>
        <v>0</v>
      </c>
      <c r="S16" s="35">
        <f t="shared" si="231"/>
        <v>0</v>
      </c>
      <c r="T16" s="35">
        <f t="shared" si="232"/>
        <v>0</v>
      </c>
      <c r="U16" s="19" t="e">
        <f t="shared" si="233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26"/>
        <v>0</v>
      </c>
      <c r="F17" s="13">
        <v>40345</v>
      </c>
      <c r="G17" s="13">
        <v>10000</v>
      </c>
      <c r="H17" s="13">
        <v>0</v>
      </c>
      <c r="I17" s="16">
        <f t="shared" si="227"/>
        <v>40345</v>
      </c>
      <c r="J17" s="17">
        <f t="shared" si="228"/>
        <v>-10000</v>
      </c>
      <c r="K17" s="18">
        <f t="shared" si="229"/>
        <v>30573.254068481478</v>
      </c>
      <c r="L17" s="19" t="e">
        <f t="shared" ref="L17:L18" si="235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34"/>
        <v>0</v>
      </c>
      <c r="S17" s="35">
        <f t="shared" si="231"/>
        <v>50345</v>
      </c>
      <c r="T17" s="35">
        <f t="shared" si="232"/>
        <v>50345</v>
      </c>
      <c r="U17" s="19" t="e">
        <f t="shared" si="233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36">SUM(E3:E17)</f>
        <v>2996630.1212656549</v>
      </c>
      <c r="F18" s="24">
        <f t="shared" si="236"/>
        <v>132097</v>
      </c>
      <c r="G18" s="24">
        <f t="shared" si="236"/>
        <v>1214213</v>
      </c>
      <c r="H18" s="24">
        <f t="shared" si="236"/>
        <v>510300</v>
      </c>
      <c r="I18" s="25">
        <f t="shared" si="236"/>
        <v>642397</v>
      </c>
      <c r="J18" s="26">
        <f t="shared" si="236"/>
        <v>736844</v>
      </c>
      <c r="K18" s="26">
        <f t="shared" si="236"/>
        <v>1765990.175690294</v>
      </c>
      <c r="L18" s="27">
        <f t="shared" si="235"/>
        <v>0.58932537691519016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34"/>
        <v>0</v>
      </c>
      <c r="S18" s="35">
        <f t="shared" si="231"/>
        <v>1856610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 t="s">
        <v>64</v>
      </c>
    </row>
    <row r="24">
      <c r="B24" s="28"/>
      <c r="C24" s="28"/>
      <c r="D24" s="28"/>
      <c r="E24" s="28" t="s">
        <v>64</v>
      </c>
      <c r="G24" t="s">
        <v>64</v>
      </c>
    </row>
    <row r="25">
      <c r="B25" s="28"/>
      <c r="C25" s="28"/>
      <c r="D25" s="28"/>
      <c r="E25" s="28"/>
    </row>
    <row r="26">
      <c r="B26" s="28"/>
      <c r="C26" s="28"/>
      <c r="D26" s="28"/>
      <c r="E26" s="28" t="s">
        <v>64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000035-0036-45F5-A5E3-00A3005300BC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360086-0013-4EE7-A01C-00DD00A200D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6D000A-004C-4F0B-91CD-006800E700D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270076-00CE-496A-80DA-008E00ED003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220017-006E-464F-A7B1-00390019002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DE002E-00DA-4B08-8419-005400F4001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1D003A-00BE-48E2-B2DA-00B4009600C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11" activeCellId="0" sqref="H1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80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37">C3*D3</f>
        <v>1655102.6042308819</v>
      </c>
      <c r="F3" s="13">
        <v>74575</v>
      </c>
      <c r="G3" s="44">
        <v>278508</v>
      </c>
      <c r="H3" s="13">
        <v>91728</v>
      </c>
      <c r="I3" s="16">
        <f t="shared" ref="I3:I17" si="238">F3+H3</f>
        <v>166303</v>
      </c>
      <c r="J3" s="17">
        <f t="shared" ref="J3:J17" si="239">C3-G3</f>
        <v>293721</v>
      </c>
      <c r="K3" s="18">
        <f t="shared" ref="K3:K17" si="240">+G3*D3</f>
        <v>805550.42841088877</v>
      </c>
      <c r="L3" s="19">
        <f t="shared" ref="L3:L11" si="241">K3/E3</f>
        <v>0.48670724482680888</v>
      </c>
      <c r="M3" s="34">
        <v>0</v>
      </c>
      <c r="N3" s="34">
        <v>0</v>
      </c>
      <c r="O3" s="34">
        <v>0</v>
      </c>
      <c r="P3" s="34">
        <v>148000</v>
      </c>
      <c r="Q3" s="34">
        <v>0</v>
      </c>
      <c r="R3" s="34">
        <v>222000</v>
      </c>
      <c r="S3" s="35">
        <f t="shared" ref="S3:S18" si="242">G3+I3+R3</f>
        <v>666811</v>
      </c>
      <c r="T3" s="35">
        <f t="shared" ref="T3:T17" si="243">S3-C3</f>
        <v>94582</v>
      </c>
      <c r="U3" s="19">
        <f t="shared" ref="U3:U17" si="244">S3/C3</f>
        <v>1.1652869742707901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37"/>
        <v>186188.01610302701</v>
      </c>
      <c r="F4" s="13">
        <v>0</v>
      </c>
      <c r="G4" s="13">
        <v>142753</v>
      </c>
      <c r="H4" s="13">
        <v>0</v>
      </c>
      <c r="I4" s="16">
        <f t="shared" si="238"/>
        <v>0</v>
      </c>
      <c r="J4" s="17">
        <f t="shared" si="239"/>
        <v>146</v>
      </c>
      <c r="K4" s="18">
        <f t="shared" si="240"/>
        <v>185997.78768749547</v>
      </c>
      <c r="L4" s="19">
        <f t="shared" si="241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ref="R4:R18" si="245">M4+N4+O4+P4+Q4</f>
        <v>0</v>
      </c>
      <c r="S4" s="35">
        <f t="shared" si="242"/>
        <v>142753</v>
      </c>
      <c r="T4" s="35">
        <f t="shared" si="243"/>
        <v>-146</v>
      </c>
      <c r="U4" s="19">
        <f t="shared" si="244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37"/>
        <v>0</v>
      </c>
      <c r="F5" s="13">
        <v>0</v>
      </c>
      <c r="G5" s="13">
        <v>0</v>
      </c>
      <c r="H5" s="13">
        <v>0</v>
      </c>
      <c r="I5" s="16">
        <f t="shared" si="238"/>
        <v>0</v>
      </c>
      <c r="J5" s="17">
        <f t="shared" si="239"/>
        <v>0</v>
      </c>
      <c r="K5" s="18">
        <f t="shared" si="240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45"/>
        <v>0</v>
      </c>
      <c r="S5" s="35">
        <f t="shared" si="242"/>
        <v>0</v>
      </c>
      <c r="T5" s="35">
        <f t="shared" si="243"/>
        <v>0</v>
      </c>
      <c r="U5" s="19" t="e">
        <f t="shared" si="244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37"/>
        <v>392010.61700300599</v>
      </c>
      <c r="F6" s="13">
        <v>0</v>
      </c>
      <c r="G6" s="44">
        <v>285228</v>
      </c>
      <c r="H6" s="44">
        <v>0</v>
      </c>
      <c r="I6" s="16">
        <f t="shared" si="238"/>
        <v>0</v>
      </c>
      <c r="J6" s="17">
        <f t="shared" si="239"/>
        <v>57730</v>
      </c>
      <c r="K6" s="18">
        <f t="shared" si="240"/>
        <v>326023.60716628097</v>
      </c>
      <c r="L6" s="19">
        <f t="shared" si="241"/>
        <v>0.83167035030528513</v>
      </c>
      <c r="M6" s="34">
        <v>0</v>
      </c>
      <c r="N6" s="34">
        <v>0</v>
      </c>
      <c r="O6" s="34">
        <v>0</v>
      </c>
      <c r="P6" s="34">
        <v>63000</v>
      </c>
      <c r="Q6" s="34">
        <v>0</v>
      </c>
      <c r="R6" s="34">
        <f t="shared" si="245"/>
        <v>63000</v>
      </c>
      <c r="S6" s="35">
        <f t="shared" si="242"/>
        <v>348228</v>
      </c>
      <c r="T6" s="35">
        <f t="shared" si="243"/>
        <v>5270</v>
      </c>
      <c r="U6" s="19">
        <f t="shared" si="244"/>
        <v>1.0153663130762367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37"/>
        <v>238831.89434473185</v>
      </c>
      <c r="F7" s="13">
        <v>0</v>
      </c>
      <c r="G7" s="13">
        <v>330484</v>
      </c>
      <c r="H7" s="13">
        <v>283500</v>
      </c>
      <c r="I7" s="16">
        <f t="shared" si="238"/>
        <v>283500</v>
      </c>
      <c r="J7" s="17">
        <f t="shared" si="239"/>
        <v>46087</v>
      </c>
      <c r="K7" s="18">
        <f t="shared" si="240"/>
        <v>209602.22579705913</v>
      </c>
      <c r="L7" s="19">
        <f t="shared" si="241"/>
        <v>0.87761404887790084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45"/>
        <v>0</v>
      </c>
      <c r="S7" s="35">
        <f t="shared" si="242"/>
        <v>613984</v>
      </c>
      <c r="T7" s="35">
        <f t="shared" si="243"/>
        <v>237413</v>
      </c>
      <c r="U7" s="19">
        <f t="shared" si="244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37"/>
        <v>357411.22353525035</v>
      </c>
      <c r="F8" s="44">
        <v>264425</v>
      </c>
      <c r="G8" s="13">
        <v>394040</v>
      </c>
      <c r="H8" s="44">
        <v>0</v>
      </c>
      <c r="I8" s="16">
        <f t="shared" si="238"/>
        <v>264425</v>
      </c>
      <c r="J8" s="17">
        <f t="shared" si="239"/>
        <v>5960</v>
      </c>
      <c r="K8" s="18">
        <f t="shared" si="240"/>
        <v>352085.79630457511</v>
      </c>
      <c r="L8" s="19">
        <f t="shared" si="241"/>
        <v>0.98509999999999998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45"/>
        <v>0</v>
      </c>
      <c r="S8" s="35">
        <f t="shared" si="242"/>
        <v>658465</v>
      </c>
      <c r="T8" s="35">
        <f t="shared" si="243"/>
        <v>258465</v>
      </c>
      <c r="U8" s="19">
        <f t="shared" si="244"/>
        <v>1.6461625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37"/>
        <v>82902.257365838552</v>
      </c>
      <c r="F9" s="13">
        <v>0</v>
      </c>
      <c r="G9" s="13">
        <v>0</v>
      </c>
      <c r="H9" s="13">
        <v>0</v>
      </c>
      <c r="I9" s="16">
        <f t="shared" si="238"/>
        <v>0</v>
      </c>
      <c r="J9" s="17">
        <f t="shared" si="239"/>
        <v>77600</v>
      </c>
      <c r="K9" s="18">
        <f t="shared" si="240"/>
        <v>0</v>
      </c>
      <c r="L9" s="19">
        <f t="shared" si="241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245"/>
        <v>156000</v>
      </c>
      <c r="S9" s="35">
        <f t="shared" si="242"/>
        <v>156000</v>
      </c>
      <c r="T9" s="35">
        <f t="shared" si="243"/>
        <v>78400</v>
      </c>
      <c r="U9" s="19">
        <f t="shared" si="244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37"/>
        <v>84183.508682919273</v>
      </c>
      <c r="F10" s="13">
        <v>0</v>
      </c>
      <c r="G10" s="13">
        <v>0</v>
      </c>
      <c r="H10" s="13">
        <v>0</v>
      </c>
      <c r="I10" s="16">
        <f t="shared" si="238"/>
        <v>0</v>
      </c>
      <c r="J10" s="17">
        <f t="shared" si="239"/>
        <v>38800</v>
      </c>
      <c r="K10" s="18">
        <f t="shared" si="240"/>
        <v>0</v>
      </c>
      <c r="L10" s="19">
        <f t="shared" si="241"/>
        <v>0</v>
      </c>
      <c r="M10" s="34">
        <v>0</v>
      </c>
      <c r="N10" s="34">
        <v>6</v>
      </c>
      <c r="O10" s="34">
        <v>0</v>
      </c>
      <c r="P10" s="34">
        <v>0</v>
      </c>
      <c r="Q10" s="34">
        <v>0</v>
      </c>
      <c r="R10" s="34">
        <f t="shared" si="245"/>
        <v>6</v>
      </c>
      <c r="S10" s="35">
        <f t="shared" si="242"/>
        <v>6</v>
      </c>
      <c r="T10" s="35">
        <f t="shared" si="243"/>
        <v>-38794</v>
      </c>
      <c r="U10" s="19">
        <f t="shared" si="244"/>
        <v>0.00015463917525773195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37"/>
        <v>0</v>
      </c>
      <c r="F11" s="13">
        <v>0</v>
      </c>
      <c r="G11" s="13">
        <v>0</v>
      </c>
      <c r="H11" s="13">
        <v>0</v>
      </c>
      <c r="I11" s="16">
        <f t="shared" si="238"/>
        <v>0</v>
      </c>
      <c r="J11" s="17">
        <f t="shared" si="239"/>
        <v>0</v>
      </c>
      <c r="K11" s="18">
        <f t="shared" si="240"/>
        <v>0</v>
      </c>
      <c r="L11" s="19" t="e">
        <f t="shared" si="241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45"/>
        <v>0</v>
      </c>
      <c r="S11" s="35">
        <f t="shared" si="242"/>
        <v>0</v>
      </c>
      <c r="T11" s="35">
        <f t="shared" si="243"/>
        <v>0</v>
      </c>
      <c r="U11" s="19" t="e">
        <f t="shared" si="244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37"/>
        <v>0</v>
      </c>
      <c r="F12" s="13">
        <v>0</v>
      </c>
      <c r="G12" s="13">
        <v>0</v>
      </c>
      <c r="H12" s="13">
        <v>0</v>
      </c>
      <c r="I12" s="16">
        <f t="shared" si="238"/>
        <v>0</v>
      </c>
      <c r="J12" s="17">
        <f t="shared" si="239"/>
        <v>0</v>
      </c>
      <c r="K12" s="18">
        <f t="shared" si="240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45"/>
        <v>0</v>
      </c>
      <c r="S12" s="35">
        <f t="shared" si="242"/>
        <v>0</v>
      </c>
      <c r="T12" s="35">
        <f t="shared" si="243"/>
        <v>0</v>
      </c>
      <c r="U12" s="19" t="e">
        <f t="shared" si="244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37"/>
        <v>0</v>
      </c>
      <c r="F13" s="13">
        <v>0</v>
      </c>
      <c r="G13" s="13">
        <v>0</v>
      </c>
      <c r="H13" s="13">
        <v>0</v>
      </c>
      <c r="I13" s="16">
        <f t="shared" si="238"/>
        <v>0</v>
      </c>
      <c r="J13" s="17">
        <f t="shared" si="239"/>
        <v>0</v>
      </c>
      <c r="K13" s="18">
        <f t="shared" si="24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45"/>
        <v>0</v>
      </c>
      <c r="S13" s="35">
        <f t="shared" si="242"/>
        <v>0</v>
      </c>
      <c r="T13" s="35">
        <f t="shared" si="243"/>
        <v>0</v>
      </c>
      <c r="U13" s="19" t="e">
        <f t="shared" si="244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37"/>
        <v>0</v>
      </c>
      <c r="F14" s="13">
        <v>0</v>
      </c>
      <c r="G14" s="13">
        <v>0</v>
      </c>
      <c r="H14" s="13">
        <v>0</v>
      </c>
      <c r="I14" s="16">
        <f t="shared" si="238"/>
        <v>0</v>
      </c>
      <c r="J14" s="17">
        <f t="shared" si="239"/>
        <v>0</v>
      </c>
      <c r="K14" s="18">
        <f t="shared" si="24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45"/>
        <v>0</v>
      </c>
      <c r="S14" s="35">
        <f t="shared" si="242"/>
        <v>0</v>
      </c>
      <c r="T14" s="35">
        <f t="shared" si="243"/>
        <v>0</v>
      </c>
      <c r="U14" s="19" t="e">
        <f t="shared" si="244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37"/>
        <v>0</v>
      </c>
      <c r="F15" s="13">
        <v>0</v>
      </c>
      <c r="G15" s="13">
        <v>0</v>
      </c>
      <c r="H15" s="13">
        <v>0</v>
      </c>
      <c r="I15" s="16">
        <f t="shared" si="238"/>
        <v>0</v>
      </c>
      <c r="J15" s="17">
        <f t="shared" si="239"/>
        <v>0</v>
      </c>
      <c r="K15" s="18">
        <f t="shared" si="24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45"/>
        <v>0</v>
      </c>
      <c r="S15" s="35">
        <f t="shared" si="242"/>
        <v>0</v>
      </c>
      <c r="T15" s="35">
        <f t="shared" si="243"/>
        <v>0</v>
      </c>
      <c r="U15" s="19" t="e">
        <f t="shared" si="244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37"/>
        <v>0</v>
      </c>
      <c r="F16" s="13">
        <v>0</v>
      </c>
      <c r="G16" s="13">
        <v>0</v>
      </c>
      <c r="H16" s="13">
        <v>0</v>
      </c>
      <c r="I16" s="16">
        <f t="shared" si="238"/>
        <v>0</v>
      </c>
      <c r="J16" s="17">
        <f t="shared" si="239"/>
        <v>0</v>
      </c>
      <c r="K16" s="18">
        <f t="shared" si="240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45"/>
        <v>0</v>
      </c>
      <c r="S16" s="35">
        <f t="shared" si="242"/>
        <v>0</v>
      </c>
      <c r="T16" s="35">
        <f t="shared" si="243"/>
        <v>0</v>
      </c>
      <c r="U16" s="19" t="e">
        <f t="shared" si="244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37"/>
        <v>0</v>
      </c>
      <c r="F17" s="13">
        <v>40345</v>
      </c>
      <c r="G17" s="13">
        <v>10000</v>
      </c>
      <c r="H17" s="13">
        <v>0</v>
      </c>
      <c r="I17" s="16">
        <f t="shared" si="238"/>
        <v>40345</v>
      </c>
      <c r="J17" s="17">
        <f t="shared" si="239"/>
        <v>-10000</v>
      </c>
      <c r="K17" s="18">
        <f t="shared" si="240"/>
        <v>30573.254068481478</v>
      </c>
      <c r="L17" s="19" t="e">
        <f t="shared" ref="L17:L18" si="246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45"/>
        <v>0</v>
      </c>
      <c r="S17" s="35">
        <f t="shared" si="242"/>
        <v>50345</v>
      </c>
      <c r="T17" s="35">
        <f t="shared" si="243"/>
        <v>50345</v>
      </c>
      <c r="U17" s="19" t="e">
        <f t="shared" si="244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47">SUM(E3:E17)</f>
        <v>2996630.1212656549</v>
      </c>
      <c r="F18" s="24">
        <f t="shared" si="247"/>
        <v>379345</v>
      </c>
      <c r="G18" s="24">
        <f t="shared" si="247"/>
        <v>1441013</v>
      </c>
      <c r="H18" s="24">
        <f t="shared" si="247"/>
        <v>375228</v>
      </c>
      <c r="I18" s="25">
        <f t="shared" si="247"/>
        <v>754573</v>
      </c>
      <c r="J18" s="26">
        <f t="shared" si="247"/>
        <v>510044</v>
      </c>
      <c r="K18" s="26">
        <f t="shared" si="247"/>
        <v>1909833.0994347811</v>
      </c>
      <c r="L18" s="27">
        <f t="shared" si="246"/>
        <v>0.63732693797663131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45"/>
        <v>0</v>
      </c>
      <c r="S18" s="35">
        <f t="shared" si="242"/>
        <v>2195586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 t="s">
        <v>64</v>
      </c>
    </row>
    <row r="24">
      <c r="B24" s="28"/>
      <c r="C24" s="28"/>
      <c r="D24" s="28"/>
      <c r="E24" s="28" t="s">
        <v>64</v>
      </c>
      <c r="G24" t="s">
        <v>64</v>
      </c>
    </row>
    <row r="25">
      <c r="B25" s="28"/>
      <c r="C25" s="28"/>
      <c r="D25" s="28"/>
      <c r="E25" s="28"/>
    </row>
    <row r="26">
      <c r="B26" s="28"/>
      <c r="C26" s="28"/>
      <c r="D26" s="28"/>
      <c r="E26" s="28" t="s">
        <v>64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B8003D-00D7-4096-AD60-006100C800AC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F60062-00E6-4EE5-93CB-00CF007600F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5300C1-001D-4D91-9807-00EE00B600D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E000B3-005B-4134-9B05-0020007500B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DB0072-0034-44EB-8151-00F60014002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020085-007E-4A27-8238-001B004100A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440018-00A7-4891-B6D7-00E50074003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M18" activeCellId="0" sqref="M18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81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48">C3*D3</f>
        <v>1655102.6042308819</v>
      </c>
      <c r="F3" s="13">
        <v>0</v>
      </c>
      <c r="G3" s="44">
        <v>370236</v>
      </c>
      <c r="H3" s="13">
        <v>74575</v>
      </c>
      <c r="I3" s="16">
        <f t="shared" ref="I3:I17" si="249">F3+H3</f>
        <v>74575</v>
      </c>
      <c r="J3" s="17">
        <f t="shared" ref="J3:J17" si="250">C3-G3</f>
        <v>201993</v>
      </c>
      <c r="K3" s="18">
        <f t="shared" ref="K3:K17" si="251">+G3*D3</f>
        <v>1070862.4829919923</v>
      </c>
      <c r="L3" s="19">
        <f t="shared" ref="L3:L11" si="252">K3/E3</f>
        <v>0.64700670535747051</v>
      </c>
      <c r="M3" s="34">
        <v>0</v>
      </c>
      <c r="N3" s="34">
        <v>0</v>
      </c>
      <c r="O3" s="34">
        <v>0</v>
      </c>
      <c r="P3" s="34">
        <v>129000</v>
      </c>
      <c r="Q3" s="34">
        <v>0</v>
      </c>
      <c r="R3" s="34">
        <f t="shared" ref="R3:R18" si="253">M3+N3+O3+P3+Q3</f>
        <v>129000</v>
      </c>
      <c r="S3" s="35">
        <f t="shared" ref="S3:S18" si="254">G3+I3+R3</f>
        <v>573811</v>
      </c>
      <c r="T3" s="35">
        <f t="shared" ref="T3:T17" si="255">S3-C3</f>
        <v>1582</v>
      </c>
      <c r="U3" s="19">
        <f t="shared" ref="U3:U17" si="256">S3/C3</f>
        <v>1.0027646274481021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48"/>
        <v>186188.01610302701</v>
      </c>
      <c r="F4" s="13">
        <v>0</v>
      </c>
      <c r="G4" s="13">
        <v>142753</v>
      </c>
      <c r="H4" s="13">
        <v>0</v>
      </c>
      <c r="I4" s="16">
        <f t="shared" si="249"/>
        <v>0</v>
      </c>
      <c r="J4" s="17">
        <f t="shared" si="250"/>
        <v>146</v>
      </c>
      <c r="K4" s="18">
        <f t="shared" si="251"/>
        <v>185997.78768749547</v>
      </c>
      <c r="L4" s="19">
        <f t="shared" si="252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53"/>
        <v>0</v>
      </c>
      <c r="S4" s="35">
        <f t="shared" si="254"/>
        <v>142753</v>
      </c>
      <c r="T4" s="35">
        <f t="shared" si="255"/>
        <v>-146</v>
      </c>
      <c r="U4" s="19">
        <f t="shared" si="256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48"/>
        <v>0</v>
      </c>
      <c r="F5" s="13">
        <v>0</v>
      </c>
      <c r="G5" s="13">
        <v>0</v>
      </c>
      <c r="H5" s="13">
        <v>0</v>
      </c>
      <c r="I5" s="16">
        <f t="shared" si="249"/>
        <v>0</v>
      </c>
      <c r="J5" s="17">
        <f t="shared" si="250"/>
        <v>0</v>
      </c>
      <c r="K5" s="18">
        <f t="shared" si="251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53"/>
        <v>0</v>
      </c>
      <c r="S5" s="35">
        <f t="shared" si="254"/>
        <v>0</v>
      </c>
      <c r="T5" s="35">
        <f t="shared" si="255"/>
        <v>0</v>
      </c>
      <c r="U5" s="19" t="e">
        <f t="shared" si="256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48"/>
        <v>392010.61700300599</v>
      </c>
      <c r="F6" s="13">
        <v>0</v>
      </c>
      <c r="G6" s="44">
        <v>285228</v>
      </c>
      <c r="H6" s="44">
        <v>63000</v>
      </c>
      <c r="I6" s="16">
        <f t="shared" si="249"/>
        <v>63000</v>
      </c>
      <c r="J6" s="17">
        <f t="shared" si="250"/>
        <v>57730</v>
      </c>
      <c r="K6" s="18">
        <f t="shared" si="251"/>
        <v>326023.60716628097</v>
      </c>
      <c r="L6" s="19">
        <f t="shared" si="252"/>
        <v>0.83167035030528513</v>
      </c>
      <c r="M6" s="34">
        <v>0</v>
      </c>
      <c r="N6" s="34">
        <v>0</v>
      </c>
      <c r="O6" s="34">
        <v>0</v>
      </c>
      <c r="P6" s="34">
        <v>63000</v>
      </c>
      <c r="Q6" s="34">
        <v>0</v>
      </c>
      <c r="R6" s="34">
        <f t="shared" si="253"/>
        <v>63000</v>
      </c>
      <c r="S6" s="35">
        <f t="shared" si="254"/>
        <v>411228</v>
      </c>
      <c r="T6" s="35">
        <f t="shared" si="255"/>
        <v>68270</v>
      </c>
      <c r="U6" s="19">
        <f t="shared" si="256"/>
        <v>1.1990622758471883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48"/>
        <v>238831.89434473185</v>
      </c>
      <c r="F7" s="13">
        <v>0</v>
      </c>
      <c r="G7" s="13">
        <v>500584</v>
      </c>
      <c r="H7" s="13">
        <v>113400</v>
      </c>
      <c r="I7" s="16">
        <f t="shared" si="249"/>
        <v>113400</v>
      </c>
      <c r="J7" s="17">
        <f t="shared" si="250"/>
        <v>-124013</v>
      </c>
      <c r="K7" s="18">
        <f t="shared" si="251"/>
        <v>317484.41860542435</v>
      </c>
      <c r="L7" s="19">
        <f t="shared" si="252"/>
        <v>1.3293216949791673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53"/>
        <v>0</v>
      </c>
      <c r="S7" s="35">
        <f t="shared" si="254"/>
        <v>613984</v>
      </c>
      <c r="T7" s="35">
        <f t="shared" si="255"/>
        <v>237413</v>
      </c>
      <c r="U7" s="19">
        <f t="shared" si="256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48"/>
        <v>357411.22353525035</v>
      </c>
      <c r="F8" s="44">
        <v>229425</v>
      </c>
      <c r="G8" s="13">
        <v>394040</v>
      </c>
      <c r="H8" s="44">
        <v>35000</v>
      </c>
      <c r="I8" s="16">
        <f t="shared" si="249"/>
        <v>264425</v>
      </c>
      <c r="J8" s="17">
        <f t="shared" si="250"/>
        <v>5960</v>
      </c>
      <c r="K8" s="18">
        <f t="shared" si="251"/>
        <v>352085.79630457511</v>
      </c>
      <c r="L8" s="19">
        <f t="shared" si="252"/>
        <v>0.98509999999999998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53"/>
        <v>0</v>
      </c>
      <c r="S8" s="35">
        <f t="shared" si="254"/>
        <v>658465</v>
      </c>
      <c r="T8" s="35">
        <f t="shared" si="255"/>
        <v>258465</v>
      </c>
      <c r="U8" s="19">
        <f t="shared" si="256"/>
        <v>1.6461625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48"/>
        <v>82902.257365838552</v>
      </c>
      <c r="F9" s="13">
        <v>0</v>
      </c>
      <c r="G9" s="13">
        <v>0</v>
      </c>
      <c r="H9" s="13">
        <v>0</v>
      </c>
      <c r="I9" s="16">
        <f t="shared" si="249"/>
        <v>0</v>
      </c>
      <c r="J9" s="17">
        <f t="shared" si="250"/>
        <v>77600</v>
      </c>
      <c r="K9" s="18">
        <f t="shared" si="251"/>
        <v>0</v>
      </c>
      <c r="L9" s="19">
        <f t="shared" si="252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253"/>
        <v>156000</v>
      </c>
      <c r="S9" s="35">
        <f t="shared" si="254"/>
        <v>156000</v>
      </c>
      <c r="T9" s="35">
        <f t="shared" si="255"/>
        <v>78400</v>
      </c>
      <c r="U9" s="19">
        <f t="shared" si="256"/>
        <v>2.0103092783505154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48"/>
        <v>84183.508682919273</v>
      </c>
      <c r="F10" s="13">
        <v>0</v>
      </c>
      <c r="G10" s="13">
        <v>0</v>
      </c>
      <c r="H10" s="13">
        <v>0</v>
      </c>
      <c r="I10" s="16">
        <f t="shared" si="249"/>
        <v>0</v>
      </c>
      <c r="J10" s="17">
        <f t="shared" si="250"/>
        <v>38800</v>
      </c>
      <c r="K10" s="18">
        <f t="shared" si="251"/>
        <v>0</v>
      </c>
      <c r="L10" s="19">
        <f t="shared" si="252"/>
        <v>0</v>
      </c>
      <c r="M10" s="34">
        <v>0</v>
      </c>
      <c r="N10" s="34">
        <v>6</v>
      </c>
      <c r="O10" s="34">
        <v>0</v>
      </c>
      <c r="P10" s="34">
        <v>0</v>
      </c>
      <c r="Q10" s="34">
        <v>0</v>
      </c>
      <c r="R10" s="34">
        <f t="shared" si="253"/>
        <v>6</v>
      </c>
      <c r="S10" s="35">
        <f t="shared" si="254"/>
        <v>6</v>
      </c>
      <c r="T10" s="35">
        <f t="shared" si="255"/>
        <v>-38794</v>
      </c>
      <c r="U10" s="19">
        <f t="shared" si="256"/>
        <v>0.00015463917525773195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48"/>
        <v>0</v>
      </c>
      <c r="F11" s="13">
        <v>0</v>
      </c>
      <c r="G11" s="13">
        <v>0</v>
      </c>
      <c r="H11" s="13">
        <v>0</v>
      </c>
      <c r="I11" s="16">
        <f t="shared" si="249"/>
        <v>0</v>
      </c>
      <c r="J11" s="17">
        <f t="shared" si="250"/>
        <v>0</v>
      </c>
      <c r="K11" s="18">
        <f t="shared" si="251"/>
        <v>0</v>
      </c>
      <c r="L11" s="19" t="e">
        <f t="shared" si="252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53"/>
        <v>0</v>
      </c>
      <c r="S11" s="35">
        <f t="shared" si="254"/>
        <v>0</v>
      </c>
      <c r="T11" s="35">
        <f t="shared" si="255"/>
        <v>0</v>
      </c>
      <c r="U11" s="19" t="e">
        <f t="shared" si="256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48"/>
        <v>0</v>
      </c>
      <c r="F12" s="13">
        <v>0</v>
      </c>
      <c r="G12" s="13">
        <v>0</v>
      </c>
      <c r="H12" s="13">
        <v>0</v>
      </c>
      <c r="I12" s="16">
        <f t="shared" si="249"/>
        <v>0</v>
      </c>
      <c r="J12" s="17">
        <f t="shared" si="250"/>
        <v>0</v>
      </c>
      <c r="K12" s="18">
        <f t="shared" si="251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53"/>
        <v>0</v>
      </c>
      <c r="S12" s="35">
        <f t="shared" si="254"/>
        <v>0</v>
      </c>
      <c r="T12" s="35">
        <f t="shared" si="255"/>
        <v>0</v>
      </c>
      <c r="U12" s="19" t="e">
        <f t="shared" si="25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48"/>
        <v>0</v>
      </c>
      <c r="F13" s="13">
        <v>0</v>
      </c>
      <c r="G13" s="13">
        <v>0</v>
      </c>
      <c r="H13" s="13">
        <v>0</v>
      </c>
      <c r="I13" s="16">
        <f t="shared" si="249"/>
        <v>0</v>
      </c>
      <c r="J13" s="17">
        <f t="shared" si="250"/>
        <v>0</v>
      </c>
      <c r="K13" s="18">
        <f t="shared" si="25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53"/>
        <v>0</v>
      </c>
      <c r="S13" s="35">
        <f t="shared" si="254"/>
        <v>0</v>
      </c>
      <c r="T13" s="35">
        <f t="shared" si="255"/>
        <v>0</v>
      </c>
      <c r="U13" s="19" t="e">
        <f t="shared" si="25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48"/>
        <v>0</v>
      </c>
      <c r="F14" s="13">
        <v>0</v>
      </c>
      <c r="G14" s="13">
        <v>0</v>
      </c>
      <c r="H14" s="13">
        <v>0</v>
      </c>
      <c r="I14" s="16">
        <f t="shared" si="249"/>
        <v>0</v>
      </c>
      <c r="J14" s="17">
        <f t="shared" si="250"/>
        <v>0</v>
      </c>
      <c r="K14" s="18">
        <f t="shared" si="25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53"/>
        <v>0</v>
      </c>
      <c r="S14" s="35">
        <f t="shared" si="254"/>
        <v>0</v>
      </c>
      <c r="T14" s="35">
        <f t="shared" si="255"/>
        <v>0</v>
      </c>
      <c r="U14" s="19" t="e">
        <f t="shared" si="25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48"/>
        <v>0</v>
      </c>
      <c r="F15" s="13">
        <v>0</v>
      </c>
      <c r="G15" s="13">
        <v>0</v>
      </c>
      <c r="H15" s="13">
        <v>0</v>
      </c>
      <c r="I15" s="16">
        <f t="shared" si="249"/>
        <v>0</v>
      </c>
      <c r="J15" s="17">
        <f t="shared" si="250"/>
        <v>0</v>
      </c>
      <c r="K15" s="18">
        <f t="shared" si="251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53"/>
        <v>0</v>
      </c>
      <c r="S15" s="35">
        <f t="shared" si="254"/>
        <v>0</v>
      </c>
      <c r="T15" s="35">
        <f t="shared" si="255"/>
        <v>0</v>
      </c>
      <c r="U15" s="19" t="e">
        <f t="shared" si="25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48"/>
        <v>0</v>
      </c>
      <c r="F16" s="13">
        <v>0</v>
      </c>
      <c r="G16" s="13">
        <v>0</v>
      </c>
      <c r="H16" s="13">
        <v>0</v>
      </c>
      <c r="I16" s="16">
        <f t="shared" si="249"/>
        <v>0</v>
      </c>
      <c r="J16" s="17">
        <f t="shared" si="250"/>
        <v>0</v>
      </c>
      <c r="K16" s="18">
        <f t="shared" si="251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53"/>
        <v>0</v>
      </c>
      <c r="S16" s="35">
        <f t="shared" si="254"/>
        <v>0</v>
      </c>
      <c r="T16" s="35">
        <f t="shared" si="255"/>
        <v>0</v>
      </c>
      <c r="U16" s="19" t="e">
        <f t="shared" si="256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48"/>
        <v>0</v>
      </c>
      <c r="F17" s="13">
        <v>30345</v>
      </c>
      <c r="G17" s="13">
        <v>10000</v>
      </c>
      <c r="H17" s="13">
        <v>10000</v>
      </c>
      <c r="I17" s="16">
        <f t="shared" si="249"/>
        <v>40345</v>
      </c>
      <c r="J17" s="17">
        <f t="shared" si="250"/>
        <v>-10000</v>
      </c>
      <c r="K17" s="18">
        <f t="shared" si="251"/>
        <v>30573.254068481478</v>
      </c>
      <c r="L17" s="19" t="e">
        <f t="shared" ref="L17:L18" si="257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53"/>
        <v>0</v>
      </c>
      <c r="S17" s="35">
        <f t="shared" si="254"/>
        <v>50345</v>
      </c>
      <c r="T17" s="35">
        <f t="shared" si="255"/>
        <v>50345</v>
      </c>
      <c r="U17" s="19" t="e">
        <f t="shared" si="256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58">SUM(E3:E17)</f>
        <v>2996630.1212656549</v>
      </c>
      <c r="F18" s="24">
        <f t="shared" si="258"/>
        <v>259770</v>
      </c>
      <c r="G18" s="24">
        <f t="shared" si="258"/>
        <v>1702841</v>
      </c>
      <c r="H18" s="24">
        <f t="shared" si="258"/>
        <v>295975</v>
      </c>
      <c r="I18" s="25">
        <f t="shared" si="258"/>
        <v>555745</v>
      </c>
      <c r="J18" s="26">
        <f t="shared" si="258"/>
        <v>248216</v>
      </c>
      <c r="K18" s="26">
        <f t="shared" si="258"/>
        <v>2283027.3468242497</v>
      </c>
      <c r="L18" s="27">
        <f t="shared" si="257"/>
        <v>0.76186491306440973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53"/>
        <v>0</v>
      </c>
      <c r="S18" s="35">
        <f t="shared" si="254"/>
        <v>2258586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 t="s">
        <v>64</v>
      </c>
    </row>
    <row r="24">
      <c r="B24" s="28"/>
      <c r="C24" s="28"/>
      <c r="D24" s="28"/>
      <c r="E24" s="28" t="s">
        <v>64</v>
      </c>
      <c r="G24" t="s">
        <v>64</v>
      </c>
    </row>
    <row r="25">
      <c r="B25" s="28"/>
      <c r="C25" s="28"/>
      <c r="D25" s="28"/>
      <c r="E25" s="28"/>
    </row>
    <row r="26">
      <c r="B26" s="28"/>
      <c r="C26" s="28"/>
      <c r="D26" s="28"/>
      <c r="E26" s="28" t="s">
        <v>64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B70030-008D-4294-B214-00DA0039001C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050068-00E3-445B-8A02-0071002700A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36004E-001A-4F01-B6A4-00950083002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F70064-0014-42DB-91F8-00FB0034008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6D0098-0078-46CC-B704-0048003E004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120000-0062-4BED-BAE9-00FA000A009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3E001D-00AC-4DAF-84D8-005E009500E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11" activeCellId="0" sqref="I1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82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59">C3*D3</f>
        <v>1655102.6042308819</v>
      </c>
      <c r="F3" s="13">
        <v>148504</v>
      </c>
      <c r="G3" s="44">
        <v>370236</v>
      </c>
      <c r="H3" s="13">
        <v>74575</v>
      </c>
      <c r="I3" s="16">
        <f t="shared" ref="I3:I17" si="260">F3+H3</f>
        <v>223079</v>
      </c>
      <c r="J3" s="17">
        <f t="shared" ref="J3:J17" si="261">C3-G3</f>
        <v>201993</v>
      </c>
      <c r="K3" s="18">
        <f t="shared" ref="K3:K17" si="262">+G3*D3</f>
        <v>1070862.4829919923</v>
      </c>
      <c r="L3" s="19">
        <f t="shared" ref="L3:L11" si="263">K3/E3</f>
        <v>0.64700670535747051</v>
      </c>
      <c r="M3" s="34">
        <v>0</v>
      </c>
      <c r="N3" s="34">
        <v>0</v>
      </c>
      <c r="O3" s="34">
        <v>0</v>
      </c>
      <c r="P3" s="34">
        <v>129000</v>
      </c>
      <c r="Q3" s="34">
        <v>0</v>
      </c>
      <c r="R3" s="34">
        <f t="shared" ref="R3:R18" si="264">M3+N3+O3+P3+Q3</f>
        <v>129000</v>
      </c>
      <c r="S3" s="35">
        <f t="shared" ref="S3:S18" si="265">G3+I3+R3</f>
        <v>722315</v>
      </c>
      <c r="T3" s="35">
        <f t="shared" ref="T3:T17" si="266">S3-C3</f>
        <v>150086</v>
      </c>
      <c r="U3" s="19">
        <f t="shared" ref="U3:U17" si="267">S3/C3</f>
        <v>1.2622831069379568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59"/>
        <v>186188.01610302701</v>
      </c>
      <c r="F4" s="13">
        <v>0</v>
      </c>
      <c r="G4" s="13">
        <v>142753</v>
      </c>
      <c r="H4" s="13">
        <v>0</v>
      </c>
      <c r="I4" s="16">
        <f t="shared" si="260"/>
        <v>0</v>
      </c>
      <c r="J4" s="17">
        <f t="shared" si="261"/>
        <v>146</v>
      </c>
      <c r="K4" s="18">
        <f t="shared" si="262"/>
        <v>185997.78768749547</v>
      </c>
      <c r="L4" s="19">
        <f t="shared" si="263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64"/>
        <v>0</v>
      </c>
      <c r="S4" s="35">
        <f t="shared" si="265"/>
        <v>142753</v>
      </c>
      <c r="T4" s="35">
        <f t="shared" si="266"/>
        <v>-146</v>
      </c>
      <c r="U4" s="19">
        <f t="shared" si="267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59"/>
        <v>0</v>
      </c>
      <c r="F5" s="13">
        <v>0</v>
      </c>
      <c r="G5" s="13">
        <v>0</v>
      </c>
      <c r="H5" s="13">
        <v>0</v>
      </c>
      <c r="I5" s="16">
        <f t="shared" si="260"/>
        <v>0</v>
      </c>
      <c r="J5" s="17">
        <f t="shared" si="261"/>
        <v>0</v>
      </c>
      <c r="K5" s="18">
        <f t="shared" si="262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64"/>
        <v>0</v>
      </c>
      <c r="S5" s="35">
        <f t="shared" si="265"/>
        <v>0</v>
      </c>
      <c r="T5" s="35">
        <f t="shared" si="266"/>
        <v>0</v>
      </c>
      <c r="U5" s="19" t="e">
        <f t="shared" si="267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59"/>
        <v>392010.61700300599</v>
      </c>
      <c r="F6" s="13">
        <v>126495</v>
      </c>
      <c r="G6" s="44">
        <v>285228</v>
      </c>
      <c r="H6" s="44">
        <v>0</v>
      </c>
      <c r="I6" s="16">
        <f t="shared" si="260"/>
        <v>126495</v>
      </c>
      <c r="J6" s="17">
        <f t="shared" si="261"/>
        <v>57730</v>
      </c>
      <c r="K6" s="18">
        <f t="shared" si="262"/>
        <v>326023.60716628097</v>
      </c>
      <c r="L6" s="19">
        <f t="shared" si="263"/>
        <v>0.83167035030528513</v>
      </c>
      <c r="M6" s="34">
        <v>0</v>
      </c>
      <c r="N6" s="34">
        <v>0</v>
      </c>
      <c r="O6" s="34">
        <v>0</v>
      </c>
      <c r="P6" s="34">
        <v>63000</v>
      </c>
      <c r="Q6" s="34">
        <v>0</v>
      </c>
      <c r="R6" s="34">
        <f t="shared" si="264"/>
        <v>63000</v>
      </c>
      <c r="S6" s="35">
        <f t="shared" si="265"/>
        <v>474723</v>
      </c>
      <c r="T6" s="35">
        <f t="shared" si="266"/>
        <v>131765</v>
      </c>
      <c r="U6" s="19">
        <f t="shared" si="267"/>
        <v>1.3842015640399117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59"/>
        <v>238831.89434473185</v>
      </c>
      <c r="F7" s="13">
        <v>0</v>
      </c>
      <c r="G7" s="13">
        <v>500584</v>
      </c>
      <c r="H7" s="13">
        <v>113400</v>
      </c>
      <c r="I7" s="16">
        <f t="shared" si="260"/>
        <v>113400</v>
      </c>
      <c r="J7" s="17">
        <f t="shared" si="261"/>
        <v>-124013</v>
      </c>
      <c r="K7" s="18">
        <f t="shared" si="262"/>
        <v>317484.41860542435</v>
      </c>
      <c r="L7" s="19">
        <f t="shared" si="263"/>
        <v>1.3293216949791673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64"/>
        <v>0</v>
      </c>
      <c r="S7" s="35">
        <f t="shared" si="265"/>
        <v>613984</v>
      </c>
      <c r="T7" s="35">
        <f t="shared" si="266"/>
        <v>237413</v>
      </c>
      <c r="U7" s="19">
        <f t="shared" si="267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59"/>
        <v>357411.22353525035</v>
      </c>
      <c r="F8" s="44">
        <v>229425</v>
      </c>
      <c r="G8" s="13">
        <v>394040</v>
      </c>
      <c r="H8" s="44">
        <v>35000</v>
      </c>
      <c r="I8" s="16">
        <f t="shared" si="260"/>
        <v>264425</v>
      </c>
      <c r="J8" s="17">
        <f t="shared" si="261"/>
        <v>5960</v>
      </c>
      <c r="K8" s="18">
        <f t="shared" si="262"/>
        <v>352085.79630457511</v>
      </c>
      <c r="L8" s="19">
        <f t="shared" si="263"/>
        <v>0.98509999999999998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64"/>
        <v>0</v>
      </c>
      <c r="S8" s="35">
        <f t="shared" si="265"/>
        <v>658465</v>
      </c>
      <c r="T8" s="35">
        <f t="shared" si="266"/>
        <v>258465</v>
      </c>
      <c r="U8" s="19">
        <f t="shared" si="267"/>
        <v>1.6461625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59"/>
        <v>82902.257365838552</v>
      </c>
      <c r="F9" s="13">
        <v>154304</v>
      </c>
      <c r="G9" s="13">
        <v>0</v>
      </c>
      <c r="H9" s="13">
        <v>0</v>
      </c>
      <c r="I9" s="16">
        <f t="shared" si="260"/>
        <v>154304</v>
      </c>
      <c r="J9" s="17">
        <f t="shared" si="261"/>
        <v>77600</v>
      </c>
      <c r="K9" s="18">
        <f t="shared" si="262"/>
        <v>0</v>
      </c>
      <c r="L9" s="19">
        <f t="shared" si="263"/>
        <v>0</v>
      </c>
      <c r="M9" s="34">
        <v>0</v>
      </c>
      <c r="N9" s="34">
        <v>0</v>
      </c>
      <c r="O9" s="34">
        <v>0</v>
      </c>
      <c r="P9" s="34">
        <v>156000</v>
      </c>
      <c r="Q9" s="34">
        <v>0</v>
      </c>
      <c r="R9" s="34">
        <f t="shared" si="264"/>
        <v>156000</v>
      </c>
      <c r="S9" s="35">
        <f t="shared" si="265"/>
        <v>310304</v>
      </c>
      <c r="T9" s="35">
        <f t="shared" si="266"/>
        <v>232704</v>
      </c>
      <c r="U9" s="19">
        <f t="shared" si="267"/>
        <v>3.9987628865979383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59"/>
        <v>84183.508682919273</v>
      </c>
      <c r="F10" s="13">
        <v>0</v>
      </c>
      <c r="G10" s="13">
        <v>0</v>
      </c>
      <c r="H10" s="13">
        <v>0</v>
      </c>
      <c r="I10" s="16">
        <f t="shared" si="260"/>
        <v>0</v>
      </c>
      <c r="J10" s="17">
        <f t="shared" si="261"/>
        <v>38800</v>
      </c>
      <c r="K10" s="18">
        <f t="shared" si="262"/>
        <v>0</v>
      </c>
      <c r="L10" s="19">
        <f t="shared" si="263"/>
        <v>0</v>
      </c>
      <c r="M10" s="34">
        <v>0</v>
      </c>
      <c r="N10" s="34">
        <v>6</v>
      </c>
      <c r="O10" s="34">
        <v>0</v>
      </c>
      <c r="P10" s="34">
        <v>0</v>
      </c>
      <c r="Q10" s="34">
        <v>0</v>
      </c>
      <c r="R10" s="34">
        <f t="shared" si="264"/>
        <v>6</v>
      </c>
      <c r="S10" s="35">
        <f t="shared" si="265"/>
        <v>6</v>
      </c>
      <c r="T10" s="35">
        <f t="shared" si="266"/>
        <v>-38794</v>
      </c>
      <c r="U10" s="19">
        <f t="shared" si="267"/>
        <v>0.00015463917525773195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59"/>
        <v>0</v>
      </c>
      <c r="F11" s="13">
        <v>0</v>
      </c>
      <c r="G11" s="13">
        <v>0</v>
      </c>
      <c r="H11" s="13">
        <v>0</v>
      </c>
      <c r="I11" s="16">
        <f t="shared" si="260"/>
        <v>0</v>
      </c>
      <c r="J11" s="17">
        <f t="shared" si="261"/>
        <v>0</v>
      </c>
      <c r="K11" s="18">
        <f t="shared" si="262"/>
        <v>0</v>
      </c>
      <c r="L11" s="19" t="e">
        <f t="shared" si="263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64"/>
        <v>0</v>
      </c>
      <c r="S11" s="35">
        <f t="shared" si="265"/>
        <v>0</v>
      </c>
      <c r="T11" s="35">
        <f t="shared" si="266"/>
        <v>0</v>
      </c>
      <c r="U11" s="19" t="e">
        <f t="shared" si="26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59"/>
        <v>0</v>
      </c>
      <c r="F12" s="13">
        <v>0</v>
      </c>
      <c r="G12" s="13">
        <v>0</v>
      </c>
      <c r="H12" s="13">
        <v>0</v>
      </c>
      <c r="I12" s="16">
        <f t="shared" si="260"/>
        <v>0</v>
      </c>
      <c r="J12" s="17">
        <f t="shared" si="261"/>
        <v>0</v>
      </c>
      <c r="K12" s="18">
        <f t="shared" si="262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64"/>
        <v>0</v>
      </c>
      <c r="S12" s="35">
        <f t="shared" si="265"/>
        <v>0</v>
      </c>
      <c r="T12" s="35">
        <f t="shared" si="266"/>
        <v>0</v>
      </c>
      <c r="U12" s="19" t="e">
        <f t="shared" si="26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59"/>
        <v>0</v>
      </c>
      <c r="F13" s="13">
        <v>0</v>
      </c>
      <c r="G13" s="13">
        <v>0</v>
      </c>
      <c r="H13" s="13">
        <v>0</v>
      </c>
      <c r="I13" s="16">
        <f t="shared" si="260"/>
        <v>0</v>
      </c>
      <c r="J13" s="17">
        <f t="shared" si="261"/>
        <v>0</v>
      </c>
      <c r="K13" s="18">
        <f t="shared" si="26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64"/>
        <v>0</v>
      </c>
      <c r="S13" s="35">
        <f t="shared" si="265"/>
        <v>0</v>
      </c>
      <c r="T13" s="35">
        <f t="shared" si="266"/>
        <v>0</v>
      </c>
      <c r="U13" s="19" t="e">
        <f t="shared" si="267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59"/>
        <v>0</v>
      </c>
      <c r="F14" s="13">
        <v>0</v>
      </c>
      <c r="G14" s="13">
        <v>0</v>
      </c>
      <c r="H14" s="13">
        <v>0</v>
      </c>
      <c r="I14" s="16">
        <f t="shared" si="260"/>
        <v>0</v>
      </c>
      <c r="J14" s="17">
        <f t="shared" si="261"/>
        <v>0</v>
      </c>
      <c r="K14" s="18">
        <f t="shared" si="26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64"/>
        <v>0</v>
      </c>
      <c r="S14" s="35">
        <f t="shared" si="265"/>
        <v>0</v>
      </c>
      <c r="T14" s="35">
        <f t="shared" si="266"/>
        <v>0</v>
      </c>
      <c r="U14" s="19" t="e">
        <f t="shared" si="267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59"/>
        <v>0</v>
      </c>
      <c r="F15" s="13">
        <v>0</v>
      </c>
      <c r="G15" s="13">
        <v>0</v>
      </c>
      <c r="H15" s="13">
        <v>0</v>
      </c>
      <c r="I15" s="16">
        <f t="shared" si="260"/>
        <v>0</v>
      </c>
      <c r="J15" s="17">
        <f t="shared" si="261"/>
        <v>0</v>
      </c>
      <c r="K15" s="18">
        <f t="shared" si="26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64"/>
        <v>0</v>
      </c>
      <c r="S15" s="35">
        <f t="shared" si="265"/>
        <v>0</v>
      </c>
      <c r="T15" s="35">
        <f t="shared" si="266"/>
        <v>0</v>
      </c>
      <c r="U15" s="19" t="e">
        <f t="shared" si="267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59"/>
        <v>0</v>
      </c>
      <c r="F16" s="13">
        <v>0</v>
      </c>
      <c r="G16" s="13">
        <v>0</v>
      </c>
      <c r="H16" s="13">
        <v>0</v>
      </c>
      <c r="I16" s="16">
        <f t="shared" si="260"/>
        <v>0</v>
      </c>
      <c r="J16" s="17">
        <f t="shared" si="261"/>
        <v>0</v>
      </c>
      <c r="K16" s="18">
        <f t="shared" si="262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64"/>
        <v>0</v>
      </c>
      <c r="S16" s="35">
        <f t="shared" si="265"/>
        <v>0</v>
      </c>
      <c r="T16" s="35">
        <f t="shared" si="266"/>
        <v>0</v>
      </c>
      <c r="U16" s="19" t="e">
        <f t="shared" si="267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59"/>
        <v>0</v>
      </c>
      <c r="F17" s="13">
        <v>30345</v>
      </c>
      <c r="G17" s="13">
        <v>10000</v>
      </c>
      <c r="H17" s="13">
        <v>10000</v>
      </c>
      <c r="I17" s="16">
        <f t="shared" si="260"/>
        <v>40345</v>
      </c>
      <c r="J17" s="17">
        <f t="shared" si="261"/>
        <v>-10000</v>
      </c>
      <c r="K17" s="18">
        <f t="shared" si="262"/>
        <v>30573.254068481478</v>
      </c>
      <c r="L17" s="19" t="e">
        <f t="shared" ref="L17:L18" si="268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64"/>
        <v>0</v>
      </c>
      <c r="S17" s="35">
        <f t="shared" si="265"/>
        <v>50345</v>
      </c>
      <c r="T17" s="35">
        <f t="shared" si="266"/>
        <v>50345</v>
      </c>
      <c r="U17" s="19" t="e">
        <f t="shared" si="267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69">SUM(E3:E17)</f>
        <v>2996630.1212656549</v>
      </c>
      <c r="F18" s="24">
        <f t="shared" si="269"/>
        <v>689073</v>
      </c>
      <c r="G18" s="24">
        <f t="shared" si="269"/>
        <v>1702841</v>
      </c>
      <c r="H18" s="24">
        <f t="shared" si="269"/>
        <v>232975</v>
      </c>
      <c r="I18" s="25">
        <f t="shared" si="269"/>
        <v>922048</v>
      </c>
      <c r="J18" s="26">
        <f t="shared" si="269"/>
        <v>248216</v>
      </c>
      <c r="K18" s="26">
        <f t="shared" si="269"/>
        <v>2283027.3468242497</v>
      </c>
      <c r="L18" s="27">
        <f t="shared" si="268"/>
        <v>0.76186491306440973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64"/>
        <v>0</v>
      </c>
      <c r="S18" s="35">
        <f t="shared" si="265"/>
        <v>2624889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 t="s">
        <v>64</v>
      </c>
    </row>
    <row r="24">
      <c r="B24" s="28"/>
      <c r="C24" s="28"/>
      <c r="D24" s="28"/>
      <c r="E24" s="28" t="s">
        <v>64</v>
      </c>
      <c r="G24" t="s">
        <v>64</v>
      </c>
    </row>
    <row r="25">
      <c r="B25" s="28"/>
      <c r="C25" s="28"/>
      <c r="D25" s="28"/>
      <c r="E25" s="28"/>
    </row>
    <row r="26">
      <c r="B26" s="28"/>
      <c r="C26" s="28"/>
      <c r="D26" s="28"/>
      <c r="E26" s="28" t="s">
        <v>64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900B3-00C1-462C-9FEA-005D001800E0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130039-00F3-4473-9F1A-005A00FB000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7B00FC-000D-4B95-9421-000D003300F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E70090-007F-4007-B644-0062005A00A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AF003D-0056-4CAF-BED5-00A300ED009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8800D7-00B4-4C8B-B889-007B0098005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9500F8-006F-43F2-87D4-007200E500E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21" activeCellId="0" sqref="F2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82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70">C3*D3</f>
        <v>1655102.6042308819</v>
      </c>
      <c r="F3" s="13">
        <v>0</v>
      </c>
      <c r="G3" s="44">
        <v>500636</v>
      </c>
      <c r="H3" s="13">
        <v>92679</v>
      </c>
      <c r="I3" s="16">
        <f t="shared" ref="I3:I17" si="271">F3+H3</f>
        <v>92679</v>
      </c>
      <c r="J3" s="17">
        <f t="shared" ref="J3:J17" si="272">C3-G3</f>
        <v>71593</v>
      </c>
      <c r="K3" s="18">
        <f t="shared" ref="K3:K17" si="273">+G3*D3</f>
        <v>1448028.5818644839</v>
      </c>
      <c r="L3" s="19">
        <f t="shared" ref="L3:L11" si="274">K3/E3</f>
        <v>0.87488750133250848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f t="shared" ref="R3:R18" si="275">M3+N3+O3+P3+Q3</f>
        <v>0</v>
      </c>
      <c r="S3" s="35">
        <f t="shared" ref="S3:S18" si="276">G3+I3+R3</f>
        <v>593315</v>
      </c>
      <c r="T3" s="35">
        <f t="shared" ref="T3:T17" si="277">S3-C3</f>
        <v>21086</v>
      </c>
      <c r="U3" s="19">
        <f t="shared" ref="U3:U17" si="278">S3/C3</f>
        <v>1.036848883925841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70"/>
        <v>186188.01610302701</v>
      </c>
      <c r="F4" s="13">
        <v>0</v>
      </c>
      <c r="G4" s="13">
        <v>142753</v>
      </c>
      <c r="H4" s="13">
        <v>0</v>
      </c>
      <c r="I4" s="16">
        <f t="shared" si="271"/>
        <v>0</v>
      </c>
      <c r="J4" s="17">
        <f t="shared" si="272"/>
        <v>146</v>
      </c>
      <c r="K4" s="18">
        <f t="shared" si="273"/>
        <v>185997.78768749547</v>
      </c>
      <c r="L4" s="19">
        <f t="shared" si="274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75"/>
        <v>0</v>
      </c>
      <c r="S4" s="35">
        <f t="shared" si="276"/>
        <v>142753</v>
      </c>
      <c r="T4" s="35">
        <f t="shared" si="277"/>
        <v>-146</v>
      </c>
      <c r="U4" s="19">
        <f t="shared" si="278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70"/>
        <v>0</v>
      </c>
      <c r="F5" s="13">
        <v>0</v>
      </c>
      <c r="G5" s="13">
        <v>0</v>
      </c>
      <c r="H5" s="13">
        <v>0</v>
      </c>
      <c r="I5" s="16">
        <f t="shared" si="271"/>
        <v>0</v>
      </c>
      <c r="J5" s="17">
        <f t="shared" si="272"/>
        <v>0</v>
      </c>
      <c r="K5" s="18">
        <f t="shared" si="273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75"/>
        <v>0</v>
      </c>
      <c r="S5" s="35">
        <f t="shared" si="276"/>
        <v>0</v>
      </c>
      <c r="T5" s="35">
        <f t="shared" si="277"/>
        <v>0</v>
      </c>
      <c r="U5" s="19" t="e">
        <f t="shared" si="278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70"/>
        <v>392010.61700300599</v>
      </c>
      <c r="F6" s="13">
        <v>56495</v>
      </c>
      <c r="G6" s="44">
        <v>285228</v>
      </c>
      <c r="H6" s="44">
        <v>70000</v>
      </c>
      <c r="I6" s="16">
        <f t="shared" si="271"/>
        <v>126495</v>
      </c>
      <c r="J6" s="17">
        <f t="shared" si="272"/>
        <v>57730</v>
      </c>
      <c r="K6" s="18">
        <f t="shared" si="273"/>
        <v>326023.60716628097</v>
      </c>
      <c r="L6" s="19">
        <f t="shared" si="274"/>
        <v>0.83167035030528513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f t="shared" si="275"/>
        <v>0</v>
      </c>
      <c r="S6" s="35">
        <f t="shared" si="276"/>
        <v>411723</v>
      </c>
      <c r="T6" s="35">
        <f t="shared" si="277"/>
        <v>68765</v>
      </c>
      <c r="U6" s="19">
        <f t="shared" si="278"/>
        <v>1.2005056012689601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70"/>
        <v>238831.89434473185</v>
      </c>
      <c r="F7" s="13">
        <v>113400</v>
      </c>
      <c r="G7" s="13">
        <v>500584</v>
      </c>
      <c r="H7" s="13">
        <v>0</v>
      </c>
      <c r="I7" s="16">
        <f t="shared" si="271"/>
        <v>113400</v>
      </c>
      <c r="J7" s="17">
        <f t="shared" si="272"/>
        <v>-124013</v>
      </c>
      <c r="K7" s="18">
        <f t="shared" si="273"/>
        <v>317484.41860542435</v>
      </c>
      <c r="L7" s="19">
        <f t="shared" si="274"/>
        <v>1.3293216949791673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275"/>
        <v>0</v>
      </c>
      <c r="S7" s="35">
        <f t="shared" si="276"/>
        <v>613984</v>
      </c>
      <c r="T7" s="35">
        <f t="shared" si="277"/>
        <v>237413</v>
      </c>
      <c r="U7" s="19">
        <f t="shared" si="278"/>
        <v>1.6304601257133449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70"/>
        <v>357411.22353525035</v>
      </c>
      <c r="F8" s="44">
        <v>229425</v>
      </c>
      <c r="G8" s="13">
        <v>429040</v>
      </c>
      <c r="H8" s="44">
        <v>0</v>
      </c>
      <c r="I8" s="16">
        <f t="shared" si="271"/>
        <v>229425</v>
      </c>
      <c r="J8" s="17">
        <f t="shared" si="272"/>
        <v>-29040</v>
      </c>
      <c r="K8" s="18">
        <f t="shared" si="273"/>
        <v>383359.27836390951</v>
      </c>
      <c r="L8" s="19">
        <f t="shared" si="274"/>
        <v>1.0726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75"/>
        <v>0</v>
      </c>
      <c r="S8" s="35">
        <f t="shared" si="276"/>
        <v>658465</v>
      </c>
      <c r="T8" s="35">
        <f t="shared" si="277"/>
        <v>258465</v>
      </c>
      <c r="U8" s="19">
        <f t="shared" si="278"/>
        <v>1.6461625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70"/>
        <v>82902.257365838552</v>
      </c>
      <c r="F9" s="13">
        <v>54304</v>
      </c>
      <c r="G9" s="13">
        <v>58800</v>
      </c>
      <c r="H9" s="13">
        <v>41200</v>
      </c>
      <c r="I9" s="16">
        <f t="shared" si="271"/>
        <v>95504</v>
      </c>
      <c r="J9" s="17">
        <f t="shared" si="272"/>
        <v>18800</v>
      </c>
      <c r="K9" s="18">
        <f t="shared" si="273"/>
        <v>62817.689859681785</v>
      </c>
      <c r="L9" s="19">
        <f t="shared" si="274"/>
        <v>0.75773195876288657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275"/>
        <v>0</v>
      </c>
      <c r="S9" s="35">
        <f t="shared" si="276"/>
        <v>154304</v>
      </c>
      <c r="T9" s="35">
        <f t="shared" si="277"/>
        <v>76704</v>
      </c>
      <c r="U9" s="19">
        <f t="shared" si="278"/>
        <v>1.9884536082474227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70"/>
        <v>84183.508682919273</v>
      </c>
      <c r="F10" s="13">
        <v>0</v>
      </c>
      <c r="G10" s="13">
        <v>0</v>
      </c>
      <c r="H10" s="13">
        <v>0</v>
      </c>
      <c r="I10" s="16">
        <f t="shared" si="271"/>
        <v>0</v>
      </c>
      <c r="J10" s="17">
        <f t="shared" si="272"/>
        <v>38800</v>
      </c>
      <c r="K10" s="18">
        <f t="shared" si="273"/>
        <v>0</v>
      </c>
      <c r="L10" s="19">
        <f t="shared" si="274"/>
        <v>0</v>
      </c>
      <c r="M10" s="34">
        <v>0</v>
      </c>
      <c r="N10" s="34">
        <v>6</v>
      </c>
      <c r="O10" s="34">
        <v>0</v>
      </c>
      <c r="P10" s="34">
        <v>0</v>
      </c>
      <c r="Q10" s="34">
        <v>0</v>
      </c>
      <c r="R10" s="34">
        <f t="shared" si="275"/>
        <v>6</v>
      </c>
      <c r="S10" s="35">
        <f t="shared" si="276"/>
        <v>6</v>
      </c>
      <c r="T10" s="35">
        <f t="shared" si="277"/>
        <v>-38794</v>
      </c>
      <c r="U10" s="19">
        <f t="shared" si="278"/>
        <v>0.00015463917525773195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70"/>
        <v>0</v>
      </c>
      <c r="F11" s="13">
        <v>0</v>
      </c>
      <c r="G11" s="13">
        <v>0</v>
      </c>
      <c r="H11" s="13">
        <v>0</v>
      </c>
      <c r="I11" s="16">
        <f t="shared" si="271"/>
        <v>0</v>
      </c>
      <c r="J11" s="17">
        <f t="shared" si="272"/>
        <v>0</v>
      </c>
      <c r="K11" s="18">
        <f t="shared" si="273"/>
        <v>0</v>
      </c>
      <c r="L11" s="19" t="e">
        <f t="shared" si="274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75"/>
        <v>0</v>
      </c>
      <c r="S11" s="35">
        <f t="shared" si="276"/>
        <v>0</v>
      </c>
      <c r="T11" s="35">
        <f t="shared" si="277"/>
        <v>0</v>
      </c>
      <c r="U11" s="19" t="e">
        <f t="shared" si="278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70"/>
        <v>0</v>
      </c>
      <c r="F12" s="13">
        <v>0</v>
      </c>
      <c r="G12" s="13">
        <v>0</v>
      </c>
      <c r="H12" s="13">
        <v>0</v>
      </c>
      <c r="I12" s="16">
        <f t="shared" si="271"/>
        <v>0</v>
      </c>
      <c r="J12" s="17">
        <f t="shared" si="272"/>
        <v>0</v>
      </c>
      <c r="K12" s="18">
        <f t="shared" si="273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75"/>
        <v>0</v>
      </c>
      <c r="S12" s="35">
        <f t="shared" si="276"/>
        <v>0</v>
      </c>
      <c r="T12" s="35">
        <f t="shared" si="277"/>
        <v>0</v>
      </c>
      <c r="U12" s="19" t="e">
        <f t="shared" si="27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70"/>
        <v>0</v>
      </c>
      <c r="F13" s="13">
        <v>0</v>
      </c>
      <c r="G13" s="13">
        <v>0</v>
      </c>
      <c r="H13" s="13">
        <v>0</v>
      </c>
      <c r="I13" s="16">
        <f t="shared" si="271"/>
        <v>0</v>
      </c>
      <c r="J13" s="17">
        <f t="shared" si="272"/>
        <v>0</v>
      </c>
      <c r="K13" s="18">
        <f t="shared" si="27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75"/>
        <v>0</v>
      </c>
      <c r="S13" s="35">
        <f t="shared" si="276"/>
        <v>0</v>
      </c>
      <c r="T13" s="35">
        <f t="shared" si="277"/>
        <v>0</v>
      </c>
      <c r="U13" s="19" t="e">
        <f t="shared" si="278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70"/>
        <v>0</v>
      </c>
      <c r="F14" s="13">
        <v>0</v>
      </c>
      <c r="G14" s="13">
        <v>0</v>
      </c>
      <c r="H14" s="13">
        <v>0</v>
      </c>
      <c r="I14" s="16">
        <f t="shared" si="271"/>
        <v>0</v>
      </c>
      <c r="J14" s="17">
        <f t="shared" si="272"/>
        <v>0</v>
      </c>
      <c r="K14" s="18">
        <f t="shared" si="27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75"/>
        <v>0</v>
      </c>
      <c r="S14" s="35">
        <f t="shared" si="276"/>
        <v>0</v>
      </c>
      <c r="T14" s="35">
        <f t="shared" si="277"/>
        <v>0</v>
      </c>
      <c r="U14" s="19" t="e">
        <f t="shared" si="278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70"/>
        <v>0</v>
      </c>
      <c r="F15" s="13">
        <v>0</v>
      </c>
      <c r="G15" s="13">
        <v>0</v>
      </c>
      <c r="H15" s="13">
        <v>0</v>
      </c>
      <c r="I15" s="16">
        <f t="shared" si="271"/>
        <v>0</v>
      </c>
      <c r="J15" s="17">
        <f t="shared" si="272"/>
        <v>0</v>
      </c>
      <c r="K15" s="18">
        <f t="shared" si="27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75"/>
        <v>0</v>
      </c>
      <c r="S15" s="35">
        <f t="shared" si="276"/>
        <v>0</v>
      </c>
      <c r="T15" s="35">
        <f t="shared" si="277"/>
        <v>0</v>
      </c>
      <c r="U15" s="19" t="e">
        <f t="shared" si="278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70"/>
        <v>0</v>
      </c>
      <c r="F16" s="13">
        <v>0</v>
      </c>
      <c r="G16" s="13">
        <v>0</v>
      </c>
      <c r="H16" s="13">
        <v>0</v>
      </c>
      <c r="I16" s="16">
        <f t="shared" si="271"/>
        <v>0</v>
      </c>
      <c r="J16" s="17">
        <f t="shared" si="272"/>
        <v>0</v>
      </c>
      <c r="K16" s="18">
        <f t="shared" si="273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75"/>
        <v>0</v>
      </c>
      <c r="S16" s="35">
        <f t="shared" si="276"/>
        <v>0</v>
      </c>
      <c r="T16" s="35">
        <f t="shared" si="277"/>
        <v>0</v>
      </c>
      <c r="U16" s="19" t="e">
        <f t="shared" si="278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70"/>
        <v>0</v>
      </c>
      <c r="F17" s="13">
        <v>25348</v>
      </c>
      <c r="G17" s="13">
        <v>25000</v>
      </c>
      <c r="H17" s="13">
        <v>0</v>
      </c>
      <c r="I17" s="16">
        <f t="shared" si="271"/>
        <v>25348</v>
      </c>
      <c r="J17" s="17">
        <f t="shared" si="272"/>
        <v>-25000</v>
      </c>
      <c r="K17" s="18">
        <f t="shared" si="273"/>
        <v>76433.135171203699</v>
      </c>
      <c r="L17" s="19" t="e">
        <f t="shared" ref="L17:L18" si="279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75"/>
        <v>0</v>
      </c>
      <c r="S17" s="35">
        <f t="shared" si="276"/>
        <v>50348</v>
      </c>
      <c r="T17" s="35">
        <f t="shared" si="277"/>
        <v>50348</v>
      </c>
      <c r="U17" s="19" t="e">
        <f t="shared" si="278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80">SUM(E3:E17)</f>
        <v>2996630.1212656549</v>
      </c>
      <c r="F18" s="24">
        <f t="shared" si="280"/>
        <v>478972</v>
      </c>
      <c r="G18" s="24">
        <f t="shared" si="280"/>
        <v>1942041</v>
      </c>
      <c r="H18" s="24">
        <f t="shared" si="280"/>
        <v>203879</v>
      </c>
      <c r="I18" s="25">
        <f t="shared" si="280"/>
        <v>682851</v>
      </c>
      <c r="J18" s="26">
        <f t="shared" si="280"/>
        <v>9016</v>
      </c>
      <c r="K18" s="26">
        <f t="shared" si="280"/>
        <v>2800144.4987184801</v>
      </c>
      <c r="L18" s="27">
        <f t="shared" si="279"/>
        <v>0.93443113944800527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75"/>
        <v>0</v>
      </c>
      <c r="S18" s="35">
        <f t="shared" si="276"/>
        <v>2624892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 t="s">
        <v>64</v>
      </c>
    </row>
    <row r="24">
      <c r="B24" s="28"/>
      <c r="C24" s="28"/>
      <c r="D24" s="28"/>
      <c r="E24" s="28" t="s">
        <v>64</v>
      </c>
      <c r="G24" t="s">
        <v>64</v>
      </c>
    </row>
    <row r="25">
      <c r="B25" s="28"/>
      <c r="C25" s="28"/>
      <c r="D25" s="28"/>
      <c r="E25" s="28"/>
    </row>
    <row r="26">
      <c r="B26" s="28"/>
      <c r="C26" s="28"/>
      <c r="D26" s="28"/>
      <c r="E26" s="28" t="s">
        <v>64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100B8-0077-4ED9-A32A-00E7005A00C9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0200C2-0072-43B1-85E6-0035005B006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DA001D-009E-4EF2-9756-00C6003D000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C8000A-0050-4CFF-9BD3-00570090008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CD00F5-0051-4C68-BBA9-009900F100A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A7005F-00A3-4B9C-98CD-00E0002A00A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4600AC-005A-43C3-AB19-003C002500E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3" activeCellId="0" sqref="G3:G17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71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83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572229</v>
      </c>
      <c r="D3" s="11">
        <v>2.8923780588381258</v>
      </c>
      <c r="E3" s="12">
        <f t="shared" ref="E3:E17" si="281">C3*D3</f>
        <v>1655102.6042308819</v>
      </c>
      <c r="F3" s="13">
        <v>0</v>
      </c>
      <c r="G3" s="44">
        <v>593315</v>
      </c>
      <c r="H3" s="13">
        <v>0</v>
      </c>
      <c r="I3" s="16">
        <f t="shared" ref="I3:I17" si="282">F3+H3</f>
        <v>0</v>
      </c>
      <c r="J3" s="17">
        <f t="shared" ref="J3:J17" si="283">C3-G3</f>
        <v>-21086</v>
      </c>
      <c r="K3" s="18">
        <f t="shared" ref="K3:K17" si="284">+G3*D3</f>
        <v>1716091.2879795425</v>
      </c>
      <c r="L3" s="19">
        <f t="shared" ref="L3:L11" si="285">K3/E3</f>
        <v>1.0368488839258407</v>
      </c>
      <c r="M3" s="34">
        <v>0</v>
      </c>
      <c r="N3" s="34">
        <f>10*18500</f>
        <v>185000</v>
      </c>
      <c r="O3" s="34">
        <f>8*18500</f>
        <v>148000</v>
      </c>
      <c r="P3" s="34">
        <v>148000</v>
      </c>
      <c r="Q3" s="34">
        <v>0</v>
      </c>
      <c r="R3" s="34">
        <f t="shared" ref="R3:R18" si="286">M3+N3+O3+P3+Q3</f>
        <v>481000</v>
      </c>
      <c r="S3" s="35">
        <f t="shared" ref="S3:S18" si="287">G3+I3+R3</f>
        <v>1074315</v>
      </c>
      <c r="T3" s="35">
        <f t="shared" ref="T3:T17" si="288">S3-C3</f>
        <v>502086</v>
      </c>
      <c r="U3" s="19">
        <f t="shared" ref="U3:U17" si="289">S3/C3</f>
        <v>1.8774214519012493</v>
      </c>
    </row>
    <row r="4">
      <c r="A4" s="9" t="s">
        <v>22</v>
      </c>
      <c r="B4" s="9" t="s">
        <v>23</v>
      </c>
      <c r="C4" s="14">
        <v>142899</v>
      </c>
      <c r="D4" s="11">
        <v>1.3029343529557731</v>
      </c>
      <c r="E4" s="12">
        <f t="shared" si="281"/>
        <v>186188.01610302701</v>
      </c>
      <c r="F4" s="13">
        <v>0</v>
      </c>
      <c r="G4" s="13">
        <v>142753</v>
      </c>
      <c r="H4" s="13">
        <v>0</v>
      </c>
      <c r="I4" s="16">
        <f t="shared" si="282"/>
        <v>0</v>
      </c>
      <c r="J4" s="17">
        <f t="shared" si="283"/>
        <v>146</v>
      </c>
      <c r="K4" s="18">
        <f t="shared" si="284"/>
        <v>185997.78768749547</v>
      </c>
      <c r="L4" s="19">
        <f t="shared" si="285"/>
        <v>0.99897829935828797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86"/>
        <v>0</v>
      </c>
      <c r="S4" s="35">
        <f t="shared" si="287"/>
        <v>142753</v>
      </c>
      <c r="T4" s="35">
        <f t="shared" si="288"/>
        <v>-146</v>
      </c>
      <c r="U4" s="19">
        <f t="shared" si="289"/>
        <v>0.99897829935828797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81"/>
        <v>0</v>
      </c>
      <c r="F5" s="13">
        <v>0</v>
      </c>
      <c r="G5" s="13">
        <v>0</v>
      </c>
      <c r="H5" s="13">
        <v>0</v>
      </c>
      <c r="I5" s="16">
        <f t="shared" si="282"/>
        <v>0</v>
      </c>
      <c r="J5" s="17">
        <f t="shared" si="283"/>
        <v>0</v>
      </c>
      <c r="K5" s="18">
        <f t="shared" si="284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86"/>
        <v>0</v>
      </c>
      <c r="S5" s="35">
        <f t="shared" si="287"/>
        <v>0</v>
      </c>
      <c r="T5" s="35">
        <f t="shared" si="288"/>
        <v>0</v>
      </c>
      <c r="U5" s="19" t="e">
        <f t="shared" si="289"/>
        <v>#DIV/0!</v>
      </c>
    </row>
    <row r="6">
      <c r="A6" s="9" t="s">
        <v>26</v>
      </c>
      <c r="B6" s="9" t="s">
        <v>27</v>
      </c>
      <c r="C6" s="14">
        <v>342958</v>
      </c>
      <c r="D6" s="11">
        <v>1.1430280588381259</v>
      </c>
      <c r="E6" s="12">
        <f t="shared" si="281"/>
        <v>392010.61700300599</v>
      </c>
      <c r="F6" s="13">
        <v>56495</v>
      </c>
      <c r="G6" s="44">
        <v>355228</v>
      </c>
      <c r="H6" s="44">
        <v>0</v>
      </c>
      <c r="I6" s="16">
        <f t="shared" si="282"/>
        <v>56495</v>
      </c>
      <c r="J6" s="17">
        <f t="shared" si="283"/>
        <v>-12270</v>
      </c>
      <c r="K6" s="18">
        <f t="shared" si="284"/>
        <v>406035.57128494978</v>
      </c>
      <c r="L6" s="19">
        <f t="shared" si="285"/>
        <v>1.0357769756063424</v>
      </c>
      <c r="M6" s="34">
        <v>0</v>
      </c>
      <c r="N6" s="34">
        <v>220500</v>
      </c>
      <c r="O6" s="34">
        <v>94500</v>
      </c>
      <c r="P6" s="34">
        <v>94500</v>
      </c>
      <c r="Q6" s="34">
        <v>0</v>
      </c>
      <c r="R6" s="34">
        <f t="shared" si="286"/>
        <v>409500</v>
      </c>
      <c r="S6" s="35">
        <f t="shared" si="287"/>
        <v>821223</v>
      </c>
      <c r="T6" s="35">
        <f t="shared" si="288"/>
        <v>478265</v>
      </c>
      <c r="U6" s="19">
        <f t="shared" si="289"/>
        <v>2.3945293592801451</v>
      </c>
    </row>
    <row r="7">
      <c r="A7" s="9" t="s">
        <v>28</v>
      </c>
      <c r="B7" s="9" t="s">
        <v>29</v>
      </c>
      <c r="C7" s="14">
        <v>376571</v>
      </c>
      <c r="D7" s="11">
        <v>0.63422805883812572</v>
      </c>
      <c r="E7" s="12">
        <f t="shared" si="281"/>
        <v>238831.89434473185</v>
      </c>
      <c r="F7" s="13">
        <v>113400</v>
      </c>
      <c r="G7" s="13">
        <v>500584</v>
      </c>
      <c r="H7" s="13">
        <v>0</v>
      </c>
      <c r="I7" s="16">
        <f t="shared" si="282"/>
        <v>113400</v>
      </c>
      <c r="J7" s="17">
        <f t="shared" si="283"/>
        <v>-124013</v>
      </c>
      <c r="K7" s="18">
        <f t="shared" si="284"/>
        <v>317484.41860542435</v>
      </c>
      <c r="L7" s="19">
        <f t="shared" si="285"/>
        <v>1.3293216949791673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286"/>
        <v>522000</v>
      </c>
      <c r="S7" s="35">
        <f t="shared" si="287"/>
        <v>1135984</v>
      </c>
      <c r="T7" s="35">
        <f t="shared" si="288"/>
        <v>759413</v>
      </c>
      <c r="U7" s="19">
        <f t="shared" si="289"/>
        <v>3.0166529021087656</v>
      </c>
    </row>
    <row r="8">
      <c r="A8" s="9" t="s">
        <v>30</v>
      </c>
      <c r="B8" s="9" t="s">
        <v>31</v>
      </c>
      <c r="C8" s="14">
        <v>400000</v>
      </c>
      <c r="D8" s="11">
        <v>0.89352805883812592</v>
      </c>
      <c r="E8" s="12">
        <f t="shared" si="281"/>
        <v>357411.22353525035</v>
      </c>
      <c r="F8" s="44">
        <v>229425</v>
      </c>
      <c r="G8" s="13">
        <v>429040</v>
      </c>
      <c r="H8" s="44">
        <v>0</v>
      </c>
      <c r="I8" s="16">
        <f t="shared" si="282"/>
        <v>229425</v>
      </c>
      <c r="J8" s="17">
        <f t="shared" si="283"/>
        <v>-29040</v>
      </c>
      <c r="K8" s="18">
        <f t="shared" si="284"/>
        <v>383359.27836390951</v>
      </c>
      <c r="L8" s="19">
        <f t="shared" si="285"/>
        <v>1.0726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86"/>
        <v>0</v>
      </c>
      <c r="S8" s="35">
        <f t="shared" si="287"/>
        <v>658465</v>
      </c>
      <c r="T8" s="35">
        <f t="shared" si="288"/>
        <v>258465</v>
      </c>
      <c r="U8" s="19">
        <f t="shared" si="289"/>
        <v>1.6461625</v>
      </c>
    </row>
    <row r="9">
      <c r="A9" s="9" t="s">
        <v>32</v>
      </c>
      <c r="B9" s="9" t="s">
        <v>33</v>
      </c>
      <c r="C9" s="14">
        <v>77600</v>
      </c>
      <c r="D9" s="11">
        <v>1.0683280588381256</v>
      </c>
      <c r="E9" s="12">
        <f t="shared" si="281"/>
        <v>82902.257365838552</v>
      </c>
      <c r="F9" s="13">
        <v>54304</v>
      </c>
      <c r="G9" s="13">
        <v>100000</v>
      </c>
      <c r="H9" s="13">
        <v>0</v>
      </c>
      <c r="I9" s="16">
        <f t="shared" si="282"/>
        <v>54304</v>
      </c>
      <c r="J9" s="17">
        <f t="shared" si="283"/>
        <v>-22400</v>
      </c>
      <c r="K9" s="18">
        <f t="shared" si="284"/>
        <v>106832.80588381256</v>
      </c>
      <c r="L9" s="19">
        <f t="shared" si="285"/>
        <v>1.2886597938144329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286"/>
        <v>0</v>
      </c>
      <c r="S9" s="35">
        <f t="shared" si="287"/>
        <v>154304</v>
      </c>
      <c r="T9" s="35">
        <f t="shared" si="288"/>
        <v>76704</v>
      </c>
      <c r="U9" s="19">
        <f t="shared" si="289"/>
        <v>1.9884536082474227</v>
      </c>
    </row>
    <row r="10">
      <c r="A10" s="9" t="s">
        <v>34</v>
      </c>
      <c r="B10" s="9" t="s">
        <v>35</v>
      </c>
      <c r="C10" s="14">
        <v>38800</v>
      </c>
      <c r="D10" s="11">
        <v>2.1696780588381257</v>
      </c>
      <c r="E10" s="12">
        <f t="shared" si="281"/>
        <v>84183.508682919273</v>
      </c>
      <c r="F10" s="13">
        <v>0</v>
      </c>
      <c r="G10" s="13">
        <v>0</v>
      </c>
      <c r="H10" s="13">
        <v>0</v>
      </c>
      <c r="I10" s="16">
        <f t="shared" si="282"/>
        <v>0</v>
      </c>
      <c r="J10" s="17">
        <f t="shared" si="283"/>
        <v>38800</v>
      </c>
      <c r="K10" s="18">
        <f t="shared" si="284"/>
        <v>0</v>
      </c>
      <c r="L10" s="19">
        <f t="shared" si="285"/>
        <v>0</v>
      </c>
      <c r="M10" s="34">
        <v>0</v>
      </c>
      <c r="N10" s="34">
        <v>234000</v>
      </c>
      <c r="O10" s="34">
        <v>0</v>
      </c>
      <c r="P10" s="34">
        <v>0</v>
      </c>
      <c r="Q10" s="34">
        <v>0</v>
      </c>
      <c r="R10" s="34">
        <f t="shared" si="286"/>
        <v>234000</v>
      </c>
      <c r="S10" s="35">
        <f t="shared" si="287"/>
        <v>234000</v>
      </c>
      <c r="T10" s="35">
        <f t="shared" si="288"/>
        <v>195200</v>
      </c>
      <c r="U10" s="19">
        <f t="shared" si="289"/>
        <v>6.0309278350515463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81"/>
        <v>0</v>
      </c>
      <c r="F11" s="13">
        <v>0</v>
      </c>
      <c r="G11" s="13">
        <v>0</v>
      </c>
      <c r="H11" s="13">
        <v>0</v>
      </c>
      <c r="I11" s="16">
        <f t="shared" si="282"/>
        <v>0</v>
      </c>
      <c r="J11" s="17">
        <f t="shared" si="283"/>
        <v>0</v>
      </c>
      <c r="K11" s="18">
        <f t="shared" si="284"/>
        <v>0</v>
      </c>
      <c r="L11" s="19" t="e">
        <f t="shared" si="285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86"/>
        <v>0</v>
      </c>
      <c r="S11" s="35">
        <f t="shared" si="287"/>
        <v>0</v>
      </c>
      <c r="T11" s="35">
        <f t="shared" si="288"/>
        <v>0</v>
      </c>
      <c r="U11" s="19" t="e">
        <f t="shared" si="28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81"/>
        <v>0</v>
      </c>
      <c r="F12" s="13">
        <v>0</v>
      </c>
      <c r="G12" s="13">
        <v>0</v>
      </c>
      <c r="H12" s="13">
        <v>0</v>
      </c>
      <c r="I12" s="16">
        <f t="shared" si="282"/>
        <v>0</v>
      </c>
      <c r="J12" s="17">
        <f t="shared" si="283"/>
        <v>0</v>
      </c>
      <c r="K12" s="18">
        <f t="shared" si="284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86"/>
        <v>0</v>
      </c>
      <c r="S12" s="35">
        <f t="shared" si="287"/>
        <v>0</v>
      </c>
      <c r="T12" s="35">
        <f t="shared" si="288"/>
        <v>0</v>
      </c>
      <c r="U12" s="19" t="e">
        <f t="shared" si="28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81"/>
        <v>0</v>
      </c>
      <c r="F13" s="13">
        <v>0</v>
      </c>
      <c r="G13" s="13">
        <v>0</v>
      </c>
      <c r="H13" s="13">
        <v>0</v>
      </c>
      <c r="I13" s="16">
        <f t="shared" si="282"/>
        <v>0</v>
      </c>
      <c r="J13" s="17">
        <f t="shared" si="283"/>
        <v>0</v>
      </c>
      <c r="K13" s="18">
        <f t="shared" si="28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86"/>
        <v>0</v>
      </c>
      <c r="S13" s="35">
        <f t="shared" si="287"/>
        <v>0</v>
      </c>
      <c r="T13" s="35">
        <f t="shared" si="288"/>
        <v>0</v>
      </c>
      <c r="U13" s="19" t="e">
        <f t="shared" si="289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81"/>
        <v>0</v>
      </c>
      <c r="F14" s="13">
        <v>0</v>
      </c>
      <c r="G14" s="13">
        <v>0</v>
      </c>
      <c r="H14" s="13">
        <v>0</v>
      </c>
      <c r="I14" s="16">
        <f t="shared" si="282"/>
        <v>0</v>
      </c>
      <c r="J14" s="17">
        <f t="shared" si="283"/>
        <v>0</v>
      </c>
      <c r="K14" s="18">
        <f t="shared" si="28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86"/>
        <v>0</v>
      </c>
      <c r="S14" s="35">
        <f t="shared" si="287"/>
        <v>0</v>
      </c>
      <c r="T14" s="35">
        <f t="shared" si="288"/>
        <v>0</v>
      </c>
      <c r="U14" s="19" t="e">
        <f t="shared" si="289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81"/>
        <v>0</v>
      </c>
      <c r="F15" s="13">
        <v>0</v>
      </c>
      <c r="G15" s="13">
        <v>0</v>
      </c>
      <c r="H15" s="13">
        <v>0</v>
      </c>
      <c r="I15" s="16">
        <f t="shared" si="282"/>
        <v>0</v>
      </c>
      <c r="J15" s="17">
        <f t="shared" si="283"/>
        <v>0</v>
      </c>
      <c r="K15" s="18">
        <f t="shared" si="28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86"/>
        <v>0</v>
      </c>
      <c r="S15" s="35">
        <f t="shared" si="287"/>
        <v>0</v>
      </c>
      <c r="T15" s="35">
        <f t="shared" si="288"/>
        <v>0</v>
      </c>
      <c r="U15" s="19" t="e">
        <f t="shared" si="289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81"/>
        <v>0</v>
      </c>
      <c r="F16" s="13">
        <v>0</v>
      </c>
      <c r="G16" s="13">
        <v>0</v>
      </c>
      <c r="H16" s="13">
        <v>0</v>
      </c>
      <c r="I16" s="16">
        <f t="shared" si="282"/>
        <v>0</v>
      </c>
      <c r="J16" s="17">
        <f t="shared" si="283"/>
        <v>0</v>
      </c>
      <c r="K16" s="18">
        <f t="shared" si="284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86"/>
        <v>0</v>
      </c>
      <c r="S16" s="35">
        <f t="shared" si="287"/>
        <v>0</v>
      </c>
      <c r="T16" s="35">
        <f t="shared" si="288"/>
        <v>0</v>
      </c>
      <c r="U16" s="19" t="e">
        <f t="shared" si="289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81"/>
        <v>0</v>
      </c>
      <c r="F17" s="13">
        <v>25348</v>
      </c>
      <c r="G17" s="13">
        <v>25000</v>
      </c>
      <c r="H17" s="13">
        <v>0</v>
      </c>
      <c r="I17" s="16">
        <f t="shared" si="282"/>
        <v>25348</v>
      </c>
      <c r="J17" s="17">
        <f t="shared" si="283"/>
        <v>-25000</v>
      </c>
      <c r="K17" s="18">
        <f t="shared" si="284"/>
        <v>76433.135171203699</v>
      </c>
      <c r="L17" s="19" t="e">
        <f t="shared" ref="L17:L18" si="290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86"/>
        <v>0</v>
      </c>
      <c r="S17" s="35">
        <f t="shared" si="287"/>
        <v>50348</v>
      </c>
      <c r="T17" s="35">
        <f t="shared" si="288"/>
        <v>50348</v>
      </c>
      <c r="U17" s="19" t="e">
        <f t="shared" si="289"/>
        <v>#DIV/0!</v>
      </c>
    </row>
    <row r="18" ht="16.5">
      <c r="A18" s="21" t="s">
        <v>50</v>
      </c>
      <c r="B18" s="21"/>
      <c r="C18" s="36">
        <f>SUM(C3:C17)</f>
        <v>1951057</v>
      </c>
      <c r="D18" s="23"/>
      <c r="E18" s="22">
        <f t="shared" ref="E18:K18" si="291">SUM(E3:E17)</f>
        <v>2996630.1212656549</v>
      </c>
      <c r="F18" s="24">
        <f t="shared" si="291"/>
        <v>478972</v>
      </c>
      <c r="G18" s="24">
        <f t="shared" si="291"/>
        <v>2145920</v>
      </c>
      <c r="H18" s="24">
        <f t="shared" si="291"/>
        <v>0</v>
      </c>
      <c r="I18" s="25">
        <f t="shared" si="291"/>
        <v>478972</v>
      </c>
      <c r="J18" s="26">
        <f t="shared" si="291"/>
        <v>-194863</v>
      </c>
      <c r="K18" s="26">
        <f t="shared" si="291"/>
        <v>3192234.2849763385</v>
      </c>
      <c r="L18" s="27">
        <f t="shared" si="290"/>
        <v>1.0652747105231888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86"/>
        <v>0</v>
      </c>
      <c r="S18" s="35">
        <f t="shared" si="287"/>
        <v>2624892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45"/>
      <c r="F21" s="42"/>
      <c r="G21" s="42"/>
    </row>
    <row r="22">
      <c r="B22" s="28"/>
      <c r="C22" s="28"/>
      <c r="D22" s="28"/>
      <c r="E22" s="45"/>
      <c r="F22" s="42"/>
      <c r="G22" s="42"/>
    </row>
    <row r="23">
      <c r="B23" s="28"/>
      <c r="C23" s="28"/>
      <c r="D23" s="28"/>
      <c r="E23" s="45"/>
      <c r="F23" s="46"/>
      <c r="G23" s="42" t="s">
        <v>64</v>
      </c>
    </row>
    <row r="24">
      <c r="B24" s="28"/>
      <c r="C24" s="28"/>
      <c r="D24" s="28"/>
      <c r="E24" s="28" t="s">
        <v>64</v>
      </c>
      <c r="G24" t="s">
        <v>64</v>
      </c>
    </row>
    <row r="25">
      <c r="B25" s="28"/>
      <c r="C25" s="28"/>
      <c r="D25" s="28"/>
      <c r="E25" s="28"/>
    </row>
    <row r="26">
      <c r="B26" s="28"/>
      <c r="C26" s="28"/>
      <c r="D26" s="28"/>
      <c r="E26" s="28" t="s">
        <v>64</v>
      </c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FE00B1-00C6-4954-882A-00BC000400EA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B20:B25</xm:sqref>
        </x14:conditionalFormatting>
        <x14:conditionalFormatting xmlns:xm="http://schemas.microsoft.com/office/excel/2006/main">
          <x14:cfRule type="cellIs" priority="6" operator="greaterThan" id="{004700ED-0077-4B9B-A3EF-0082004A00B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5100E5-0003-4571-9401-00A400CE00A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650033-00D0-4A7B-AAB1-00240021002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6D0027-0000-42B5-89F3-004E00EF00D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C2002D-007B-4221-872E-008E00A9004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FE000C-00E5-46D5-A266-000000D2004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A7" activeCellId="0" sqref="A7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90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11">
        <v>2.8923780588381258</v>
      </c>
      <c r="E3" s="12">
        <f t="shared" ref="E3:E17" si="292">C3*D3</f>
        <v>1055469.2469628558</v>
      </c>
      <c r="F3" s="13">
        <v>0</v>
      </c>
      <c r="G3" s="44">
        <v>0</v>
      </c>
      <c r="H3" s="13">
        <v>0</v>
      </c>
      <c r="I3" s="16">
        <f t="shared" ref="I3:I17" si="293">F3+H3</f>
        <v>0</v>
      </c>
      <c r="J3" s="17">
        <f t="shared" ref="J3:J17" si="294">C3-G3</f>
        <v>364914</v>
      </c>
      <c r="K3" s="18">
        <f t="shared" ref="K3:K17" si="295">+G3*D3</f>
        <v>0</v>
      </c>
      <c r="L3" s="19">
        <f t="shared" ref="L3:L11" si="296">K3/E3</f>
        <v>0</v>
      </c>
      <c r="M3" s="34">
        <v>0</v>
      </c>
      <c r="N3" s="34">
        <f>10*18500</f>
        <v>185000</v>
      </c>
      <c r="O3" s="34">
        <f>8*18500</f>
        <v>148000</v>
      </c>
      <c r="P3" s="34">
        <v>148000</v>
      </c>
      <c r="Q3" s="34">
        <v>0</v>
      </c>
      <c r="R3" s="34">
        <f t="shared" ref="R3:R18" si="297">M3+N3+O3+P3+Q3</f>
        <v>481000</v>
      </c>
      <c r="S3" s="35">
        <f t="shared" ref="S3:S18" si="298">G3+I3+R3</f>
        <v>481000</v>
      </c>
      <c r="T3" s="35">
        <f t="shared" ref="T3:T17" si="299">S3-C3</f>
        <v>116086</v>
      </c>
      <c r="U3" s="19">
        <f t="shared" ref="U3:U17" si="300">S3/C3</f>
        <v>1.3181187896326259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292"/>
        <v>0</v>
      </c>
      <c r="F4" s="13">
        <v>0</v>
      </c>
      <c r="G4" s="13">
        <v>0</v>
      </c>
      <c r="H4" s="13">
        <v>0</v>
      </c>
      <c r="I4" s="16">
        <f t="shared" si="293"/>
        <v>0</v>
      </c>
      <c r="J4" s="17">
        <f t="shared" si="294"/>
        <v>0</v>
      </c>
      <c r="K4" s="18">
        <f t="shared" si="295"/>
        <v>0</v>
      </c>
      <c r="L4" s="19" t="e">
        <f t="shared" si="296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297"/>
        <v>0</v>
      </c>
      <c r="S4" s="35">
        <f t="shared" si="298"/>
        <v>0</v>
      </c>
      <c r="T4" s="35">
        <f t="shared" si="299"/>
        <v>0</v>
      </c>
      <c r="U4" s="19" t="e">
        <f t="shared" si="300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92"/>
        <v>0</v>
      </c>
      <c r="F5" s="13">
        <v>0</v>
      </c>
      <c r="G5" s="13">
        <v>0</v>
      </c>
      <c r="H5" s="13">
        <v>0</v>
      </c>
      <c r="I5" s="16">
        <f t="shared" si="293"/>
        <v>0</v>
      </c>
      <c r="J5" s="17">
        <f t="shared" si="294"/>
        <v>0</v>
      </c>
      <c r="K5" s="18">
        <f t="shared" si="295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297"/>
        <v>0</v>
      </c>
      <c r="S5" s="35">
        <f t="shared" si="298"/>
        <v>0</v>
      </c>
      <c r="T5" s="35">
        <f t="shared" si="299"/>
        <v>0</v>
      </c>
      <c r="U5" s="19" t="e">
        <f t="shared" si="300"/>
        <v>#DIV/0!</v>
      </c>
    </row>
    <row r="6">
      <c r="A6" s="9" t="s">
        <v>26</v>
      </c>
      <c r="B6" s="9" t="s">
        <v>27</v>
      </c>
      <c r="C6" s="14">
        <v>424222</v>
      </c>
      <c r="D6" s="11">
        <v>1.1430280588381259</v>
      </c>
      <c r="E6" s="12">
        <f t="shared" si="292"/>
        <v>484897.64917642745</v>
      </c>
      <c r="F6" s="13">
        <v>56495</v>
      </c>
      <c r="G6" s="44">
        <v>0</v>
      </c>
      <c r="H6" s="44">
        <v>0</v>
      </c>
      <c r="I6" s="16">
        <f t="shared" si="293"/>
        <v>56495</v>
      </c>
      <c r="J6" s="17">
        <f t="shared" si="294"/>
        <v>424222</v>
      </c>
      <c r="K6" s="18">
        <f t="shared" si="295"/>
        <v>0</v>
      </c>
      <c r="L6" s="19">
        <f t="shared" si="296"/>
        <v>0</v>
      </c>
      <c r="M6" s="34">
        <v>0</v>
      </c>
      <c r="N6" s="34">
        <v>220500</v>
      </c>
      <c r="O6" s="34">
        <v>94500</v>
      </c>
      <c r="P6" s="34">
        <v>94500</v>
      </c>
      <c r="Q6" s="34">
        <v>0</v>
      </c>
      <c r="R6" s="34">
        <f t="shared" si="297"/>
        <v>409500</v>
      </c>
      <c r="S6" s="35">
        <f t="shared" si="298"/>
        <v>465995</v>
      </c>
      <c r="T6" s="35">
        <f t="shared" si="299"/>
        <v>41773</v>
      </c>
      <c r="U6" s="19">
        <f t="shared" si="300"/>
        <v>1.098469669182645</v>
      </c>
    </row>
    <row r="7">
      <c r="A7" s="9" t="s">
        <v>28</v>
      </c>
      <c r="B7" s="9" t="s">
        <v>29</v>
      </c>
      <c r="C7" s="14">
        <v>200000</v>
      </c>
      <c r="D7" s="11">
        <v>0.63422805883812572</v>
      </c>
      <c r="E7" s="12">
        <f t="shared" si="292"/>
        <v>126845.61176762515</v>
      </c>
      <c r="F7" s="13">
        <v>113400</v>
      </c>
      <c r="G7" s="13">
        <v>0</v>
      </c>
      <c r="H7" s="13">
        <v>0</v>
      </c>
      <c r="I7" s="16">
        <f t="shared" si="293"/>
        <v>113400</v>
      </c>
      <c r="J7" s="17">
        <f t="shared" si="294"/>
        <v>200000</v>
      </c>
      <c r="K7" s="18">
        <f t="shared" si="295"/>
        <v>0</v>
      </c>
      <c r="L7" s="19">
        <f t="shared" si="296"/>
        <v>0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297"/>
        <v>522000</v>
      </c>
      <c r="S7" s="35">
        <f t="shared" si="298"/>
        <v>635400</v>
      </c>
      <c r="T7" s="35">
        <f t="shared" si="299"/>
        <v>435400</v>
      </c>
      <c r="U7" s="19">
        <f t="shared" si="300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292"/>
        <v>162550.62446383186</v>
      </c>
      <c r="F8" s="44">
        <v>229425</v>
      </c>
      <c r="G8" s="13">
        <v>0</v>
      </c>
      <c r="H8" s="44">
        <v>0</v>
      </c>
      <c r="I8" s="16">
        <f t="shared" si="293"/>
        <v>229425</v>
      </c>
      <c r="J8" s="17">
        <f t="shared" si="294"/>
        <v>181920</v>
      </c>
      <c r="K8" s="18">
        <f t="shared" si="295"/>
        <v>0</v>
      </c>
      <c r="L8" s="19">
        <f t="shared" si="296"/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297"/>
        <v>0</v>
      </c>
      <c r="S8" s="35">
        <f t="shared" si="298"/>
        <v>229425</v>
      </c>
      <c r="T8" s="35">
        <f t="shared" si="299"/>
        <v>47505</v>
      </c>
      <c r="U8" s="19">
        <f t="shared" si="300"/>
        <v>1.2611312664907652</v>
      </c>
    </row>
    <row r="9">
      <c r="A9" s="9" t="s">
        <v>32</v>
      </c>
      <c r="B9" s="9" t="s">
        <v>33</v>
      </c>
      <c r="C9" s="14">
        <v>54304</v>
      </c>
      <c r="D9" s="11">
        <v>1.0683280588381256</v>
      </c>
      <c r="E9" s="12">
        <f t="shared" si="292"/>
        <v>58014.486907145576</v>
      </c>
      <c r="F9" s="13">
        <v>54304</v>
      </c>
      <c r="G9" s="13">
        <v>0</v>
      </c>
      <c r="H9" s="13">
        <v>0</v>
      </c>
      <c r="I9" s="16">
        <f t="shared" si="293"/>
        <v>54304</v>
      </c>
      <c r="J9" s="17">
        <f t="shared" si="294"/>
        <v>54304</v>
      </c>
      <c r="K9" s="18">
        <f t="shared" si="295"/>
        <v>0</v>
      </c>
      <c r="L9" s="19">
        <f t="shared" si="296"/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297"/>
        <v>0</v>
      </c>
      <c r="S9" s="35">
        <f t="shared" si="298"/>
        <v>54304</v>
      </c>
      <c r="T9" s="35">
        <f t="shared" si="299"/>
        <v>0</v>
      </c>
      <c r="U9" s="19">
        <f t="shared" si="300"/>
        <v>1</v>
      </c>
    </row>
    <row r="10">
      <c r="A10" s="9" t="s">
        <v>34</v>
      </c>
      <c r="B10" s="9" t="s">
        <v>35</v>
      </c>
      <c r="C10" s="14">
        <v>493800</v>
      </c>
      <c r="D10" s="11">
        <v>2.1696780588381257</v>
      </c>
      <c r="E10" s="12">
        <f t="shared" si="292"/>
        <v>1071387.0254542665</v>
      </c>
      <c r="F10" s="13">
        <v>0</v>
      </c>
      <c r="G10" s="13">
        <v>0</v>
      </c>
      <c r="H10" s="13">
        <v>0</v>
      </c>
      <c r="I10" s="16">
        <f t="shared" si="293"/>
        <v>0</v>
      </c>
      <c r="J10" s="17">
        <f t="shared" si="294"/>
        <v>493800</v>
      </c>
      <c r="K10" s="18">
        <f t="shared" si="295"/>
        <v>0</v>
      </c>
      <c r="L10" s="19">
        <f t="shared" si="296"/>
        <v>0</v>
      </c>
      <c r="M10" s="34">
        <v>0</v>
      </c>
      <c r="N10" s="34">
        <v>234000</v>
      </c>
      <c r="O10" s="34">
        <v>234000</v>
      </c>
      <c r="P10" s="34">
        <v>234000</v>
      </c>
      <c r="Q10" s="34">
        <v>0</v>
      </c>
      <c r="R10" s="34">
        <f t="shared" si="297"/>
        <v>702000</v>
      </c>
      <c r="S10" s="35">
        <f t="shared" si="298"/>
        <v>702000</v>
      </c>
      <c r="T10" s="35">
        <f t="shared" si="299"/>
        <v>208200</v>
      </c>
      <c r="U10" s="19">
        <f t="shared" si="300"/>
        <v>1.4216281895504252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292"/>
        <v>0</v>
      </c>
      <c r="F11" s="13">
        <v>0</v>
      </c>
      <c r="G11" s="13">
        <v>0</v>
      </c>
      <c r="H11" s="13">
        <v>0</v>
      </c>
      <c r="I11" s="16">
        <f t="shared" si="293"/>
        <v>0</v>
      </c>
      <c r="J11" s="17">
        <f t="shared" si="294"/>
        <v>0</v>
      </c>
      <c r="K11" s="18">
        <f t="shared" si="295"/>
        <v>0</v>
      </c>
      <c r="L11" s="19" t="e">
        <f t="shared" si="296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297"/>
        <v>0</v>
      </c>
      <c r="S11" s="35">
        <f t="shared" si="298"/>
        <v>0</v>
      </c>
      <c r="T11" s="35">
        <f t="shared" si="299"/>
        <v>0</v>
      </c>
      <c r="U11" s="19" t="e">
        <f t="shared" si="300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92"/>
        <v>0</v>
      </c>
      <c r="F12" s="13">
        <v>0</v>
      </c>
      <c r="G12" s="13">
        <v>0</v>
      </c>
      <c r="H12" s="13">
        <v>0</v>
      </c>
      <c r="I12" s="16">
        <f t="shared" si="293"/>
        <v>0</v>
      </c>
      <c r="J12" s="17">
        <f t="shared" si="294"/>
        <v>0</v>
      </c>
      <c r="K12" s="18">
        <f t="shared" si="295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297"/>
        <v>0</v>
      </c>
      <c r="S12" s="35">
        <f t="shared" si="298"/>
        <v>0</v>
      </c>
      <c r="T12" s="35">
        <f t="shared" si="299"/>
        <v>0</v>
      </c>
      <c r="U12" s="19" t="e">
        <f t="shared" si="30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92"/>
        <v>0</v>
      </c>
      <c r="F13" s="13">
        <v>0</v>
      </c>
      <c r="G13" s="13">
        <v>0</v>
      </c>
      <c r="H13" s="13">
        <v>0</v>
      </c>
      <c r="I13" s="16">
        <f t="shared" si="293"/>
        <v>0</v>
      </c>
      <c r="J13" s="17">
        <f t="shared" si="294"/>
        <v>0</v>
      </c>
      <c r="K13" s="18">
        <f t="shared" si="29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297"/>
        <v>0</v>
      </c>
      <c r="S13" s="35">
        <f t="shared" si="298"/>
        <v>0</v>
      </c>
      <c r="T13" s="35">
        <f t="shared" si="299"/>
        <v>0</v>
      </c>
      <c r="U13" s="19" t="e">
        <f t="shared" si="300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92"/>
        <v>0</v>
      </c>
      <c r="F14" s="13">
        <v>0</v>
      </c>
      <c r="G14" s="13">
        <v>0</v>
      </c>
      <c r="H14" s="13">
        <v>0</v>
      </c>
      <c r="I14" s="16">
        <f t="shared" si="293"/>
        <v>0</v>
      </c>
      <c r="J14" s="17">
        <f t="shared" si="294"/>
        <v>0</v>
      </c>
      <c r="K14" s="18">
        <f t="shared" si="29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297"/>
        <v>0</v>
      </c>
      <c r="S14" s="35">
        <f t="shared" si="298"/>
        <v>0</v>
      </c>
      <c r="T14" s="35">
        <f t="shared" si="299"/>
        <v>0</v>
      </c>
      <c r="U14" s="19" t="e">
        <f t="shared" si="300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92"/>
        <v>0</v>
      </c>
      <c r="F15" s="13">
        <v>0</v>
      </c>
      <c r="G15" s="13">
        <v>0</v>
      </c>
      <c r="H15" s="13">
        <v>0</v>
      </c>
      <c r="I15" s="16">
        <f t="shared" si="293"/>
        <v>0</v>
      </c>
      <c r="J15" s="17">
        <f t="shared" si="294"/>
        <v>0</v>
      </c>
      <c r="K15" s="18">
        <f t="shared" si="29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297"/>
        <v>0</v>
      </c>
      <c r="S15" s="35">
        <f t="shared" si="298"/>
        <v>0</v>
      </c>
      <c r="T15" s="35">
        <f t="shared" si="299"/>
        <v>0</v>
      </c>
      <c r="U15" s="19" t="e">
        <f t="shared" si="300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92"/>
        <v>0</v>
      </c>
      <c r="F16" s="13">
        <v>0</v>
      </c>
      <c r="G16" s="13">
        <v>0</v>
      </c>
      <c r="H16" s="13">
        <v>0</v>
      </c>
      <c r="I16" s="16">
        <f t="shared" si="293"/>
        <v>0</v>
      </c>
      <c r="J16" s="17">
        <f t="shared" si="294"/>
        <v>0</v>
      </c>
      <c r="K16" s="18">
        <f t="shared" si="295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297"/>
        <v>0</v>
      </c>
      <c r="S16" s="35">
        <f t="shared" si="298"/>
        <v>0</v>
      </c>
      <c r="T16" s="35">
        <f t="shared" si="299"/>
        <v>0</v>
      </c>
      <c r="U16" s="19" t="e">
        <f t="shared" si="300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292"/>
        <v>0</v>
      </c>
      <c r="F17" s="13">
        <v>25348</v>
      </c>
      <c r="G17" s="13">
        <v>0</v>
      </c>
      <c r="H17" s="13">
        <v>0</v>
      </c>
      <c r="I17" s="16">
        <f t="shared" si="293"/>
        <v>25348</v>
      </c>
      <c r="J17" s="17">
        <f t="shared" si="294"/>
        <v>0</v>
      </c>
      <c r="K17" s="18">
        <f t="shared" si="295"/>
        <v>0</v>
      </c>
      <c r="L17" s="19" t="e">
        <f t="shared" ref="L17:L18" si="301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297"/>
        <v>0</v>
      </c>
      <c r="S17" s="35">
        <f t="shared" si="298"/>
        <v>25348</v>
      </c>
      <c r="T17" s="35">
        <f t="shared" si="299"/>
        <v>25348</v>
      </c>
      <c r="U17" s="19" t="e">
        <f t="shared" si="300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02">SUM(E3:E17)</f>
        <v>2959164.6447321521</v>
      </c>
      <c r="F18" s="24">
        <f t="shared" si="302"/>
        <v>478972</v>
      </c>
      <c r="G18" s="24">
        <f t="shared" si="302"/>
        <v>0</v>
      </c>
      <c r="H18" s="24">
        <f t="shared" si="302"/>
        <v>0</v>
      </c>
      <c r="I18" s="25">
        <f t="shared" si="302"/>
        <v>478972</v>
      </c>
      <c r="J18" s="26">
        <f t="shared" si="302"/>
        <v>1719160</v>
      </c>
      <c r="K18" s="26">
        <f t="shared" si="302"/>
        <v>0</v>
      </c>
      <c r="L18" s="27">
        <f t="shared" si="301"/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297"/>
        <v>0</v>
      </c>
      <c r="S18" s="35">
        <f t="shared" si="298"/>
        <v>478972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/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D500E8-001E-4A00-93EE-00EB00300007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810030-0024-4536-81C6-00FD0036000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8300B1-0094-4A39-B55E-006700BE00C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9E003A-0049-4597-B86D-003D00B2006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50004F-0009-4443-8ED0-00210025007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3F00F7-0043-4971-B83F-0013004C003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5900BD-00DF-42F2-9AF6-002E005E000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B21" activeCellId="0" sqref="B2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5546875"/>
    <col bestFit="1" customWidth="1" min="10" max="10" width="18.44140625"/>
    <col customWidth="1" min="11" max="11" width="16"/>
    <col customWidth="1" min="12" max="12" width="12.88671875"/>
    <col customWidth="1" min="13" max="14" width="16.6640625"/>
    <col customWidth="1" min="15" max="15" width="15.44140625"/>
  </cols>
  <sheetData>
    <row r="1" ht="16.5">
      <c r="J1" s="29"/>
      <c r="K1" s="29"/>
      <c r="L1" s="30"/>
      <c r="P1" s="31" t="s">
        <v>0</v>
      </c>
      <c r="Q1" s="31" t="s">
        <v>1</v>
      </c>
      <c r="R1" s="31" t="s">
        <v>2</v>
      </c>
      <c r="S1" s="31" t="s">
        <v>3</v>
      </c>
      <c r="T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5" t="s">
        <v>52</v>
      </c>
      <c r="K2" s="6" t="s">
        <v>15</v>
      </c>
      <c r="L2" s="6" t="s">
        <v>16</v>
      </c>
      <c r="M2" s="7" t="s">
        <v>17</v>
      </c>
      <c r="N2" s="7" t="s">
        <v>18</v>
      </c>
      <c r="O2" s="7" t="s">
        <v>19</v>
      </c>
      <c r="P2" s="31" t="s">
        <v>0</v>
      </c>
      <c r="Q2" s="31" t="s">
        <v>1</v>
      </c>
      <c r="R2" s="31" t="s">
        <v>2</v>
      </c>
      <c r="S2" s="31" t="s">
        <v>3</v>
      </c>
      <c r="T2" s="31" t="s">
        <v>51</v>
      </c>
      <c r="U2" s="33" t="s">
        <v>53</v>
      </c>
      <c r="V2" s="33" t="s">
        <v>54</v>
      </c>
      <c r="W2" s="37" t="s">
        <v>55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12">C3*D3</f>
        <v>1870761.2046759115</v>
      </c>
      <c r="F3" s="13"/>
      <c r="G3" s="13">
        <v>243380</v>
      </c>
      <c r="H3" s="13">
        <v>0</v>
      </c>
      <c r="I3" s="13">
        <f t="shared" ref="I3:I17" si="13">F3-(G3+H3)</f>
        <v>-243380</v>
      </c>
      <c r="J3" s="16">
        <v>74470</v>
      </c>
      <c r="K3" s="14">
        <f t="shared" ref="K3:K9" si="14">G3+H3+J3</f>
        <v>317850</v>
      </c>
      <c r="L3" s="14">
        <f t="shared" ref="L3:L17" si="15">K3-F3</f>
        <v>317850</v>
      </c>
      <c r="M3" s="17">
        <f t="shared" ref="M3:M17" si="16">C3-G3</f>
        <v>403410</v>
      </c>
      <c r="N3" s="18">
        <f t="shared" ref="N3:N17" si="17">+G3*D3</f>
        <v>703946.97196002305</v>
      </c>
      <c r="O3" s="19">
        <f t="shared" ref="O3:O11" si="18">N3/E3</f>
        <v>0.37628905827239134</v>
      </c>
      <c r="P3" s="33"/>
      <c r="Q3" s="33">
        <v>149828</v>
      </c>
      <c r="R3" s="33">
        <f>8*18500</f>
        <v>148000</v>
      </c>
      <c r="S3" s="33">
        <f>8*18500</f>
        <v>148000</v>
      </c>
      <c r="T3" s="33">
        <f>7*18500</f>
        <v>129500</v>
      </c>
      <c r="U3" s="34">
        <f t="shared" ref="U3:U17" si="19">SUM(Q3:T3)</f>
        <v>575328</v>
      </c>
      <c r="V3" s="35">
        <f t="shared" ref="V3:V18" si="20">+U3-C3</f>
        <v>-71462</v>
      </c>
      <c r="W3" s="19">
        <f t="shared" ref="W3:W17" si="21">+U3/C3</f>
        <v>0.88951282487360661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12"/>
        <v>390880.30588673195</v>
      </c>
      <c r="F4" s="13"/>
      <c r="G4" s="13">
        <v>0</v>
      </c>
      <c r="H4" s="13">
        <v>0</v>
      </c>
      <c r="I4" s="13">
        <f t="shared" si="13"/>
        <v>0</v>
      </c>
      <c r="J4" s="16">
        <v>442871</v>
      </c>
      <c r="K4" s="14">
        <f t="shared" si="14"/>
        <v>442871</v>
      </c>
      <c r="L4" s="14">
        <f t="shared" si="15"/>
        <v>442871</v>
      </c>
      <c r="M4" s="17">
        <f t="shared" si="16"/>
        <v>300000</v>
      </c>
      <c r="N4" s="18">
        <f t="shared" si="17"/>
        <v>0</v>
      </c>
      <c r="O4" s="19">
        <f t="shared" si="18"/>
        <v>0</v>
      </c>
      <c r="P4" s="33"/>
      <c r="Q4" s="33">
        <v>442871</v>
      </c>
      <c r="R4" s="33"/>
      <c r="S4" s="33"/>
      <c r="T4" s="33"/>
      <c r="U4" s="34">
        <f t="shared" si="19"/>
        <v>442871</v>
      </c>
      <c r="V4" s="35">
        <f t="shared" si="20"/>
        <v>142871</v>
      </c>
      <c r="W4" s="19">
        <f t="shared" si="21"/>
        <v>1.4762366666666666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2"/>
        <v>0</v>
      </c>
      <c r="F5" s="13"/>
      <c r="G5" s="13">
        <v>0</v>
      </c>
      <c r="H5" s="13">
        <v>0</v>
      </c>
      <c r="I5" s="13">
        <f t="shared" si="13"/>
        <v>0</v>
      </c>
      <c r="J5" s="16">
        <v>0</v>
      </c>
      <c r="K5" s="14">
        <f t="shared" si="14"/>
        <v>0</v>
      </c>
      <c r="L5" s="14">
        <f t="shared" si="15"/>
        <v>0</v>
      </c>
      <c r="M5" s="17">
        <f t="shared" si="16"/>
        <v>0</v>
      </c>
      <c r="N5" s="18">
        <f t="shared" si="17"/>
        <v>0</v>
      </c>
      <c r="O5" s="19">
        <v>0</v>
      </c>
      <c r="P5" s="33"/>
      <c r="Q5" s="33">
        <v>0</v>
      </c>
      <c r="R5" s="33"/>
      <c r="S5" s="33"/>
      <c r="T5" s="33"/>
      <c r="U5" s="34">
        <f t="shared" si="19"/>
        <v>0</v>
      </c>
      <c r="V5" s="35">
        <f t="shared" si="20"/>
        <v>0</v>
      </c>
      <c r="W5" s="19">
        <v>0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12"/>
        <v>644777.55587835144</v>
      </c>
      <c r="F6" s="13"/>
      <c r="G6" s="13">
        <v>31808</v>
      </c>
      <c r="H6" s="13">
        <v>0</v>
      </c>
      <c r="I6" s="13">
        <f t="shared" si="13"/>
        <v>-31808</v>
      </c>
      <c r="J6" s="16">
        <v>379030</v>
      </c>
      <c r="K6" s="14">
        <f t="shared" si="14"/>
        <v>410838</v>
      </c>
      <c r="L6" s="14">
        <f t="shared" si="15"/>
        <v>410838</v>
      </c>
      <c r="M6" s="17">
        <f t="shared" si="16"/>
        <v>532288</v>
      </c>
      <c r="N6" s="18">
        <f t="shared" si="17"/>
        <v>36357.436495523107</v>
      </c>
      <c r="O6" s="19">
        <f t="shared" si="18"/>
        <v>0.05638756523712276</v>
      </c>
      <c r="P6" s="33"/>
      <c r="Q6" s="33">
        <v>94823</v>
      </c>
      <c r="R6" s="33">
        <v>220500</v>
      </c>
      <c r="S6" s="33">
        <f>5*31500</f>
        <v>157500</v>
      </c>
      <c r="T6" s="33">
        <v>93500</v>
      </c>
      <c r="U6" s="34">
        <f t="shared" si="19"/>
        <v>566323</v>
      </c>
      <c r="V6" s="35">
        <f t="shared" si="20"/>
        <v>2227</v>
      </c>
      <c r="W6" s="19">
        <f t="shared" si="21"/>
        <v>1.0039479095756751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12"/>
        <v>221472.43814627349</v>
      </c>
      <c r="F7" s="13"/>
      <c r="G7" s="13">
        <v>0</v>
      </c>
      <c r="H7" s="13">
        <v>0</v>
      </c>
      <c r="I7" s="13">
        <f t="shared" si="13"/>
        <v>0</v>
      </c>
      <c r="J7" s="16">
        <v>90</v>
      </c>
      <c r="K7" s="14">
        <f t="shared" si="14"/>
        <v>90</v>
      </c>
      <c r="L7" s="14">
        <f t="shared" si="15"/>
        <v>90</v>
      </c>
      <c r="M7" s="17">
        <f t="shared" si="16"/>
        <v>349200</v>
      </c>
      <c r="N7" s="18">
        <f t="shared" si="17"/>
        <v>0</v>
      </c>
      <c r="O7" s="19">
        <f t="shared" si="18"/>
        <v>0</v>
      </c>
      <c r="P7" s="33"/>
      <c r="Q7" s="33">
        <v>0</v>
      </c>
      <c r="R7" s="33"/>
      <c r="S7" s="33">
        <f>3*87000</f>
        <v>261000</v>
      </c>
      <c r="T7" s="33">
        <v>87000</v>
      </c>
      <c r="U7" s="34">
        <f t="shared" si="19"/>
        <v>348000</v>
      </c>
      <c r="V7" s="35">
        <f t="shared" si="20"/>
        <v>-1200</v>
      </c>
      <c r="W7" s="19">
        <f t="shared" si="21"/>
        <v>0.99656357388316152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12"/>
        <v>585037.49652426294</v>
      </c>
      <c r="F8" s="13"/>
      <c r="G8" s="13">
        <v>218330</v>
      </c>
      <c r="H8" s="13">
        <v>44215</v>
      </c>
      <c r="I8" s="13">
        <f t="shared" si="13"/>
        <v>-262545</v>
      </c>
      <c r="J8" s="16">
        <v>263205</v>
      </c>
      <c r="K8" s="14">
        <f t="shared" si="14"/>
        <v>525750</v>
      </c>
      <c r="L8" s="14">
        <f t="shared" si="15"/>
        <v>525750</v>
      </c>
      <c r="M8" s="17">
        <f t="shared" si="16"/>
        <v>436420</v>
      </c>
      <c r="N8" s="18">
        <f t="shared" si="17"/>
        <v>195083.98108612804</v>
      </c>
      <c r="O8" s="19">
        <f t="shared" si="18"/>
        <v>0.33345551737304319</v>
      </c>
      <c r="P8" s="33"/>
      <c r="Q8" s="33">
        <v>44215</v>
      </c>
      <c r="R8" s="33">
        <f>5*43500</f>
        <v>217500</v>
      </c>
      <c r="S8" s="33">
        <f>2*43500</f>
        <v>87000</v>
      </c>
      <c r="T8" s="33">
        <f>6*43500</f>
        <v>261000</v>
      </c>
      <c r="U8" s="34">
        <f t="shared" si="19"/>
        <v>609715</v>
      </c>
      <c r="V8" s="35">
        <f t="shared" si="20"/>
        <v>-45035</v>
      </c>
      <c r="W8" s="19">
        <f t="shared" si="21"/>
        <v>0.93121802214585725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12"/>
        <v>216656.93033237188</v>
      </c>
      <c r="F9" s="13"/>
      <c r="G9" s="13">
        <v>0</v>
      </c>
      <c r="H9" s="13">
        <v>0</v>
      </c>
      <c r="I9" s="13">
        <f t="shared" si="13"/>
        <v>0</v>
      </c>
      <c r="J9" s="16">
        <v>0</v>
      </c>
      <c r="K9" s="14">
        <f t="shared" si="14"/>
        <v>0</v>
      </c>
      <c r="L9" s="14">
        <f t="shared" si="15"/>
        <v>0</v>
      </c>
      <c r="M9" s="17">
        <f t="shared" si="16"/>
        <v>202800</v>
      </c>
      <c r="N9" s="18">
        <f t="shared" si="17"/>
        <v>0</v>
      </c>
      <c r="O9" s="19">
        <f t="shared" si="18"/>
        <v>0</v>
      </c>
      <c r="P9" s="33"/>
      <c r="Q9" s="33">
        <v>0</v>
      </c>
      <c r="R9" s="33"/>
      <c r="S9" s="33">
        <v>234000</v>
      </c>
      <c r="T9" s="33"/>
      <c r="U9" s="34">
        <f t="shared" si="19"/>
        <v>234000</v>
      </c>
      <c r="V9" s="35">
        <f t="shared" si="20"/>
        <v>31200</v>
      </c>
      <c r="W9" s="19">
        <f t="shared" si="21"/>
        <v>1.1538461538461537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12"/>
        <v>505114.07016586867</v>
      </c>
      <c r="F10" s="13"/>
      <c r="G10" s="13">
        <v>0</v>
      </c>
      <c r="H10" s="13">
        <v>0</v>
      </c>
      <c r="I10" s="13">
        <f t="shared" si="13"/>
        <v>0</v>
      </c>
      <c r="J10" s="16">
        <v>6</v>
      </c>
      <c r="K10" s="14">
        <f>G10+H8+J10</f>
        <v>44221</v>
      </c>
      <c r="L10" s="14">
        <f t="shared" si="15"/>
        <v>44221</v>
      </c>
      <c r="M10" s="17">
        <f t="shared" si="16"/>
        <v>232806</v>
      </c>
      <c r="N10" s="18">
        <f t="shared" si="17"/>
        <v>0</v>
      </c>
      <c r="O10" s="19">
        <f t="shared" si="18"/>
        <v>0</v>
      </c>
      <c r="P10" s="33"/>
      <c r="Q10" s="33">
        <v>6</v>
      </c>
      <c r="R10" s="33">
        <f>6*38500</f>
        <v>231000</v>
      </c>
      <c r="S10" s="33"/>
      <c r="T10" s="33"/>
      <c r="U10" s="34">
        <f t="shared" si="19"/>
        <v>231006</v>
      </c>
      <c r="V10" s="35">
        <f t="shared" si="20"/>
        <v>-1800</v>
      </c>
      <c r="W10" s="19">
        <f t="shared" si="21"/>
        <v>0.99226824050926521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12"/>
        <v>58121.655911310321</v>
      </c>
      <c r="F11" s="13"/>
      <c r="G11" s="13">
        <v>37379</v>
      </c>
      <c r="H11" s="13">
        <v>0</v>
      </c>
      <c r="I11" s="13">
        <f t="shared" si="13"/>
        <v>-37379</v>
      </c>
      <c r="J11" s="16">
        <v>0</v>
      </c>
      <c r="K11" s="14">
        <f t="shared" ref="K11:K17" si="22">G11+H11+J11</f>
        <v>37379</v>
      </c>
      <c r="L11" s="14">
        <f t="shared" si="15"/>
        <v>37379</v>
      </c>
      <c r="M11" s="17">
        <f t="shared" si="16"/>
        <v>0</v>
      </c>
      <c r="N11" s="18">
        <f t="shared" si="17"/>
        <v>58121.655911310321</v>
      </c>
      <c r="O11" s="19">
        <f t="shared" si="18"/>
        <v>1</v>
      </c>
      <c r="P11" s="33"/>
      <c r="Q11" s="33">
        <v>0</v>
      </c>
      <c r="R11" s="33"/>
      <c r="S11" s="33"/>
      <c r="T11" s="33"/>
      <c r="U11" s="34">
        <f t="shared" si="19"/>
        <v>0</v>
      </c>
      <c r="V11" s="35">
        <f t="shared" si="20"/>
        <v>-37379</v>
      </c>
      <c r="W11" s="19">
        <f t="shared" si="21"/>
        <v>0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2"/>
        <v>0</v>
      </c>
      <c r="F12" s="13"/>
      <c r="G12" s="13">
        <v>0</v>
      </c>
      <c r="H12" s="13">
        <v>0</v>
      </c>
      <c r="I12" s="13">
        <f t="shared" si="13"/>
        <v>0</v>
      </c>
      <c r="J12" s="16">
        <v>0</v>
      </c>
      <c r="K12" s="14">
        <f t="shared" si="22"/>
        <v>0</v>
      </c>
      <c r="L12" s="14">
        <f t="shared" si="15"/>
        <v>0</v>
      </c>
      <c r="M12" s="17">
        <f t="shared" si="16"/>
        <v>0</v>
      </c>
      <c r="N12" s="18">
        <f t="shared" si="17"/>
        <v>0</v>
      </c>
      <c r="O12" s="19">
        <v>0</v>
      </c>
      <c r="P12" s="33"/>
      <c r="Q12" s="33">
        <v>0</v>
      </c>
      <c r="R12" s="33"/>
      <c r="S12" s="33"/>
      <c r="T12" s="33"/>
      <c r="U12" s="34">
        <f t="shared" si="19"/>
        <v>0</v>
      </c>
      <c r="V12" s="35">
        <f t="shared" si="20"/>
        <v>0</v>
      </c>
      <c r="W12" s="19">
        <v>0</v>
      </c>
    </row>
    <row r="13">
      <c r="A13" s="9" t="s">
        <v>40</v>
      </c>
      <c r="B13" s="9" t="s">
        <v>41</v>
      </c>
      <c r="C13" s="10">
        <v>0</v>
      </c>
      <c r="D13" s="11">
        <v>4.3295293823675376</v>
      </c>
      <c r="E13" s="12">
        <f t="shared" si="12"/>
        <v>0</v>
      </c>
      <c r="F13" s="13"/>
      <c r="G13" s="13">
        <v>0</v>
      </c>
      <c r="H13" s="13">
        <v>0</v>
      </c>
      <c r="I13" s="13">
        <f t="shared" si="13"/>
        <v>0</v>
      </c>
      <c r="J13" s="16">
        <v>0</v>
      </c>
      <c r="K13" s="14">
        <f t="shared" si="22"/>
        <v>0</v>
      </c>
      <c r="L13" s="14">
        <f t="shared" si="15"/>
        <v>0</v>
      </c>
      <c r="M13" s="17">
        <f t="shared" si="16"/>
        <v>0</v>
      </c>
      <c r="N13" s="18">
        <f t="shared" si="17"/>
        <v>0</v>
      </c>
      <c r="O13" s="19">
        <v>0</v>
      </c>
      <c r="P13" s="33"/>
      <c r="Q13" s="33">
        <v>0</v>
      </c>
      <c r="R13" s="33"/>
      <c r="S13" s="33"/>
      <c r="T13" s="33"/>
      <c r="U13" s="34">
        <f t="shared" si="19"/>
        <v>0</v>
      </c>
      <c r="V13" s="35">
        <f t="shared" si="20"/>
        <v>0</v>
      </c>
      <c r="W13" s="19">
        <v>0</v>
      </c>
    </row>
    <row r="14">
      <c r="A14" s="9" t="s">
        <v>42</v>
      </c>
      <c r="B14" s="9" t="s">
        <v>43</v>
      </c>
      <c r="C14" s="10">
        <v>0</v>
      </c>
      <c r="D14" s="11">
        <v>8.9388782058969483</v>
      </c>
      <c r="E14" s="12">
        <f t="shared" si="12"/>
        <v>0</v>
      </c>
      <c r="F14" s="13"/>
      <c r="G14" s="13">
        <v>0</v>
      </c>
      <c r="H14" s="13">
        <v>0</v>
      </c>
      <c r="I14" s="13">
        <f t="shared" si="13"/>
        <v>0</v>
      </c>
      <c r="J14" s="16">
        <v>0</v>
      </c>
      <c r="K14" s="14">
        <f t="shared" si="22"/>
        <v>0</v>
      </c>
      <c r="L14" s="14">
        <f t="shared" si="15"/>
        <v>0</v>
      </c>
      <c r="M14" s="17">
        <f t="shared" si="16"/>
        <v>0</v>
      </c>
      <c r="N14" s="18">
        <f t="shared" si="17"/>
        <v>0</v>
      </c>
      <c r="O14" s="19">
        <v>0</v>
      </c>
      <c r="P14" s="33"/>
      <c r="Q14" s="33">
        <v>0</v>
      </c>
      <c r="R14" s="33"/>
      <c r="S14" s="33"/>
      <c r="T14" s="33"/>
      <c r="U14" s="34">
        <f t="shared" si="19"/>
        <v>0</v>
      </c>
      <c r="V14" s="35">
        <f t="shared" si="20"/>
        <v>0</v>
      </c>
      <c r="W14" s="19">
        <v>0</v>
      </c>
    </row>
    <row r="15">
      <c r="A15" s="8" t="s">
        <v>44</v>
      </c>
      <c r="B15" s="9" t="s">
        <v>45</v>
      </c>
      <c r="C15" s="10">
        <v>0</v>
      </c>
      <c r="D15" s="11">
        <v>12.061373764720482</v>
      </c>
      <c r="E15" s="12">
        <f t="shared" si="12"/>
        <v>0</v>
      </c>
      <c r="F15" s="13"/>
      <c r="G15" s="13">
        <v>0</v>
      </c>
      <c r="H15" s="13">
        <v>0</v>
      </c>
      <c r="I15" s="13">
        <f t="shared" si="13"/>
        <v>0</v>
      </c>
      <c r="J15" s="16">
        <v>2</v>
      </c>
      <c r="K15" s="14">
        <f t="shared" si="22"/>
        <v>2</v>
      </c>
      <c r="L15" s="14">
        <f t="shared" si="15"/>
        <v>2</v>
      </c>
      <c r="M15" s="17">
        <f t="shared" si="16"/>
        <v>0</v>
      </c>
      <c r="N15" s="18">
        <f t="shared" si="17"/>
        <v>0</v>
      </c>
      <c r="O15" s="19">
        <v>0</v>
      </c>
      <c r="P15" s="33"/>
      <c r="Q15" s="33">
        <v>0</v>
      </c>
      <c r="R15" s="33"/>
      <c r="S15" s="33"/>
      <c r="T15" s="33"/>
      <c r="U15" s="34">
        <f t="shared" si="19"/>
        <v>0</v>
      </c>
      <c r="V15" s="35">
        <f t="shared" si="20"/>
        <v>0</v>
      </c>
      <c r="W15" s="19">
        <v>0</v>
      </c>
    </row>
    <row r="16">
      <c r="A16" s="20" t="s">
        <v>46</v>
      </c>
      <c r="B16" s="9" t="s">
        <v>47</v>
      </c>
      <c r="C16" s="10">
        <v>0</v>
      </c>
      <c r="D16" s="11">
        <v>0.40322805883812579</v>
      </c>
      <c r="E16" s="12">
        <f t="shared" si="12"/>
        <v>0</v>
      </c>
      <c r="F16" s="13"/>
      <c r="G16" s="13">
        <v>0</v>
      </c>
      <c r="H16" s="13">
        <v>0</v>
      </c>
      <c r="I16" s="13">
        <f t="shared" si="13"/>
        <v>0</v>
      </c>
      <c r="J16" s="16">
        <v>0</v>
      </c>
      <c r="K16" s="14">
        <f t="shared" si="22"/>
        <v>0</v>
      </c>
      <c r="L16" s="14">
        <f t="shared" si="15"/>
        <v>0</v>
      </c>
      <c r="M16" s="17">
        <f t="shared" si="16"/>
        <v>0</v>
      </c>
      <c r="N16" s="18">
        <f t="shared" si="17"/>
        <v>0</v>
      </c>
      <c r="O16" s="19">
        <v>0</v>
      </c>
      <c r="P16" s="33"/>
      <c r="Q16" s="33">
        <v>0</v>
      </c>
      <c r="R16" s="33"/>
      <c r="S16" s="33"/>
      <c r="T16" s="33"/>
      <c r="U16" s="34">
        <f t="shared" si="19"/>
        <v>0</v>
      </c>
      <c r="V16" s="35">
        <f t="shared" si="20"/>
        <v>0</v>
      </c>
      <c r="W16" s="19">
        <v>0</v>
      </c>
    </row>
    <row r="17">
      <c r="A17" s="20" t="s">
        <v>48</v>
      </c>
      <c r="B17" s="9" t="s">
        <v>49</v>
      </c>
      <c r="C17" s="10">
        <v>1187</v>
      </c>
      <c r="D17" s="11">
        <v>3.0573254068481477</v>
      </c>
      <c r="E17" s="12">
        <f t="shared" si="12"/>
        <v>3629.0452579287512</v>
      </c>
      <c r="F17" s="13"/>
      <c r="G17" s="13">
        <v>0</v>
      </c>
      <c r="H17" s="13">
        <v>0</v>
      </c>
      <c r="I17" s="13">
        <f t="shared" si="13"/>
        <v>0</v>
      </c>
      <c r="J17" s="16">
        <v>74976</v>
      </c>
      <c r="K17" s="14">
        <f t="shared" si="22"/>
        <v>74976</v>
      </c>
      <c r="L17" s="14">
        <f t="shared" si="15"/>
        <v>74976</v>
      </c>
      <c r="M17" s="17">
        <f t="shared" si="16"/>
        <v>1187</v>
      </c>
      <c r="N17" s="18">
        <f t="shared" si="17"/>
        <v>0</v>
      </c>
      <c r="O17" s="19">
        <f t="shared" ref="O17:O18" si="23">N17/E17</f>
        <v>0</v>
      </c>
      <c r="P17" s="33"/>
      <c r="Q17" s="33">
        <v>1187</v>
      </c>
      <c r="R17" s="33"/>
      <c r="S17" s="33"/>
      <c r="T17" s="33"/>
      <c r="U17" s="34">
        <f t="shared" si="19"/>
        <v>1187</v>
      </c>
      <c r="V17" s="35">
        <f t="shared" si="20"/>
        <v>0</v>
      </c>
      <c r="W17" s="19">
        <f t="shared" si="21"/>
        <v>1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530897</v>
      </c>
      <c r="H18" s="24">
        <f>SUM(H3:H17)</f>
        <v>44215</v>
      </c>
      <c r="I18" s="21"/>
      <c r="J18" s="25">
        <f>SUM(J3:J17)</f>
        <v>1234650</v>
      </c>
      <c r="K18" s="21"/>
      <c r="L18" s="21"/>
      <c r="M18" s="26">
        <f>SUM(M3:M17)</f>
        <v>2458111</v>
      </c>
      <c r="N18" s="26">
        <f>SUM(N3:N17)</f>
        <v>993510.04545298452</v>
      </c>
      <c r="O18" s="27">
        <f t="shared" si="23"/>
        <v>0.2209542839731235</v>
      </c>
      <c r="P18" s="33"/>
      <c r="Q18" s="33"/>
      <c r="R18" s="33"/>
      <c r="S18" s="33"/>
      <c r="T18" s="33"/>
      <c r="U18" s="34">
        <f>+R18+Q18+G18+S18+T18</f>
        <v>530897</v>
      </c>
      <c r="V18" s="35">
        <f t="shared" si="20"/>
        <v>-2458111</v>
      </c>
    </row>
    <row r="19">
      <c r="B19" s="28"/>
      <c r="C19" s="28"/>
      <c r="D19" s="28"/>
      <c r="E19" s="28"/>
    </row>
    <row r="20">
      <c r="B20" s="28"/>
      <c r="C20" s="28"/>
      <c r="D20" s="28"/>
      <c r="E20" s="28"/>
    </row>
    <row r="21">
      <c r="B21" s="28"/>
      <c r="C21" s="28"/>
      <c r="D21" s="28"/>
      <c r="E21" s="28"/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A2:O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C900F0-0073-41CF-8FEA-006D00E400EC}">
            <xm:f>$TO20&gt;41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7400F7-00C8-4D2A-A075-0087002800A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5" operator="lessThan" id="{00DB0094-0005-4D12-A409-00D500F7002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4" operator="between" id="{0018004C-0069-462C-86E7-00210096008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3" operator="greaterThan" id="{00D800E6-00EC-472D-BDA9-00FC00B9004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2" operator="lessThan" id="{005800B3-00DB-4C36-B64F-00E4006E001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1" operator="between" id="{001500C0-003F-4E8D-8A98-00AB008800D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W3:W17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A3" activeCellId="0" sqref="A3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92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0">
        <v>2.8923780588381258</v>
      </c>
      <c r="E3" s="12">
        <f t="shared" ref="E3:E17" si="303">C3*D3</f>
        <v>1055469.2469628558</v>
      </c>
      <c r="F3" s="13">
        <v>130065</v>
      </c>
      <c r="G3" s="44">
        <v>0</v>
      </c>
      <c r="H3" s="13">
        <v>37081</v>
      </c>
      <c r="I3" s="16">
        <f t="shared" ref="I3:I17" si="304">F3+H3</f>
        <v>167146</v>
      </c>
      <c r="J3" s="17">
        <f t="shared" ref="J3:J17" si="305">C3-G3</f>
        <v>364914</v>
      </c>
      <c r="K3" s="18">
        <f t="shared" ref="K3:K17" si="306">+G3*D3</f>
        <v>0</v>
      </c>
      <c r="L3" s="19">
        <f t="shared" ref="L3:L11" si="307">K3/E3</f>
        <v>0</v>
      </c>
      <c r="M3" s="34">
        <v>0</v>
      </c>
      <c r="N3" s="34">
        <v>0</v>
      </c>
      <c r="O3" s="34">
        <v>185000</v>
      </c>
      <c r="P3" s="34">
        <v>148000</v>
      </c>
      <c r="Q3" s="34">
        <v>0</v>
      </c>
      <c r="R3" s="34">
        <f t="shared" ref="R3:R18" si="308">M3+N3+O3+P3+Q3</f>
        <v>333000</v>
      </c>
      <c r="S3" s="35">
        <f t="shared" ref="S3:S18" si="309">G3+I3+R3</f>
        <v>500146</v>
      </c>
      <c r="T3" s="35">
        <f t="shared" ref="T3:T17" si="310">S3-C3</f>
        <v>135232</v>
      </c>
      <c r="U3" s="19">
        <f t="shared" ref="U3:U17" si="311">S3/C3</f>
        <v>1.3705859462777532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03"/>
        <v>0</v>
      </c>
      <c r="F4" s="13">
        <v>0</v>
      </c>
      <c r="G4" s="13">
        <v>0</v>
      </c>
      <c r="H4" s="13">
        <v>0</v>
      </c>
      <c r="I4" s="16">
        <f t="shared" si="304"/>
        <v>0</v>
      </c>
      <c r="J4" s="17">
        <f t="shared" si="305"/>
        <v>0</v>
      </c>
      <c r="K4" s="18">
        <f t="shared" si="306"/>
        <v>0</v>
      </c>
      <c r="L4" s="19" t="e">
        <f t="shared" si="307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08"/>
        <v>0</v>
      </c>
      <c r="S4" s="35">
        <f t="shared" si="309"/>
        <v>0</v>
      </c>
      <c r="T4" s="35">
        <f t="shared" si="310"/>
        <v>0</v>
      </c>
      <c r="U4" s="19" t="e">
        <f t="shared" si="311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03"/>
        <v>0</v>
      </c>
      <c r="F5" s="13">
        <v>0</v>
      </c>
      <c r="G5" s="13">
        <v>0</v>
      </c>
      <c r="H5" s="13">
        <v>0</v>
      </c>
      <c r="I5" s="16">
        <f t="shared" si="304"/>
        <v>0</v>
      </c>
      <c r="J5" s="17">
        <f t="shared" si="305"/>
        <v>0</v>
      </c>
      <c r="K5" s="18">
        <f t="shared" si="306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08"/>
        <v>0</v>
      </c>
      <c r="S5" s="35">
        <f t="shared" si="309"/>
        <v>0</v>
      </c>
      <c r="T5" s="35">
        <f t="shared" si="310"/>
        <v>0</v>
      </c>
      <c r="U5" s="19" t="e">
        <f t="shared" si="311"/>
        <v>#DIV/0!</v>
      </c>
    </row>
    <row r="6">
      <c r="A6" s="9" t="s">
        <v>26</v>
      </c>
      <c r="B6" s="9" t="s">
        <v>27</v>
      </c>
      <c r="C6" s="14">
        <v>424222</v>
      </c>
      <c r="D6" s="11">
        <v>1.1430280588381259</v>
      </c>
      <c r="E6" s="12">
        <f t="shared" si="303"/>
        <v>484897.64917642745</v>
      </c>
      <c r="F6" s="13">
        <v>31670</v>
      </c>
      <c r="G6" s="44">
        <v>0</v>
      </c>
      <c r="H6" s="44">
        <v>214803</v>
      </c>
      <c r="I6" s="16">
        <f t="shared" si="304"/>
        <v>246473</v>
      </c>
      <c r="J6" s="17">
        <f t="shared" si="305"/>
        <v>424222</v>
      </c>
      <c r="K6" s="18">
        <f t="shared" si="306"/>
        <v>0</v>
      </c>
      <c r="L6" s="19">
        <f t="shared" si="307"/>
        <v>0</v>
      </c>
      <c r="M6" s="34">
        <v>0</v>
      </c>
      <c r="N6" s="34">
        <v>0</v>
      </c>
      <c r="O6" s="34">
        <v>63000</v>
      </c>
      <c r="P6" s="34">
        <v>126000</v>
      </c>
      <c r="Q6" s="34">
        <v>0</v>
      </c>
      <c r="R6" s="34">
        <f t="shared" si="308"/>
        <v>189000</v>
      </c>
      <c r="S6" s="35">
        <f t="shared" si="309"/>
        <v>435473</v>
      </c>
      <c r="T6" s="35">
        <f t="shared" si="310"/>
        <v>11251</v>
      </c>
      <c r="U6" s="19">
        <f t="shared" si="311"/>
        <v>1.0265214911060718</v>
      </c>
    </row>
    <row r="7">
      <c r="A7" s="9" t="s">
        <v>28</v>
      </c>
      <c r="B7" s="9" t="s">
        <v>29</v>
      </c>
      <c r="C7" s="14">
        <v>200000</v>
      </c>
      <c r="D7" s="11">
        <v>0.63422805883812572</v>
      </c>
      <c r="E7" s="12">
        <f t="shared" si="303"/>
        <v>126845.61176762515</v>
      </c>
      <c r="F7" s="13">
        <v>0</v>
      </c>
      <c r="G7" s="13">
        <v>0</v>
      </c>
      <c r="H7" s="13">
        <v>113400</v>
      </c>
      <c r="I7" s="16">
        <f t="shared" si="304"/>
        <v>113400</v>
      </c>
      <c r="J7" s="17">
        <f t="shared" si="305"/>
        <v>200000</v>
      </c>
      <c r="K7" s="18">
        <f t="shared" si="306"/>
        <v>0</v>
      </c>
      <c r="L7" s="19">
        <f t="shared" si="307"/>
        <v>0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08"/>
        <v>522000</v>
      </c>
      <c r="S7" s="35">
        <f t="shared" si="309"/>
        <v>635400</v>
      </c>
      <c r="T7" s="35">
        <f t="shared" si="310"/>
        <v>435400</v>
      </c>
      <c r="U7" s="19">
        <f t="shared" si="311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03"/>
        <v>162550.62446383186</v>
      </c>
      <c r="F8" s="44">
        <v>47505</v>
      </c>
      <c r="G8" s="13">
        <v>0</v>
      </c>
      <c r="H8" s="44">
        <v>181920</v>
      </c>
      <c r="I8" s="16">
        <f t="shared" si="304"/>
        <v>229425</v>
      </c>
      <c r="J8" s="17">
        <f t="shared" si="305"/>
        <v>181920</v>
      </c>
      <c r="K8" s="18">
        <f t="shared" si="306"/>
        <v>0</v>
      </c>
      <c r="L8" s="19">
        <f t="shared" si="307"/>
        <v>0</v>
      </c>
      <c r="M8" s="34">
        <v>0</v>
      </c>
      <c r="N8" s="34">
        <v>0</v>
      </c>
      <c r="O8" s="34">
        <v>43500</v>
      </c>
      <c r="P8" s="34">
        <v>0</v>
      </c>
      <c r="Q8" s="34">
        <v>0</v>
      </c>
      <c r="R8" s="34">
        <f t="shared" si="308"/>
        <v>43500</v>
      </c>
      <c r="S8" s="35">
        <f t="shared" si="309"/>
        <v>272925</v>
      </c>
      <c r="T8" s="35">
        <f t="shared" si="310"/>
        <v>91005</v>
      </c>
      <c r="U8" s="19">
        <f t="shared" si="311"/>
        <v>1.5002473614775726</v>
      </c>
    </row>
    <row r="9">
      <c r="A9" s="9" t="s">
        <v>32</v>
      </c>
      <c r="B9" s="9" t="s">
        <v>33</v>
      </c>
      <c r="C9" s="14">
        <v>54304</v>
      </c>
      <c r="D9" s="50">
        <v>1.0683280588381256</v>
      </c>
      <c r="E9" s="12">
        <f t="shared" si="303"/>
        <v>58014.486907145576</v>
      </c>
      <c r="F9" s="13">
        <v>0</v>
      </c>
      <c r="G9" s="13">
        <v>0</v>
      </c>
      <c r="H9" s="13">
        <v>54302</v>
      </c>
      <c r="I9" s="16">
        <f t="shared" si="304"/>
        <v>54302</v>
      </c>
      <c r="J9" s="17">
        <f t="shared" si="305"/>
        <v>54304</v>
      </c>
      <c r="K9" s="18">
        <f t="shared" si="306"/>
        <v>0</v>
      </c>
      <c r="L9" s="19">
        <f t="shared" si="307"/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08"/>
        <v>0</v>
      </c>
      <c r="S9" s="35">
        <f t="shared" si="309"/>
        <v>54302</v>
      </c>
      <c r="T9" s="35">
        <f t="shared" si="310"/>
        <v>-2</v>
      </c>
      <c r="U9" s="19">
        <f t="shared" si="311"/>
        <v>0.99996317030053039</v>
      </c>
    </row>
    <row r="10">
      <c r="A10" s="9" t="s">
        <v>34</v>
      </c>
      <c r="B10" s="9" t="s">
        <v>35</v>
      </c>
      <c r="C10" s="14">
        <v>493800</v>
      </c>
      <c r="D10" s="11">
        <v>2.1696780588381257</v>
      </c>
      <c r="E10" s="12">
        <f t="shared" si="303"/>
        <v>1071387.0254542665</v>
      </c>
      <c r="F10" s="13">
        <v>4</v>
      </c>
      <c r="G10" s="13">
        <v>0</v>
      </c>
      <c r="H10" s="13">
        <v>234068</v>
      </c>
      <c r="I10" s="16">
        <f t="shared" si="304"/>
        <v>234072</v>
      </c>
      <c r="J10" s="17">
        <f t="shared" si="305"/>
        <v>493800</v>
      </c>
      <c r="K10" s="18">
        <f t="shared" si="306"/>
        <v>0</v>
      </c>
      <c r="L10" s="19">
        <f t="shared" si="307"/>
        <v>0</v>
      </c>
      <c r="M10" s="34">
        <v>0</v>
      </c>
      <c r="N10" s="34">
        <v>0</v>
      </c>
      <c r="O10" s="34">
        <v>234000</v>
      </c>
      <c r="P10" s="34">
        <v>234000</v>
      </c>
      <c r="Q10" s="34">
        <v>0</v>
      </c>
      <c r="R10" s="34">
        <f t="shared" si="308"/>
        <v>468000</v>
      </c>
      <c r="S10" s="35">
        <f t="shared" si="309"/>
        <v>702072</v>
      </c>
      <c r="T10" s="35">
        <f t="shared" si="310"/>
        <v>208272</v>
      </c>
      <c r="U10" s="19">
        <f t="shared" si="311"/>
        <v>1.4217739975698664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03"/>
        <v>0</v>
      </c>
      <c r="F11" s="13">
        <v>0</v>
      </c>
      <c r="G11" s="13">
        <v>0</v>
      </c>
      <c r="H11" s="13">
        <v>0</v>
      </c>
      <c r="I11" s="16">
        <f t="shared" si="304"/>
        <v>0</v>
      </c>
      <c r="J11" s="17">
        <f t="shared" si="305"/>
        <v>0</v>
      </c>
      <c r="K11" s="18">
        <f t="shared" si="306"/>
        <v>0</v>
      </c>
      <c r="L11" s="19" t="e">
        <f t="shared" si="307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08"/>
        <v>0</v>
      </c>
      <c r="S11" s="35">
        <f t="shared" si="309"/>
        <v>0</v>
      </c>
      <c r="T11" s="35">
        <f t="shared" si="310"/>
        <v>0</v>
      </c>
      <c r="U11" s="19" t="e">
        <f t="shared" si="31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03"/>
        <v>0</v>
      </c>
      <c r="F12" s="13">
        <v>0</v>
      </c>
      <c r="G12" s="13">
        <v>0</v>
      </c>
      <c r="H12" s="13">
        <v>0</v>
      </c>
      <c r="I12" s="16">
        <f t="shared" si="304"/>
        <v>0</v>
      </c>
      <c r="J12" s="17">
        <f t="shared" si="305"/>
        <v>0</v>
      </c>
      <c r="K12" s="18">
        <f t="shared" si="306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08"/>
        <v>0</v>
      </c>
      <c r="S12" s="35">
        <f t="shared" si="309"/>
        <v>0</v>
      </c>
      <c r="T12" s="35">
        <f t="shared" si="310"/>
        <v>0</v>
      </c>
      <c r="U12" s="19" t="e">
        <f t="shared" si="31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03"/>
        <v>0</v>
      </c>
      <c r="F13" s="13">
        <v>0</v>
      </c>
      <c r="G13" s="13">
        <v>0</v>
      </c>
      <c r="H13" s="13">
        <v>0</v>
      </c>
      <c r="I13" s="16">
        <f t="shared" si="304"/>
        <v>0</v>
      </c>
      <c r="J13" s="17">
        <f t="shared" si="305"/>
        <v>0</v>
      </c>
      <c r="K13" s="18">
        <f t="shared" si="30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08"/>
        <v>0</v>
      </c>
      <c r="S13" s="35">
        <f t="shared" si="309"/>
        <v>0</v>
      </c>
      <c r="T13" s="35">
        <f t="shared" si="310"/>
        <v>0</v>
      </c>
      <c r="U13" s="19" t="e">
        <f t="shared" si="311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03"/>
        <v>0</v>
      </c>
      <c r="F14" s="13">
        <v>0</v>
      </c>
      <c r="G14" s="13">
        <v>0</v>
      </c>
      <c r="H14" s="13">
        <v>0</v>
      </c>
      <c r="I14" s="16">
        <f t="shared" si="304"/>
        <v>0</v>
      </c>
      <c r="J14" s="17">
        <f t="shared" si="305"/>
        <v>0</v>
      </c>
      <c r="K14" s="18">
        <f t="shared" si="30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08"/>
        <v>0</v>
      </c>
      <c r="S14" s="35">
        <f t="shared" si="309"/>
        <v>0</v>
      </c>
      <c r="T14" s="35">
        <f t="shared" si="310"/>
        <v>0</v>
      </c>
      <c r="U14" s="19" t="e">
        <f t="shared" si="311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03"/>
        <v>0</v>
      </c>
      <c r="F15" s="13">
        <v>0</v>
      </c>
      <c r="G15" s="13">
        <v>0</v>
      </c>
      <c r="H15" s="13">
        <v>0</v>
      </c>
      <c r="I15" s="16">
        <f t="shared" si="304"/>
        <v>0</v>
      </c>
      <c r="J15" s="17">
        <f t="shared" si="305"/>
        <v>0</v>
      </c>
      <c r="K15" s="18">
        <f t="shared" si="30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08"/>
        <v>0</v>
      </c>
      <c r="S15" s="35">
        <f t="shared" si="309"/>
        <v>0</v>
      </c>
      <c r="T15" s="35">
        <f t="shared" si="310"/>
        <v>0</v>
      </c>
      <c r="U15" s="19" t="e">
        <f t="shared" si="311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03"/>
        <v>0</v>
      </c>
      <c r="F16" s="13">
        <v>0</v>
      </c>
      <c r="G16" s="13">
        <v>0</v>
      </c>
      <c r="H16" s="13">
        <v>0</v>
      </c>
      <c r="I16" s="16">
        <f t="shared" si="304"/>
        <v>0</v>
      </c>
      <c r="J16" s="17">
        <f t="shared" si="305"/>
        <v>0</v>
      </c>
      <c r="K16" s="18">
        <f t="shared" si="306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08"/>
        <v>0</v>
      </c>
      <c r="S16" s="35">
        <f t="shared" si="309"/>
        <v>0</v>
      </c>
      <c r="T16" s="35">
        <f t="shared" si="310"/>
        <v>0</v>
      </c>
      <c r="U16" s="19" t="e">
        <f t="shared" si="311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03"/>
        <v>0</v>
      </c>
      <c r="F17" s="13">
        <v>25348</v>
      </c>
      <c r="G17" s="13">
        <v>0</v>
      </c>
      <c r="H17" s="13">
        <v>0</v>
      </c>
      <c r="I17" s="16">
        <f t="shared" si="304"/>
        <v>25348</v>
      </c>
      <c r="J17" s="17">
        <f t="shared" si="305"/>
        <v>0</v>
      </c>
      <c r="K17" s="18">
        <f t="shared" si="306"/>
        <v>0</v>
      </c>
      <c r="L17" s="19" t="e">
        <f t="shared" ref="L17:L18" si="312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08"/>
        <v>0</v>
      </c>
      <c r="S17" s="35">
        <f t="shared" si="309"/>
        <v>25348</v>
      </c>
      <c r="T17" s="35">
        <f t="shared" si="310"/>
        <v>25348</v>
      </c>
      <c r="U17" s="19" t="e">
        <f t="shared" si="311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13">SUM(E3:E17)</f>
        <v>2959164.6447321521</v>
      </c>
      <c r="F18" s="24">
        <f t="shared" si="313"/>
        <v>234592</v>
      </c>
      <c r="G18" s="24">
        <f t="shared" si="313"/>
        <v>0</v>
      </c>
      <c r="H18" s="24">
        <f t="shared" si="313"/>
        <v>835574</v>
      </c>
      <c r="I18" s="25">
        <f t="shared" si="313"/>
        <v>1070166</v>
      </c>
      <c r="J18" s="26">
        <f t="shared" si="313"/>
        <v>1719160</v>
      </c>
      <c r="K18" s="26">
        <f t="shared" si="313"/>
        <v>0</v>
      </c>
      <c r="L18" s="27">
        <f t="shared" si="312"/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08"/>
        <v>0</v>
      </c>
      <c r="S18" s="35">
        <f t="shared" si="309"/>
        <v>1070166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/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BE00C7-00CF-4544-9373-009500FB0091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310089-0087-40F1-A1D8-003800E800F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E00083-009E-43DF-BF73-00A7009C00D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220047-00D8-4C91-833B-001A00B100F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A100D5-0013-45AC-A486-004B00DC00D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68001E-0062-4594-93A0-00D9000D00F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5F00BD-0030-4263-854A-00AC00C500F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J10" activeCellId="0" sqref="J10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93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0">
        <v>2.8923780588381258</v>
      </c>
      <c r="E3" s="12">
        <f t="shared" ref="E3:E17" si="314">C3*D3</f>
        <v>1055469.2469628558</v>
      </c>
      <c r="F3" s="13">
        <v>0</v>
      </c>
      <c r="G3" s="44">
        <v>0</v>
      </c>
      <c r="H3" s="13">
        <v>167146</v>
      </c>
      <c r="I3" s="16">
        <f t="shared" ref="I3:I17" si="315">F3+H3</f>
        <v>167146</v>
      </c>
      <c r="J3" s="17">
        <f t="shared" ref="J3:J17" si="316">C3-G3</f>
        <v>364914</v>
      </c>
      <c r="K3" s="18">
        <f t="shared" ref="K3:K17" si="317">+G3*D3</f>
        <v>0</v>
      </c>
      <c r="L3" s="19">
        <f t="shared" ref="L3:L11" si="318">K3/E3</f>
        <v>0</v>
      </c>
      <c r="M3" s="34">
        <v>0</v>
      </c>
      <c r="N3" s="34">
        <v>0</v>
      </c>
      <c r="O3" s="34">
        <v>185000</v>
      </c>
      <c r="P3" s="34">
        <v>148000</v>
      </c>
      <c r="Q3" s="34">
        <v>0</v>
      </c>
      <c r="R3" s="34">
        <f t="shared" ref="R3:R18" si="319">M3+N3+O3+P3+Q3</f>
        <v>333000</v>
      </c>
      <c r="S3" s="35">
        <f t="shared" ref="S3:S18" si="320">G3+I3+R3</f>
        <v>500146</v>
      </c>
      <c r="T3" s="35">
        <f t="shared" ref="T3:T17" si="321">S3-C3</f>
        <v>135232</v>
      </c>
      <c r="U3" s="19">
        <f t="shared" ref="U3:U17" si="322">S3/C3</f>
        <v>1.3705859462777532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14"/>
        <v>0</v>
      </c>
      <c r="F4" s="13">
        <v>0</v>
      </c>
      <c r="G4" s="13">
        <v>0</v>
      </c>
      <c r="H4" s="13">
        <v>0</v>
      </c>
      <c r="I4" s="16">
        <f t="shared" si="315"/>
        <v>0</v>
      </c>
      <c r="J4" s="17">
        <f t="shared" si="316"/>
        <v>0</v>
      </c>
      <c r="K4" s="18">
        <f t="shared" si="317"/>
        <v>0</v>
      </c>
      <c r="L4" s="19" t="e">
        <f t="shared" si="318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19"/>
        <v>0</v>
      </c>
      <c r="S4" s="35">
        <f t="shared" si="320"/>
        <v>0</v>
      </c>
      <c r="T4" s="35">
        <f t="shared" si="321"/>
        <v>0</v>
      </c>
      <c r="U4" s="19" t="e">
        <f t="shared" si="322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14"/>
        <v>0</v>
      </c>
      <c r="F5" s="13">
        <v>0</v>
      </c>
      <c r="G5" s="13">
        <v>0</v>
      </c>
      <c r="H5" s="13">
        <v>0</v>
      </c>
      <c r="I5" s="16">
        <f t="shared" si="315"/>
        <v>0</v>
      </c>
      <c r="J5" s="17">
        <f t="shared" si="316"/>
        <v>0</v>
      </c>
      <c r="K5" s="18">
        <f t="shared" si="317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19"/>
        <v>0</v>
      </c>
      <c r="S5" s="35">
        <f t="shared" si="320"/>
        <v>0</v>
      </c>
      <c r="T5" s="35">
        <f t="shared" si="321"/>
        <v>0</v>
      </c>
      <c r="U5" s="19" t="e">
        <f t="shared" si="322"/>
        <v>#DIV/0!</v>
      </c>
    </row>
    <row r="6">
      <c r="A6" s="9" t="s">
        <v>26</v>
      </c>
      <c r="B6" s="9" t="s">
        <v>27</v>
      </c>
      <c r="C6" s="14">
        <v>424222</v>
      </c>
      <c r="D6" s="11">
        <v>1.1430280588381259</v>
      </c>
      <c r="E6" s="12">
        <f t="shared" si="314"/>
        <v>484897.64917642745</v>
      </c>
      <c r="F6" s="13">
        <v>31670</v>
      </c>
      <c r="G6" s="44">
        <v>0</v>
      </c>
      <c r="H6" s="44">
        <v>214803</v>
      </c>
      <c r="I6" s="16">
        <f t="shared" si="315"/>
        <v>246473</v>
      </c>
      <c r="J6" s="17">
        <f t="shared" si="316"/>
        <v>424222</v>
      </c>
      <c r="K6" s="18">
        <f t="shared" si="317"/>
        <v>0</v>
      </c>
      <c r="L6" s="19">
        <f t="shared" si="318"/>
        <v>0</v>
      </c>
      <c r="M6" s="34">
        <v>0</v>
      </c>
      <c r="N6" s="34">
        <v>0</v>
      </c>
      <c r="O6" s="34">
        <v>63000</v>
      </c>
      <c r="P6" s="34">
        <v>126000</v>
      </c>
      <c r="Q6" s="34">
        <v>0</v>
      </c>
      <c r="R6" s="34">
        <f t="shared" si="319"/>
        <v>189000</v>
      </c>
      <c r="S6" s="35">
        <f t="shared" si="320"/>
        <v>435473</v>
      </c>
      <c r="T6" s="35">
        <f t="shared" si="321"/>
        <v>11251</v>
      </c>
      <c r="U6" s="19">
        <f t="shared" si="322"/>
        <v>1.0265214911060718</v>
      </c>
    </row>
    <row r="7">
      <c r="A7" s="9" t="s">
        <v>28</v>
      </c>
      <c r="B7" s="9" t="s">
        <v>29</v>
      </c>
      <c r="C7" s="14">
        <v>200000</v>
      </c>
      <c r="D7" s="11">
        <v>0.63422805883812572</v>
      </c>
      <c r="E7" s="12">
        <f t="shared" si="314"/>
        <v>126845.61176762515</v>
      </c>
      <c r="F7" s="13">
        <v>0</v>
      </c>
      <c r="G7" s="13">
        <v>113400</v>
      </c>
      <c r="H7" s="13">
        <v>0</v>
      </c>
      <c r="I7" s="16">
        <f t="shared" si="315"/>
        <v>0</v>
      </c>
      <c r="J7" s="17">
        <f t="shared" si="316"/>
        <v>86600</v>
      </c>
      <c r="K7" s="18">
        <f t="shared" si="317"/>
        <v>71921.461872243453</v>
      </c>
      <c r="L7" s="19">
        <f t="shared" si="318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19"/>
        <v>522000</v>
      </c>
      <c r="S7" s="35">
        <f t="shared" si="320"/>
        <v>635400</v>
      </c>
      <c r="T7" s="35">
        <f t="shared" si="321"/>
        <v>435400</v>
      </c>
      <c r="U7" s="19">
        <f t="shared" si="322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14"/>
        <v>162550.62446383186</v>
      </c>
      <c r="F8" s="44">
        <v>47505</v>
      </c>
      <c r="G8" s="13">
        <v>108000</v>
      </c>
      <c r="H8" s="44">
        <v>73920</v>
      </c>
      <c r="I8" s="16">
        <f t="shared" si="315"/>
        <v>121425</v>
      </c>
      <c r="J8" s="17">
        <f t="shared" si="316"/>
        <v>73920</v>
      </c>
      <c r="K8" s="18">
        <f t="shared" si="317"/>
        <v>96501.030354517599</v>
      </c>
      <c r="L8" s="19">
        <f t="shared" si="318"/>
        <v>0.59366754617414252</v>
      </c>
      <c r="M8" s="34">
        <v>0</v>
      </c>
      <c r="N8" s="34">
        <v>0</v>
      </c>
      <c r="O8" s="34">
        <v>43500</v>
      </c>
      <c r="P8" s="34">
        <v>0</v>
      </c>
      <c r="Q8" s="34">
        <v>0</v>
      </c>
      <c r="R8" s="34">
        <f t="shared" si="319"/>
        <v>43500</v>
      </c>
      <c r="S8" s="35">
        <f t="shared" si="320"/>
        <v>272925</v>
      </c>
      <c r="T8" s="35">
        <f t="shared" si="321"/>
        <v>91005</v>
      </c>
      <c r="U8" s="19">
        <f t="shared" si="322"/>
        <v>1.5002473614775726</v>
      </c>
    </row>
    <row r="9">
      <c r="A9" s="9" t="s">
        <v>32</v>
      </c>
      <c r="B9" s="9" t="s">
        <v>33</v>
      </c>
      <c r="C9" s="14">
        <v>54304</v>
      </c>
      <c r="D9" s="50">
        <v>1.0683280588381256</v>
      </c>
      <c r="E9" s="12">
        <f t="shared" si="314"/>
        <v>58014.486907145576</v>
      </c>
      <c r="F9" s="13">
        <v>0</v>
      </c>
      <c r="G9" s="13">
        <v>0</v>
      </c>
      <c r="H9" s="13">
        <v>54302</v>
      </c>
      <c r="I9" s="16">
        <f t="shared" si="315"/>
        <v>54302</v>
      </c>
      <c r="J9" s="17">
        <f t="shared" si="316"/>
        <v>54304</v>
      </c>
      <c r="K9" s="18">
        <f t="shared" si="317"/>
        <v>0</v>
      </c>
      <c r="L9" s="19">
        <f t="shared" si="318"/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19"/>
        <v>0</v>
      </c>
      <c r="S9" s="35">
        <f t="shared" si="320"/>
        <v>54302</v>
      </c>
      <c r="T9" s="35">
        <f t="shared" si="321"/>
        <v>-2</v>
      </c>
      <c r="U9" s="19">
        <f t="shared" si="322"/>
        <v>0.99996317030053039</v>
      </c>
    </row>
    <row r="10">
      <c r="A10" s="9" t="s">
        <v>34</v>
      </c>
      <c r="B10" s="9" t="s">
        <v>35</v>
      </c>
      <c r="C10" s="14">
        <v>493800</v>
      </c>
      <c r="D10" s="11">
        <v>2.1696780588381257</v>
      </c>
      <c r="E10" s="12">
        <f t="shared" si="314"/>
        <v>1071387.0254542665</v>
      </c>
      <c r="F10" s="13">
        <v>4</v>
      </c>
      <c r="G10" s="13">
        <v>0</v>
      </c>
      <c r="H10" s="13">
        <v>234068</v>
      </c>
      <c r="I10" s="16">
        <f t="shared" si="315"/>
        <v>234072</v>
      </c>
      <c r="J10" s="17">
        <f t="shared" si="316"/>
        <v>493800</v>
      </c>
      <c r="K10" s="18">
        <f t="shared" si="317"/>
        <v>0</v>
      </c>
      <c r="L10" s="19">
        <f t="shared" si="318"/>
        <v>0</v>
      </c>
      <c r="M10" s="34">
        <v>0</v>
      </c>
      <c r="N10" s="34">
        <v>0</v>
      </c>
      <c r="O10" s="34">
        <v>234000</v>
      </c>
      <c r="P10" s="34">
        <v>234000</v>
      </c>
      <c r="Q10" s="34">
        <v>0</v>
      </c>
      <c r="R10" s="34">
        <f t="shared" si="319"/>
        <v>468000</v>
      </c>
      <c r="S10" s="35">
        <f t="shared" si="320"/>
        <v>702072</v>
      </c>
      <c r="T10" s="35">
        <f t="shared" si="321"/>
        <v>208272</v>
      </c>
      <c r="U10" s="19">
        <f t="shared" si="322"/>
        <v>1.4217739975698664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14"/>
        <v>0</v>
      </c>
      <c r="F11" s="13">
        <v>0</v>
      </c>
      <c r="G11" s="13">
        <v>0</v>
      </c>
      <c r="H11" s="13">
        <v>0</v>
      </c>
      <c r="I11" s="16">
        <f t="shared" si="315"/>
        <v>0</v>
      </c>
      <c r="J11" s="17">
        <f t="shared" si="316"/>
        <v>0</v>
      </c>
      <c r="K11" s="18">
        <f t="shared" si="317"/>
        <v>0</v>
      </c>
      <c r="L11" s="19" t="e">
        <f t="shared" si="31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19"/>
        <v>0</v>
      </c>
      <c r="S11" s="35">
        <f t="shared" si="320"/>
        <v>0</v>
      </c>
      <c r="T11" s="35">
        <f t="shared" si="321"/>
        <v>0</v>
      </c>
      <c r="U11" s="19" t="e">
        <f t="shared" si="322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14"/>
        <v>0</v>
      </c>
      <c r="F12" s="13">
        <v>0</v>
      </c>
      <c r="G12" s="13">
        <v>0</v>
      </c>
      <c r="H12" s="13">
        <v>0</v>
      </c>
      <c r="I12" s="16">
        <f t="shared" si="315"/>
        <v>0</v>
      </c>
      <c r="J12" s="17">
        <f t="shared" si="316"/>
        <v>0</v>
      </c>
      <c r="K12" s="18">
        <f t="shared" si="317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19"/>
        <v>0</v>
      </c>
      <c r="S12" s="35">
        <f t="shared" si="320"/>
        <v>0</v>
      </c>
      <c r="T12" s="35">
        <f t="shared" si="321"/>
        <v>0</v>
      </c>
      <c r="U12" s="19" t="e">
        <f t="shared" si="322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14"/>
        <v>0</v>
      </c>
      <c r="F13" s="13">
        <v>0</v>
      </c>
      <c r="G13" s="13">
        <v>0</v>
      </c>
      <c r="H13" s="13">
        <v>0</v>
      </c>
      <c r="I13" s="16">
        <f t="shared" si="315"/>
        <v>0</v>
      </c>
      <c r="J13" s="17">
        <f t="shared" si="316"/>
        <v>0</v>
      </c>
      <c r="K13" s="18">
        <f t="shared" si="31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19"/>
        <v>0</v>
      </c>
      <c r="S13" s="35">
        <f t="shared" si="320"/>
        <v>0</v>
      </c>
      <c r="T13" s="35">
        <f t="shared" si="321"/>
        <v>0</v>
      </c>
      <c r="U13" s="19" t="e">
        <f t="shared" si="322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14"/>
        <v>0</v>
      </c>
      <c r="F14" s="13">
        <v>0</v>
      </c>
      <c r="G14" s="13">
        <v>0</v>
      </c>
      <c r="H14" s="13">
        <v>0</v>
      </c>
      <c r="I14" s="16">
        <f t="shared" si="315"/>
        <v>0</v>
      </c>
      <c r="J14" s="17">
        <f t="shared" si="316"/>
        <v>0</v>
      </c>
      <c r="K14" s="18">
        <f t="shared" si="31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19"/>
        <v>0</v>
      </c>
      <c r="S14" s="35">
        <f t="shared" si="320"/>
        <v>0</v>
      </c>
      <c r="T14" s="35">
        <f t="shared" si="321"/>
        <v>0</v>
      </c>
      <c r="U14" s="19" t="e">
        <f t="shared" si="322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14"/>
        <v>0</v>
      </c>
      <c r="F15" s="13">
        <v>0</v>
      </c>
      <c r="G15" s="13">
        <v>0</v>
      </c>
      <c r="H15" s="13">
        <v>0</v>
      </c>
      <c r="I15" s="16">
        <f t="shared" si="315"/>
        <v>0</v>
      </c>
      <c r="J15" s="17">
        <f t="shared" si="316"/>
        <v>0</v>
      </c>
      <c r="K15" s="18">
        <f t="shared" si="31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19"/>
        <v>0</v>
      </c>
      <c r="S15" s="35">
        <f t="shared" si="320"/>
        <v>0</v>
      </c>
      <c r="T15" s="35">
        <f t="shared" si="321"/>
        <v>0</v>
      </c>
      <c r="U15" s="19" t="e">
        <f t="shared" si="322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14"/>
        <v>0</v>
      </c>
      <c r="F16" s="13">
        <v>0</v>
      </c>
      <c r="G16" s="13">
        <v>0</v>
      </c>
      <c r="H16" s="13">
        <v>0</v>
      </c>
      <c r="I16" s="16">
        <f t="shared" si="315"/>
        <v>0</v>
      </c>
      <c r="J16" s="17">
        <f t="shared" si="316"/>
        <v>0</v>
      </c>
      <c r="K16" s="18">
        <f t="shared" si="317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19"/>
        <v>0</v>
      </c>
      <c r="S16" s="35">
        <f t="shared" si="320"/>
        <v>0</v>
      </c>
      <c r="T16" s="35">
        <f t="shared" si="321"/>
        <v>0</v>
      </c>
      <c r="U16" s="19" t="e">
        <f t="shared" si="322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14"/>
        <v>0</v>
      </c>
      <c r="F17" s="13">
        <v>25348</v>
      </c>
      <c r="G17" s="13">
        <v>0</v>
      </c>
      <c r="H17" s="13">
        <v>0</v>
      </c>
      <c r="I17" s="16">
        <f t="shared" si="315"/>
        <v>25348</v>
      </c>
      <c r="J17" s="17">
        <f t="shared" si="316"/>
        <v>0</v>
      </c>
      <c r="K17" s="18">
        <f t="shared" si="317"/>
        <v>0</v>
      </c>
      <c r="L17" s="19" t="e">
        <f t="shared" ref="L17:L18" si="323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19"/>
        <v>0</v>
      </c>
      <c r="S17" s="35">
        <f t="shared" si="320"/>
        <v>25348</v>
      </c>
      <c r="T17" s="35">
        <f t="shared" si="321"/>
        <v>25348</v>
      </c>
      <c r="U17" s="19" t="e">
        <f t="shared" si="322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24">SUM(E3:E17)</f>
        <v>2959164.6447321521</v>
      </c>
      <c r="F18" s="24">
        <f t="shared" si="324"/>
        <v>104527</v>
      </c>
      <c r="G18" s="24">
        <f t="shared" si="324"/>
        <v>221400</v>
      </c>
      <c r="H18" s="24">
        <f t="shared" si="324"/>
        <v>744239</v>
      </c>
      <c r="I18" s="25">
        <f t="shared" si="324"/>
        <v>848766</v>
      </c>
      <c r="J18" s="26">
        <f t="shared" si="324"/>
        <v>1497760</v>
      </c>
      <c r="K18" s="26">
        <f t="shared" si="324"/>
        <v>168422.49222676107</v>
      </c>
      <c r="L18" s="27">
        <f t="shared" si="323"/>
        <v>0.056915553018174754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19"/>
        <v>0</v>
      </c>
      <c r="S18" s="35">
        <f t="shared" si="320"/>
        <v>1070166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/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830095-0095-40B0-9B74-004D00D800E1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EF00BE-0070-4BF3-9005-009A00E0007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F9007A-00FA-43FA-9DC7-00DC0098007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380081-0094-4956-A67C-00D6002600B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D5009F-003F-4763-8B5B-00AA00CE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270002-00B1-4AA9-9E89-00F20039002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97003C-00B3-42D8-ABA2-003900DE004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26" activeCellId="0" sqref="H26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94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0">
        <v>2.8923780588381258</v>
      </c>
      <c r="E3" s="12">
        <f t="shared" ref="E3:E17" si="325">C3*D3</f>
        <v>1055469.2469628558</v>
      </c>
      <c r="F3" s="13">
        <v>55919</v>
      </c>
      <c r="G3" s="44">
        <v>0</v>
      </c>
      <c r="H3" s="13">
        <v>167146</v>
      </c>
      <c r="I3" s="16">
        <f t="shared" ref="I3:I17" si="326">F3+H3</f>
        <v>223065</v>
      </c>
      <c r="J3" s="17">
        <f t="shared" ref="J3:J17" si="327">C3-G3</f>
        <v>364914</v>
      </c>
      <c r="K3" s="18">
        <f t="shared" ref="K3:K17" si="328">+G3*D3</f>
        <v>0</v>
      </c>
      <c r="L3" s="19">
        <f t="shared" ref="L3:L11" si="329">K3/E3</f>
        <v>0</v>
      </c>
      <c r="M3" s="34">
        <v>0</v>
      </c>
      <c r="N3" s="34">
        <v>0</v>
      </c>
      <c r="O3" s="34">
        <v>185000</v>
      </c>
      <c r="P3" s="34">
        <v>148000</v>
      </c>
      <c r="Q3" s="34">
        <v>0</v>
      </c>
      <c r="R3" s="34">
        <f t="shared" ref="R3:R18" si="330">M3+N3+O3+P3+Q3</f>
        <v>333000</v>
      </c>
      <c r="S3" s="35">
        <f t="shared" ref="S3:S18" si="331">G3+I3+R3</f>
        <v>556065</v>
      </c>
      <c r="T3" s="35">
        <f t="shared" ref="T3:T17" si="332">S3-C3</f>
        <v>191151</v>
      </c>
      <c r="U3" s="19">
        <f t="shared" ref="U3:U17" si="333">S3/C3</f>
        <v>1.5238247915947318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25"/>
        <v>0</v>
      </c>
      <c r="F4" s="13">
        <v>0</v>
      </c>
      <c r="G4" s="13">
        <v>0</v>
      </c>
      <c r="H4" s="13">
        <v>0</v>
      </c>
      <c r="I4" s="16">
        <f t="shared" si="326"/>
        <v>0</v>
      </c>
      <c r="J4" s="17">
        <f t="shared" si="327"/>
        <v>0</v>
      </c>
      <c r="K4" s="18">
        <f t="shared" si="328"/>
        <v>0</v>
      </c>
      <c r="L4" s="19" t="e">
        <f t="shared" si="329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30"/>
        <v>0</v>
      </c>
      <c r="S4" s="35">
        <f t="shared" si="331"/>
        <v>0</v>
      </c>
      <c r="T4" s="35">
        <f t="shared" si="332"/>
        <v>0</v>
      </c>
      <c r="U4" s="19" t="e">
        <f t="shared" si="333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25"/>
        <v>0</v>
      </c>
      <c r="F5" s="13">
        <v>0</v>
      </c>
      <c r="G5" s="13">
        <v>0</v>
      </c>
      <c r="H5" s="13">
        <v>0</v>
      </c>
      <c r="I5" s="16">
        <f t="shared" si="326"/>
        <v>0</v>
      </c>
      <c r="J5" s="17">
        <f t="shared" si="327"/>
        <v>0</v>
      </c>
      <c r="K5" s="18">
        <f t="shared" si="328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30"/>
        <v>0</v>
      </c>
      <c r="S5" s="35">
        <f t="shared" si="331"/>
        <v>0</v>
      </c>
      <c r="T5" s="35">
        <f t="shared" si="332"/>
        <v>0</v>
      </c>
      <c r="U5" s="19" t="e">
        <f t="shared" si="333"/>
        <v>#DIV/0!</v>
      </c>
    </row>
    <row r="6">
      <c r="A6" s="9" t="s">
        <v>26</v>
      </c>
      <c r="B6" s="9" t="s">
        <v>27</v>
      </c>
      <c r="C6" s="14">
        <v>424222</v>
      </c>
      <c r="D6" s="11">
        <v>1.1430280588381259</v>
      </c>
      <c r="E6" s="12">
        <f t="shared" si="325"/>
        <v>484897.64917642745</v>
      </c>
      <c r="F6" s="13">
        <v>31670</v>
      </c>
      <c r="G6" s="44">
        <v>56495</v>
      </c>
      <c r="H6" s="44">
        <v>158308</v>
      </c>
      <c r="I6" s="16">
        <f t="shared" si="326"/>
        <v>189978</v>
      </c>
      <c r="J6" s="17">
        <f t="shared" si="327"/>
        <v>367727</v>
      </c>
      <c r="K6" s="18">
        <f t="shared" si="328"/>
        <v>64575.370184059917</v>
      </c>
      <c r="L6" s="19">
        <f t="shared" si="329"/>
        <v>0.13317319705248665</v>
      </c>
      <c r="M6" s="34">
        <v>0</v>
      </c>
      <c r="N6" s="34">
        <v>0</v>
      </c>
      <c r="O6" s="34">
        <v>63000</v>
      </c>
      <c r="P6" s="34">
        <v>126000</v>
      </c>
      <c r="Q6" s="34">
        <v>0</v>
      </c>
      <c r="R6" s="34">
        <f t="shared" si="330"/>
        <v>189000</v>
      </c>
      <c r="S6" s="35">
        <f t="shared" si="331"/>
        <v>435473</v>
      </c>
      <c r="T6" s="35">
        <f t="shared" si="332"/>
        <v>11251</v>
      </c>
      <c r="U6" s="19">
        <f t="shared" si="333"/>
        <v>1.0265214911060718</v>
      </c>
    </row>
    <row r="7">
      <c r="A7" s="9" t="s">
        <v>28</v>
      </c>
      <c r="B7" s="9" t="s">
        <v>29</v>
      </c>
      <c r="C7" s="14">
        <v>200000</v>
      </c>
      <c r="D7" s="11">
        <v>0.63422805883812572</v>
      </c>
      <c r="E7" s="12">
        <f t="shared" si="325"/>
        <v>126845.61176762515</v>
      </c>
      <c r="F7" s="13">
        <v>0</v>
      </c>
      <c r="G7" s="13">
        <v>113400</v>
      </c>
      <c r="H7" s="13">
        <v>0</v>
      </c>
      <c r="I7" s="16">
        <f t="shared" si="326"/>
        <v>0</v>
      </c>
      <c r="J7" s="17">
        <f t="shared" si="327"/>
        <v>86600</v>
      </c>
      <c r="K7" s="18">
        <f t="shared" si="328"/>
        <v>71921.461872243453</v>
      </c>
      <c r="L7" s="19">
        <f t="shared" si="329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30"/>
        <v>522000</v>
      </c>
      <c r="S7" s="35">
        <f t="shared" si="331"/>
        <v>635400</v>
      </c>
      <c r="T7" s="35">
        <f t="shared" si="332"/>
        <v>435400</v>
      </c>
      <c r="U7" s="19">
        <f t="shared" si="333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25"/>
        <v>162550.62446383186</v>
      </c>
      <c r="F8" s="44">
        <v>47505</v>
      </c>
      <c r="G8" s="13">
        <v>181920</v>
      </c>
      <c r="H8" s="44">
        <v>0</v>
      </c>
      <c r="I8" s="16">
        <f t="shared" si="326"/>
        <v>47505</v>
      </c>
      <c r="J8" s="17">
        <f t="shared" si="327"/>
        <v>0</v>
      </c>
      <c r="K8" s="18">
        <f t="shared" si="328"/>
        <v>162550.62446383186</v>
      </c>
      <c r="L8" s="19">
        <f t="shared" si="329"/>
        <v>1</v>
      </c>
      <c r="M8" s="34">
        <v>0</v>
      </c>
      <c r="N8" s="34">
        <v>0</v>
      </c>
      <c r="O8" s="34">
        <v>43500</v>
      </c>
      <c r="P8" s="34">
        <v>0</v>
      </c>
      <c r="Q8" s="34">
        <v>0</v>
      </c>
      <c r="R8" s="34">
        <f t="shared" si="330"/>
        <v>43500</v>
      </c>
      <c r="S8" s="35">
        <f t="shared" si="331"/>
        <v>272925</v>
      </c>
      <c r="T8" s="35">
        <f t="shared" si="332"/>
        <v>91005</v>
      </c>
      <c r="U8" s="19">
        <f t="shared" si="333"/>
        <v>1.5002473614775726</v>
      </c>
    </row>
    <row r="9">
      <c r="A9" s="9" t="s">
        <v>32</v>
      </c>
      <c r="B9" s="9" t="s">
        <v>33</v>
      </c>
      <c r="C9" s="14">
        <v>54304</v>
      </c>
      <c r="D9" s="50">
        <v>1.0683280588381256</v>
      </c>
      <c r="E9" s="12">
        <f t="shared" si="325"/>
        <v>58014.486907145576</v>
      </c>
      <c r="F9" s="13">
        <v>0</v>
      </c>
      <c r="G9" s="13">
        <v>0</v>
      </c>
      <c r="H9" s="13">
        <v>54302</v>
      </c>
      <c r="I9" s="16">
        <f t="shared" si="326"/>
        <v>54302</v>
      </c>
      <c r="J9" s="17">
        <f t="shared" si="327"/>
        <v>54304</v>
      </c>
      <c r="K9" s="18">
        <f t="shared" si="328"/>
        <v>0</v>
      </c>
      <c r="L9" s="19">
        <f t="shared" si="329"/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30"/>
        <v>0</v>
      </c>
      <c r="S9" s="35">
        <f t="shared" si="331"/>
        <v>54302</v>
      </c>
      <c r="T9" s="35">
        <f t="shared" si="332"/>
        <v>-2</v>
      </c>
      <c r="U9" s="19">
        <f t="shared" si="333"/>
        <v>0.99996317030053039</v>
      </c>
    </row>
    <row r="10">
      <c r="A10" s="9" t="s">
        <v>34</v>
      </c>
      <c r="B10" s="9" t="s">
        <v>35</v>
      </c>
      <c r="C10" s="14">
        <v>493800</v>
      </c>
      <c r="D10" s="11">
        <v>2.1696780588381257</v>
      </c>
      <c r="E10" s="12">
        <f t="shared" si="325"/>
        <v>1071387.0254542665</v>
      </c>
      <c r="F10" s="13">
        <v>234357</v>
      </c>
      <c r="G10" s="13">
        <v>70400</v>
      </c>
      <c r="H10" s="13">
        <v>163668</v>
      </c>
      <c r="I10" s="16">
        <f t="shared" si="326"/>
        <v>398025</v>
      </c>
      <c r="J10" s="17">
        <f t="shared" si="327"/>
        <v>423400</v>
      </c>
      <c r="K10" s="18">
        <f t="shared" si="328"/>
        <v>152745.33534220405</v>
      </c>
      <c r="L10" s="19">
        <f t="shared" si="329"/>
        <v>0.14256784123126773</v>
      </c>
      <c r="M10" s="34">
        <v>0</v>
      </c>
      <c r="N10" s="34">
        <v>0</v>
      </c>
      <c r="O10" s="34">
        <v>234000</v>
      </c>
      <c r="P10" s="34">
        <v>234000</v>
      </c>
      <c r="Q10" s="34">
        <v>0</v>
      </c>
      <c r="R10" s="34">
        <f t="shared" si="330"/>
        <v>468000</v>
      </c>
      <c r="S10" s="35">
        <f t="shared" si="331"/>
        <v>936425</v>
      </c>
      <c r="T10" s="35">
        <f t="shared" si="332"/>
        <v>442625</v>
      </c>
      <c r="U10" s="19">
        <f t="shared" si="333"/>
        <v>1.8963649250708789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25"/>
        <v>0</v>
      </c>
      <c r="F11" s="13">
        <v>0</v>
      </c>
      <c r="G11" s="13">
        <v>0</v>
      </c>
      <c r="H11" s="13">
        <v>0</v>
      </c>
      <c r="I11" s="16">
        <f t="shared" si="326"/>
        <v>0</v>
      </c>
      <c r="J11" s="17">
        <f t="shared" si="327"/>
        <v>0</v>
      </c>
      <c r="K11" s="18">
        <f t="shared" si="328"/>
        <v>0</v>
      </c>
      <c r="L11" s="19" t="e">
        <f t="shared" si="329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30"/>
        <v>0</v>
      </c>
      <c r="S11" s="35">
        <f t="shared" si="331"/>
        <v>0</v>
      </c>
      <c r="T11" s="35">
        <f t="shared" si="332"/>
        <v>0</v>
      </c>
      <c r="U11" s="19" t="e">
        <f t="shared" si="33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25"/>
        <v>0</v>
      </c>
      <c r="F12" s="13">
        <v>0</v>
      </c>
      <c r="G12" s="13">
        <v>0</v>
      </c>
      <c r="H12" s="13">
        <v>0</v>
      </c>
      <c r="I12" s="16">
        <f t="shared" si="326"/>
        <v>0</v>
      </c>
      <c r="J12" s="17">
        <f t="shared" si="327"/>
        <v>0</v>
      </c>
      <c r="K12" s="18">
        <f t="shared" si="328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30"/>
        <v>0</v>
      </c>
      <c r="S12" s="35">
        <f t="shared" si="331"/>
        <v>0</v>
      </c>
      <c r="T12" s="35">
        <f t="shared" si="332"/>
        <v>0</v>
      </c>
      <c r="U12" s="19" t="e">
        <f t="shared" si="33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25"/>
        <v>0</v>
      </c>
      <c r="F13" s="13">
        <v>0</v>
      </c>
      <c r="G13" s="13">
        <v>0</v>
      </c>
      <c r="H13" s="13">
        <v>0</v>
      </c>
      <c r="I13" s="16">
        <f t="shared" si="326"/>
        <v>0</v>
      </c>
      <c r="J13" s="17">
        <f t="shared" si="327"/>
        <v>0</v>
      </c>
      <c r="K13" s="18">
        <f t="shared" si="32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30"/>
        <v>0</v>
      </c>
      <c r="S13" s="35">
        <f t="shared" si="331"/>
        <v>0</v>
      </c>
      <c r="T13" s="35">
        <f t="shared" si="332"/>
        <v>0</v>
      </c>
      <c r="U13" s="19" t="e">
        <f t="shared" si="333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25"/>
        <v>0</v>
      </c>
      <c r="F14" s="13">
        <v>0</v>
      </c>
      <c r="G14" s="13">
        <v>0</v>
      </c>
      <c r="H14" s="13">
        <v>0</v>
      </c>
      <c r="I14" s="16">
        <f t="shared" si="326"/>
        <v>0</v>
      </c>
      <c r="J14" s="17">
        <f t="shared" si="327"/>
        <v>0</v>
      </c>
      <c r="K14" s="18">
        <f t="shared" si="32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30"/>
        <v>0</v>
      </c>
      <c r="S14" s="35">
        <f t="shared" si="331"/>
        <v>0</v>
      </c>
      <c r="T14" s="35">
        <f t="shared" si="332"/>
        <v>0</v>
      </c>
      <c r="U14" s="19" t="e">
        <f t="shared" si="333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25"/>
        <v>0</v>
      </c>
      <c r="F15" s="13">
        <v>0</v>
      </c>
      <c r="G15" s="13">
        <v>0</v>
      </c>
      <c r="H15" s="13">
        <v>0</v>
      </c>
      <c r="I15" s="16">
        <f t="shared" si="326"/>
        <v>0</v>
      </c>
      <c r="J15" s="17">
        <f t="shared" si="327"/>
        <v>0</v>
      </c>
      <c r="K15" s="18">
        <f t="shared" si="32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30"/>
        <v>0</v>
      </c>
      <c r="S15" s="35">
        <f t="shared" si="331"/>
        <v>0</v>
      </c>
      <c r="T15" s="35">
        <f t="shared" si="332"/>
        <v>0</v>
      </c>
      <c r="U15" s="19" t="e">
        <f t="shared" si="333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25"/>
        <v>0</v>
      </c>
      <c r="F16" s="13">
        <v>0</v>
      </c>
      <c r="G16" s="13">
        <v>0</v>
      </c>
      <c r="H16" s="13">
        <v>0</v>
      </c>
      <c r="I16" s="16">
        <f t="shared" si="326"/>
        <v>0</v>
      </c>
      <c r="J16" s="17">
        <f t="shared" si="327"/>
        <v>0</v>
      </c>
      <c r="K16" s="18">
        <f t="shared" si="328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30"/>
        <v>0</v>
      </c>
      <c r="S16" s="35">
        <f t="shared" si="331"/>
        <v>0</v>
      </c>
      <c r="T16" s="35">
        <f t="shared" si="332"/>
        <v>0</v>
      </c>
      <c r="U16" s="19" t="e">
        <f t="shared" si="333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25"/>
        <v>0</v>
      </c>
      <c r="F17" s="13">
        <v>25348</v>
      </c>
      <c r="G17" s="13">
        <v>0</v>
      </c>
      <c r="H17" s="13">
        <v>0</v>
      </c>
      <c r="I17" s="16">
        <f t="shared" si="326"/>
        <v>25348</v>
      </c>
      <c r="J17" s="17">
        <f t="shared" si="327"/>
        <v>0</v>
      </c>
      <c r="K17" s="18">
        <f t="shared" si="328"/>
        <v>0</v>
      </c>
      <c r="L17" s="19" t="e">
        <f t="shared" ref="L17:L18" si="334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30"/>
        <v>0</v>
      </c>
      <c r="S17" s="35">
        <f t="shared" si="331"/>
        <v>25348</v>
      </c>
      <c r="T17" s="35">
        <f t="shared" si="332"/>
        <v>25348</v>
      </c>
      <c r="U17" s="19" t="e">
        <f t="shared" si="333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35">SUM(E3:E17)</f>
        <v>2959164.6447321521</v>
      </c>
      <c r="F18" s="24">
        <f t="shared" si="335"/>
        <v>394799</v>
      </c>
      <c r="G18" s="24">
        <f t="shared" si="335"/>
        <v>422215</v>
      </c>
      <c r="H18" s="24">
        <f t="shared" si="335"/>
        <v>543424</v>
      </c>
      <c r="I18" s="25">
        <f t="shared" si="335"/>
        <v>938223</v>
      </c>
      <c r="J18" s="26">
        <f t="shared" si="335"/>
        <v>1296945</v>
      </c>
      <c r="K18" s="26">
        <f t="shared" si="335"/>
        <v>451792.79186233925</v>
      </c>
      <c r="L18" s="27">
        <f t="shared" si="334"/>
        <v>0.15267578729240769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30"/>
        <v>0</v>
      </c>
      <c r="S18" s="35">
        <f t="shared" si="331"/>
        <v>1360438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/>
      <c r="G24" t="s">
        <v>64</v>
      </c>
    </row>
    <row r="25" ht="16.5">
      <c r="B25" s="48" t="s">
        <v>64</v>
      </c>
      <c r="C25" s="49" t="s">
        <v>91</v>
      </c>
      <c r="D25" s="28"/>
      <c r="E25" s="28"/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130068-003A-4AA7-8F9B-00B9001300D9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720041-00CE-4F52-AAF5-002F0012000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2E00D8-0088-4BE5-987A-00850034000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9D00D6-00AE-4AC4-9FF4-00710011006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D3007B-0035-45CA-99F1-00CD009000C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7F000C-0081-4A78-B4B6-004000AA004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8000C8-0008-4F19-B9E8-0030009100B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24" activeCellId="0" sqref="H24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95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336">C3*D3</f>
        <v>1055469.2469628558</v>
      </c>
      <c r="F3" s="13">
        <v>0</v>
      </c>
      <c r="G3" s="44">
        <v>0</v>
      </c>
      <c r="H3" s="13">
        <v>260135</v>
      </c>
      <c r="I3" s="16">
        <f t="shared" ref="I3:I17" si="337">F3+H3</f>
        <v>260135</v>
      </c>
      <c r="J3" s="17">
        <f t="shared" ref="J3:J17" si="338">C3-G3</f>
        <v>364914</v>
      </c>
      <c r="K3" s="18">
        <f t="shared" ref="K3:K17" si="339">+G3*D3</f>
        <v>0</v>
      </c>
      <c r="L3" s="19">
        <f t="shared" ref="L3:L11" si="340">K3/E3</f>
        <v>0</v>
      </c>
      <c r="M3" s="34">
        <v>0</v>
      </c>
      <c r="N3" s="34">
        <v>0</v>
      </c>
      <c r="O3" s="34">
        <v>185000</v>
      </c>
      <c r="P3" s="34">
        <v>148000</v>
      </c>
      <c r="Q3" s="34">
        <v>0</v>
      </c>
      <c r="R3" s="34">
        <f t="shared" ref="R3:R18" si="341">M3+N3+O3+P3+Q3</f>
        <v>333000</v>
      </c>
      <c r="S3" s="35">
        <f t="shared" ref="S3:S18" si="342">G3+I3+R3</f>
        <v>593135</v>
      </c>
      <c r="T3" s="35">
        <f t="shared" ref="T3:T17" si="343">S3-C3</f>
        <v>228221</v>
      </c>
      <c r="U3" s="19">
        <f t="shared" ref="U3:U17" si="344">S3/C3</f>
        <v>1.6254103706626768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36"/>
        <v>0</v>
      </c>
      <c r="F4" s="13">
        <v>0</v>
      </c>
      <c r="G4" s="13">
        <v>0</v>
      </c>
      <c r="H4" s="13">
        <v>0</v>
      </c>
      <c r="I4" s="16">
        <f t="shared" si="337"/>
        <v>0</v>
      </c>
      <c r="J4" s="17">
        <f t="shared" si="338"/>
        <v>0</v>
      </c>
      <c r="K4" s="18">
        <f t="shared" si="339"/>
        <v>0</v>
      </c>
      <c r="L4" s="19" t="e">
        <f t="shared" si="340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41"/>
        <v>0</v>
      </c>
      <c r="S4" s="35">
        <f t="shared" si="342"/>
        <v>0</v>
      </c>
      <c r="T4" s="35">
        <f t="shared" si="343"/>
        <v>0</v>
      </c>
      <c r="U4" s="19" t="e">
        <f t="shared" si="344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36"/>
        <v>0</v>
      </c>
      <c r="F5" s="13">
        <v>0</v>
      </c>
      <c r="G5" s="13">
        <v>0</v>
      </c>
      <c r="H5" s="13">
        <v>0</v>
      </c>
      <c r="I5" s="16">
        <f t="shared" si="337"/>
        <v>0</v>
      </c>
      <c r="J5" s="17">
        <f t="shared" si="338"/>
        <v>0</v>
      </c>
      <c r="K5" s="18">
        <f t="shared" si="339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41"/>
        <v>0</v>
      </c>
      <c r="S5" s="35">
        <f t="shared" si="342"/>
        <v>0</v>
      </c>
      <c r="T5" s="35">
        <f t="shared" si="343"/>
        <v>0</v>
      </c>
      <c r="U5" s="19" t="e">
        <f t="shared" si="344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336"/>
        <v>484897.64917642745</v>
      </c>
      <c r="F6" s="13">
        <v>0</v>
      </c>
      <c r="G6" s="44">
        <v>56495</v>
      </c>
      <c r="H6" s="44">
        <v>253459</v>
      </c>
      <c r="I6" s="16">
        <f t="shared" si="337"/>
        <v>253459</v>
      </c>
      <c r="J6" s="17">
        <f t="shared" si="338"/>
        <v>367727</v>
      </c>
      <c r="K6" s="18">
        <f t="shared" si="339"/>
        <v>64575.370184059917</v>
      </c>
      <c r="L6" s="19">
        <f t="shared" si="340"/>
        <v>0.13317319705248665</v>
      </c>
      <c r="M6" s="34">
        <v>0</v>
      </c>
      <c r="N6" s="34">
        <v>0</v>
      </c>
      <c r="O6" s="34">
        <v>63000</v>
      </c>
      <c r="P6" s="34">
        <v>126000</v>
      </c>
      <c r="Q6" s="34">
        <v>0</v>
      </c>
      <c r="R6" s="34">
        <f t="shared" si="341"/>
        <v>189000</v>
      </c>
      <c r="S6" s="35">
        <f t="shared" si="342"/>
        <v>498954</v>
      </c>
      <c r="T6" s="35">
        <f t="shared" si="343"/>
        <v>74732</v>
      </c>
      <c r="U6" s="19">
        <f t="shared" si="344"/>
        <v>1.176162480965155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336"/>
        <v>126845.61176762515</v>
      </c>
      <c r="F7" s="13">
        <v>0</v>
      </c>
      <c r="G7" s="13">
        <v>113400</v>
      </c>
      <c r="H7" s="13">
        <v>0</v>
      </c>
      <c r="I7" s="16">
        <f t="shared" si="337"/>
        <v>0</v>
      </c>
      <c r="J7" s="17">
        <f t="shared" si="338"/>
        <v>86600</v>
      </c>
      <c r="K7" s="18">
        <f t="shared" si="339"/>
        <v>71921.461872243453</v>
      </c>
      <c r="L7" s="19">
        <f t="shared" si="340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41"/>
        <v>522000</v>
      </c>
      <c r="S7" s="35">
        <f t="shared" si="342"/>
        <v>635400</v>
      </c>
      <c r="T7" s="35">
        <f t="shared" si="343"/>
        <v>435400</v>
      </c>
      <c r="U7" s="19">
        <f t="shared" si="344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36"/>
        <v>162550.62446383186</v>
      </c>
      <c r="F8" s="44">
        <v>47505</v>
      </c>
      <c r="G8" s="13">
        <v>181920</v>
      </c>
      <c r="H8" s="44">
        <v>0</v>
      </c>
      <c r="I8" s="16">
        <f t="shared" si="337"/>
        <v>47505</v>
      </c>
      <c r="J8" s="17">
        <f t="shared" si="338"/>
        <v>0</v>
      </c>
      <c r="K8" s="18">
        <f t="shared" si="339"/>
        <v>162550.62446383186</v>
      </c>
      <c r="L8" s="19">
        <f t="shared" si="340"/>
        <v>1</v>
      </c>
      <c r="M8" s="34">
        <v>0</v>
      </c>
      <c r="N8" s="34">
        <v>0</v>
      </c>
      <c r="O8" s="34">
        <v>43500</v>
      </c>
      <c r="P8" s="34">
        <v>0</v>
      </c>
      <c r="Q8" s="34">
        <v>0</v>
      </c>
      <c r="R8" s="34">
        <f t="shared" si="341"/>
        <v>43500</v>
      </c>
      <c r="S8" s="35">
        <f t="shared" si="342"/>
        <v>272925</v>
      </c>
      <c r="T8" s="35">
        <f t="shared" si="343"/>
        <v>91005</v>
      </c>
      <c r="U8" s="19">
        <f t="shared" si="344"/>
        <v>1.5002473614775726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336"/>
        <v>58014.486907145576</v>
      </c>
      <c r="F9" s="13">
        <v>0</v>
      </c>
      <c r="G9" s="13">
        <v>0</v>
      </c>
      <c r="H9" s="13">
        <v>54302</v>
      </c>
      <c r="I9" s="16">
        <f t="shared" si="337"/>
        <v>54302</v>
      </c>
      <c r="J9" s="17">
        <f t="shared" si="338"/>
        <v>54304</v>
      </c>
      <c r="K9" s="18">
        <f t="shared" si="339"/>
        <v>0</v>
      </c>
      <c r="L9" s="19">
        <f t="shared" si="340"/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41"/>
        <v>0</v>
      </c>
      <c r="S9" s="35">
        <f t="shared" si="342"/>
        <v>54302</v>
      </c>
      <c r="T9" s="35">
        <f t="shared" si="343"/>
        <v>-2</v>
      </c>
      <c r="U9" s="19">
        <f t="shared" si="344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336"/>
        <v>1071387.0254542665</v>
      </c>
      <c r="F10" s="13">
        <v>0</v>
      </c>
      <c r="G10" s="13">
        <v>211200</v>
      </c>
      <c r="H10" s="13">
        <v>257225</v>
      </c>
      <c r="I10" s="16">
        <f t="shared" si="337"/>
        <v>257225</v>
      </c>
      <c r="J10" s="17">
        <f t="shared" si="338"/>
        <v>282600</v>
      </c>
      <c r="K10" s="18">
        <f t="shared" si="339"/>
        <v>458236.00602661213</v>
      </c>
      <c r="L10" s="19">
        <f t="shared" si="340"/>
        <v>0.42770352369380316</v>
      </c>
      <c r="M10" s="34">
        <v>0</v>
      </c>
      <c r="N10" s="34">
        <v>0</v>
      </c>
      <c r="O10" s="34">
        <v>234000</v>
      </c>
      <c r="P10" s="34">
        <v>234000</v>
      </c>
      <c r="Q10" s="34">
        <v>0</v>
      </c>
      <c r="R10" s="34">
        <f t="shared" si="341"/>
        <v>468000</v>
      </c>
      <c r="S10" s="35">
        <f t="shared" si="342"/>
        <v>936425</v>
      </c>
      <c r="T10" s="35">
        <f t="shared" si="343"/>
        <v>442625</v>
      </c>
      <c r="U10" s="19">
        <f t="shared" si="344"/>
        <v>1.8963649250708789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36"/>
        <v>0</v>
      </c>
      <c r="F11" s="13">
        <v>0</v>
      </c>
      <c r="G11" s="13">
        <v>0</v>
      </c>
      <c r="H11" s="13">
        <v>0</v>
      </c>
      <c r="I11" s="16">
        <f t="shared" si="337"/>
        <v>0</v>
      </c>
      <c r="J11" s="17">
        <f t="shared" si="338"/>
        <v>0</v>
      </c>
      <c r="K11" s="18">
        <f t="shared" si="339"/>
        <v>0</v>
      </c>
      <c r="L11" s="19" t="e">
        <f t="shared" si="340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41"/>
        <v>0</v>
      </c>
      <c r="S11" s="35">
        <f t="shared" si="342"/>
        <v>0</v>
      </c>
      <c r="T11" s="35">
        <f t="shared" si="343"/>
        <v>0</v>
      </c>
      <c r="U11" s="19" t="e">
        <f t="shared" si="344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36"/>
        <v>0</v>
      </c>
      <c r="F12" s="13">
        <v>0</v>
      </c>
      <c r="G12" s="13">
        <v>0</v>
      </c>
      <c r="H12" s="13">
        <v>0</v>
      </c>
      <c r="I12" s="16">
        <f t="shared" si="337"/>
        <v>0</v>
      </c>
      <c r="J12" s="17">
        <f t="shared" si="338"/>
        <v>0</v>
      </c>
      <c r="K12" s="18">
        <f t="shared" si="339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41"/>
        <v>0</v>
      </c>
      <c r="S12" s="35">
        <f t="shared" si="342"/>
        <v>0</v>
      </c>
      <c r="T12" s="35">
        <f t="shared" si="343"/>
        <v>0</v>
      </c>
      <c r="U12" s="19" t="e">
        <f t="shared" si="344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36"/>
        <v>0</v>
      </c>
      <c r="F13" s="13">
        <v>0</v>
      </c>
      <c r="G13" s="13">
        <v>0</v>
      </c>
      <c r="H13" s="13">
        <v>0</v>
      </c>
      <c r="I13" s="16">
        <f t="shared" si="337"/>
        <v>0</v>
      </c>
      <c r="J13" s="17">
        <f t="shared" si="338"/>
        <v>0</v>
      </c>
      <c r="K13" s="18">
        <f t="shared" si="33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41"/>
        <v>0</v>
      </c>
      <c r="S13" s="35">
        <f t="shared" si="342"/>
        <v>0</v>
      </c>
      <c r="T13" s="35">
        <f t="shared" si="343"/>
        <v>0</v>
      </c>
      <c r="U13" s="19" t="e">
        <f t="shared" si="344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36"/>
        <v>0</v>
      </c>
      <c r="F14" s="13">
        <v>0</v>
      </c>
      <c r="G14" s="13">
        <v>0</v>
      </c>
      <c r="H14" s="13">
        <v>0</v>
      </c>
      <c r="I14" s="16">
        <f t="shared" si="337"/>
        <v>0</v>
      </c>
      <c r="J14" s="17">
        <f t="shared" si="338"/>
        <v>0</v>
      </c>
      <c r="K14" s="18">
        <f t="shared" si="33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41"/>
        <v>0</v>
      </c>
      <c r="S14" s="35">
        <f t="shared" si="342"/>
        <v>0</v>
      </c>
      <c r="T14" s="35">
        <f t="shared" si="343"/>
        <v>0</v>
      </c>
      <c r="U14" s="19" t="e">
        <f t="shared" si="344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36"/>
        <v>0</v>
      </c>
      <c r="F15" s="13">
        <v>0</v>
      </c>
      <c r="G15" s="13">
        <v>0</v>
      </c>
      <c r="H15" s="13">
        <v>0</v>
      </c>
      <c r="I15" s="16">
        <f t="shared" si="337"/>
        <v>0</v>
      </c>
      <c r="J15" s="17">
        <f t="shared" si="338"/>
        <v>0</v>
      </c>
      <c r="K15" s="18">
        <f t="shared" si="339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41"/>
        <v>0</v>
      </c>
      <c r="S15" s="35">
        <f t="shared" si="342"/>
        <v>0</v>
      </c>
      <c r="T15" s="35">
        <f t="shared" si="343"/>
        <v>0</v>
      </c>
      <c r="U15" s="19" t="e">
        <f t="shared" si="344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36"/>
        <v>0</v>
      </c>
      <c r="F16" s="13">
        <v>0</v>
      </c>
      <c r="G16" s="13">
        <v>0</v>
      </c>
      <c r="H16" s="13">
        <v>0</v>
      </c>
      <c r="I16" s="16">
        <f t="shared" si="337"/>
        <v>0</v>
      </c>
      <c r="J16" s="17">
        <f t="shared" si="338"/>
        <v>0</v>
      </c>
      <c r="K16" s="18">
        <f t="shared" si="339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41"/>
        <v>0</v>
      </c>
      <c r="S16" s="35">
        <f t="shared" si="342"/>
        <v>0</v>
      </c>
      <c r="T16" s="35">
        <f t="shared" si="343"/>
        <v>0</v>
      </c>
      <c r="U16" s="19" t="e">
        <f t="shared" si="344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36"/>
        <v>0</v>
      </c>
      <c r="F17" s="13">
        <v>25348</v>
      </c>
      <c r="G17" s="13">
        <v>0</v>
      </c>
      <c r="H17" s="13">
        <v>0</v>
      </c>
      <c r="I17" s="16">
        <f t="shared" si="337"/>
        <v>25348</v>
      </c>
      <c r="J17" s="17">
        <f t="shared" si="338"/>
        <v>0</v>
      </c>
      <c r="K17" s="18">
        <f t="shared" si="339"/>
        <v>0</v>
      </c>
      <c r="L17" s="19" t="e">
        <f t="shared" ref="L17:L18" si="345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41"/>
        <v>0</v>
      </c>
      <c r="S17" s="35">
        <f t="shared" si="342"/>
        <v>25348</v>
      </c>
      <c r="T17" s="35">
        <f t="shared" si="343"/>
        <v>25348</v>
      </c>
      <c r="U17" s="19" t="e">
        <f t="shared" si="344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46">SUM(E3:E17)</f>
        <v>2959164.6447321521</v>
      </c>
      <c r="F18" s="24">
        <f t="shared" si="346"/>
        <v>72853</v>
      </c>
      <c r="G18" s="24">
        <f t="shared" si="346"/>
        <v>563015</v>
      </c>
      <c r="H18" s="24">
        <f t="shared" si="346"/>
        <v>825121</v>
      </c>
      <c r="I18" s="25">
        <f t="shared" si="346"/>
        <v>897974</v>
      </c>
      <c r="J18" s="26">
        <f t="shared" si="346"/>
        <v>1156145</v>
      </c>
      <c r="K18" s="26">
        <f t="shared" si="346"/>
        <v>757283.46254674741</v>
      </c>
      <c r="L18" s="27">
        <f t="shared" si="345"/>
        <v>0.25591122950689776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41"/>
        <v>0</v>
      </c>
      <c r="S18" s="35">
        <f t="shared" si="342"/>
        <v>1460989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/>
      <c r="G24" t="s">
        <v>64</v>
      </c>
    </row>
    <row r="25" ht="16.5">
      <c r="B25" s="48" t="s">
        <v>64</v>
      </c>
      <c r="C25" s="49" t="s">
        <v>91</v>
      </c>
      <c r="D25" s="28"/>
      <c r="E25" s="28"/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A9007B-0095-4AE8-8830-00BF003A0019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C600C3-008C-4E7E-89D8-00110048002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3A002D-006C-4685-8BE4-00600003003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00097-009D-4266-8E91-00D5005E00F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110068-00D8-49EB-A4A0-005D005600D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3B0065-00C4-4605-925B-00010079002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2E0087-0017-4131-8765-00E900C500C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B23" activeCellId="0" sqref="B23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96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347">C3*D3</f>
        <v>1055469.2469628558</v>
      </c>
      <c r="F3" s="13">
        <v>0</v>
      </c>
      <c r="G3" s="44">
        <v>74389</v>
      </c>
      <c r="H3" s="13">
        <v>185746</v>
      </c>
      <c r="I3" s="16">
        <f t="shared" ref="I3:I17" si="348">F3+H3</f>
        <v>185746</v>
      </c>
      <c r="J3" s="17">
        <f t="shared" ref="J3:J17" si="349">C3-G3</f>
        <v>290525</v>
      </c>
      <c r="K3" s="18">
        <f t="shared" ref="K3:K17" si="350">+G3*D3</f>
        <v>215161.11141890934</v>
      </c>
      <c r="L3" s="19">
        <f t="shared" ref="L3:L11" si="351">K3/E3</f>
        <v>0.20385351069019003</v>
      </c>
      <c r="M3" s="34">
        <v>0</v>
      </c>
      <c r="N3" s="34">
        <v>0</v>
      </c>
      <c r="O3" s="34">
        <v>185000</v>
      </c>
      <c r="P3" s="34">
        <v>148000</v>
      </c>
      <c r="Q3" s="34">
        <v>0</v>
      </c>
      <c r="R3" s="34">
        <f t="shared" ref="R3:R18" si="352">M3+N3+O3+P3+Q3</f>
        <v>333000</v>
      </c>
      <c r="S3" s="35">
        <f t="shared" ref="S3:S18" si="353">G3+I3+R3</f>
        <v>593135</v>
      </c>
      <c r="T3" s="35">
        <f t="shared" ref="T3:T17" si="354">S3-C3</f>
        <v>228221</v>
      </c>
      <c r="U3" s="19">
        <f t="shared" ref="U3:U17" si="355">S3/C3</f>
        <v>1.6254103706626768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47"/>
        <v>0</v>
      </c>
      <c r="F4" s="13">
        <v>0</v>
      </c>
      <c r="G4" s="13">
        <v>0</v>
      </c>
      <c r="H4" s="13">
        <v>0</v>
      </c>
      <c r="I4" s="16">
        <f t="shared" si="348"/>
        <v>0</v>
      </c>
      <c r="J4" s="17">
        <f t="shared" si="349"/>
        <v>0</v>
      </c>
      <c r="K4" s="18">
        <f t="shared" si="350"/>
        <v>0</v>
      </c>
      <c r="L4" s="19" t="e">
        <f t="shared" si="351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52"/>
        <v>0</v>
      </c>
      <c r="S4" s="35">
        <f t="shared" si="353"/>
        <v>0</v>
      </c>
      <c r="T4" s="35">
        <f t="shared" si="354"/>
        <v>0</v>
      </c>
      <c r="U4" s="19" t="e">
        <f t="shared" si="355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47"/>
        <v>0</v>
      </c>
      <c r="F5" s="13">
        <v>0</v>
      </c>
      <c r="G5" s="13">
        <v>0</v>
      </c>
      <c r="H5" s="13">
        <v>0</v>
      </c>
      <c r="I5" s="16">
        <f t="shared" si="348"/>
        <v>0</v>
      </c>
      <c r="J5" s="17">
        <f t="shared" si="349"/>
        <v>0</v>
      </c>
      <c r="K5" s="18">
        <f t="shared" si="350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52"/>
        <v>0</v>
      </c>
      <c r="S5" s="35">
        <f t="shared" si="353"/>
        <v>0</v>
      </c>
      <c r="T5" s="35">
        <f t="shared" si="354"/>
        <v>0</v>
      </c>
      <c r="U5" s="19" t="e">
        <f t="shared" si="355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347"/>
        <v>484897.64917642745</v>
      </c>
      <c r="F6" s="13">
        <v>0</v>
      </c>
      <c r="G6" s="44">
        <v>214803</v>
      </c>
      <c r="H6" s="44">
        <v>95151</v>
      </c>
      <c r="I6" s="16">
        <f t="shared" si="348"/>
        <v>95151</v>
      </c>
      <c r="J6" s="17">
        <f t="shared" si="349"/>
        <v>209419</v>
      </c>
      <c r="K6" s="18">
        <f t="shared" si="350"/>
        <v>245525.85612260594</v>
      </c>
      <c r="L6" s="19">
        <f t="shared" si="351"/>
        <v>0.5063457340731975</v>
      </c>
      <c r="M6" s="34">
        <v>0</v>
      </c>
      <c r="N6" s="34">
        <v>0</v>
      </c>
      <c r="O6" s="34">
        <v>63000</v>
      </c>
      <c r="P6" s="34">
        <v>126000</v>
      </c>
      <c r="Q6" s="34">
        <v>0</v>
      </c>
      <c r="R6" s="34">
        <f t="shared" si="352"/>
        <v>189000</v>
      </c>
      <c r="S6" s="35">
        <f t="shared" si="353"/>
        <v>498954</v>
      </c>
      <c r="T6" s="35">
        <f t="shared" si="354"/>
        <v>74732</v>
      </c>
      <c r="U6" s="19">
        <f t="shared" si="355"/>
        <v>1.176162480965155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347"/>
        <v>126845.61176762515</v>
      </c>
      <c r="F7" s="13">
        <v>0</v>
      </c>
      <c r="G7" s="13">
        <v>113400</v>
      </c>
      <c r="H7" s="13">
        <v>0</v>
      </c>
      <c r="I7" s="16">
        <f t="shared" si="348"/>
        <v>0</v>
      </c>
      <c r="J7" s="17">
        <f t="shared" si="349"/>
        <v>86600</v>
      </c>
      <c r="K7" s="18">
        <f t="shared" si="350"/>
        <v>71921.461872243453</v>
      </c>
      <c r="L7" s="19">
        <f t="shared" si="351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52"/>
        <v>522000</v>
      </c>
      <c r="S7" s="35">
        <f t="shared" si="353"/>
        <v>635400</v>
      </c>
      <c r="T7" s="35">
        <f t="shared" si="354"/>
        <v>435400</v>
      </c>
      <c r="U7" s="19">
        <f t="shared" si="355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47"/>
        <v>162550.62446383186</v>
      </c>
      <c r="F8" s="44">
        <v>47505</v>
      </c>
      <c r="G8" s="13">
        <v>181920</v>
      </c>
      <c r="H8" s="44">
        <v>0</v>
      </c>
      <c r="I8" s="16">
        <f t="shared" si="348"/>
        <v>47505</v>
      </c>
      <c r="J8" s="17">
        <f t="shared" si="349"/>
        <v>0</v>
      </c>
      <c r="K8" s="18">
        <f t="shared" si="350"/>
        <v>162550.62446383186</v>
      </c>
      <c r="L8" s="19">
        <f t="shared" si="351"/>
        <v>1</v>
      </c>
      <c r="M8" s="34">
        <v>0</v>
      </c>
      <c r="N8" s="34">
        <v>0</v>
      </c>
      <c r="O8" s="34">
        <v>43500</v>
      </c>
      <c r="P8" s="34">
        <v>0</v>
      </c>
      <c r="Q8" s="34">
        <v>0</v>
      </c>
      <c r="R8" s="34">
        <f t="shared" si="352"/>
        <v>43500</v>
      </c>
      <c r="S8" s="35">
        <f t="shared" si="353"/>
        <v>272925</v>
      </c>
      <c r="T8" s="35">
        <f t="shared" si="354"/>
        <v>91005</v>
      </c>
      <c r="U8" s="19">
        <f t="shared" si="355"/>
        <v>1.5002473614775726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347"/>
        <v>58014.486907145576</v>
      </c>
      <c r="F9" s="13">
        <v>0</v>
      </c>
      <c r="G9" s="13">
        <v>54302</v>
      </c>
      <c r="H9" s="13">
        <v>0</v>
      </c>
      <c r="I9" s="16">
        <f t="shared" si="348"/>
        <v>0</v>
      </c>
      <c r="J9" s="17">
        <f t="shared" si="349"/>
        <v>2</v>
      </c>
      <c r="K9" s="18">
        <f t="shared" si="350"/>
        <v>58012.3502510279</v>
      </c>
      <c r="L9" s="19">
        <f t="shared" si="351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52"/>
        <v>0</v>
      </c>
      <c r="S9" s="35">
        <f t="shared" si="353"/>
        <v>54302</v>
      </c>
      <c r="T9" s="35">
        <f t="shared" si="354"/>
        <v>-2</v>
      </c>
      <c r="U9" s="19">
        <f t="shared" si="355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347"/>
        <v>1071387.0254542665</v>
      </c>
      <c r="F10" s="13">
        <v>0</v>
      </c>
      <c r="G10" s="13">
        <v>211200</v>
      </c>
      <c r="H10" s="13">
        <v>257225</v>
      </c>
      <c r="I10" s="16">
        <f t="shared" si="348"/>
        <v>257225</v>
      </c>
      <c r="J10" s="17">
        <f t="shared" si="349"/>
        <v>282600</v>
      </c>
      <c r="K10" s="18">
        <f t="shared" si="350"/>
        <v>458236.00602661213</v>
      </c>
      <c r="L10" s="19">
        <f t="shared" si="351"/>
        <v>0.42770352369380316</v>
      </c>
      <c r="M10" s="34">
        <v>0</v>
      </c>
      <c r="N10" s="34">
        <v>0</v>
      </c>
      <c r="O10" s="34">
        <v>234000</v>
      </c>
      <c r="P10" s="34">
        <v>234000</v>
      </c>
      <c r="Q10" s="34">
        <v>0</v>
      </c>
      <c r="R10" s="34">
        <f t="shared" si="352"/>
        <v>468000</v>
      </c>
      <c r="S10" s="35">
        <f t="shared" si="353"/>
        <v>936425</v>
      </c>
      <c r="T10" s="35">
        <f t="shared" si="354"/>
        <v>442625</v>
      </c>
      <c r="U10" s="19">
        <f t="shared" si="355"/>
        <v>1.8963649250708789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47"/>
        <v>0</v>
      </c>
      <c r="F11" s="13">
        <v>0</v>
      </c>
      <c r="G11" s="13">
        <v>0</v>
      </c>
      <c r="H11" s="13">
        <v>0</v>
      </c>
      <c r="I11" s="16">
        <f t="shared" si="348"/>
        <v>0</v>
      </c>
      <c r="J11" s="17">
        <f t="shared" si="349"/>
        <v>0</v>
      </c>
      <c r="K11" s="18">
        <f t="shared" si="350"/>
        <v>0</v>
      </c>
      <c r="L11" s="19" t="e">
        <f t="shared" si="351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52"/>
        <v>0</v>
      </c>
      <c r="S11" s="35">
        <f t="shared" si="353"/>
        <v>0</v>
      </c>
      <c r="T11" s="35">
        <f t="shared" si="354"/>
        <v>0</v>
      </c>
      <c r="U11" s="19" t="e">
        <f t="shared" si="355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47"/>
        <v>0</v>
      </c>
      <c r="F12" s="13">
        <v>0</v>
      </c>
      <c r="G12" s="13">
        <v>0</v>
      </c>
      <c r="H12" s="13">
        <v>0</v>
      </c>
      <c r="I12" s="16">
        <f t="shared" si="348"/>
        <v>0</v>
      </c>
      <c r="J12" s="17">
        <f t="shared" si="349"/>
        <v>0</v>
      </c>
      <c r="K12" s="18">
        <f t="shared" si="350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52"/>
        <v>0</v>
      </c>
      <c r="S12" s="35">
        <f t="shared" si="353"/>
        <v>0</v>
      </c>
      <c r="T12" s="35">
        <f t="shared" si="354"/>
        <v>0</v>
      </c>
      <c r="U12" s="19" t="e">
        <f t="shared" si="355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47"/>
        <v>0</v>
      </c>
      <c r="F13" s="13">
        <v>0</v>
      </c>
      <c r="G13" s="13">
        <v>0</v>
      </c>
      <c r="H13" s="13">
        <v>0</v>
      </c>
      <c r="I13" s="16">
        <f t="shared" si="348"/>
        <v>0</v>
      </c>
      <c r="J13" s="17">
        <f t="shared" si="349"/>
        <v>0</v>
      </c>
      <c r="K13" s="18">
        <f t="shared" si="35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52"/>
        <v>0</v>
      </c>
      <c r="S13" s="35">
        <f t="shared" si="353"/>
        <v>0</v>
      </c>
      <c r="T13" s="35">
        <f t="shared" si="354"/>
        <v>0</v>
      </c>
      <c r="U13" s="19" t="e">
        <f t="shared" si="355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47"/>
        <v>0</v>
      </c>
      <c r="F14" s="13">
        <v>0</v>
      </c>
      <c r="G14" s="13">
        <v>0</v>
      </c>
      <c r="H14" s="13">
        <v>0</v>
      </c>
      <c r="I14" s="16">
        <f t="shared" si="348"/>
        <v>0</v>
      </c>
      <c r="J14" s="17">
        <f t="shared" si="349"/>
        <v>0</v>
      </c>
      <c r="K14" s="18">
        <f t="shared" si="35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52"/>
        <v>0</v>
      </c>
      <c r="S14" s="35">
        <f t="shared" si="353"/>
        <v>0</v>
      </c>
      <c r="T14" s="35">
        <f t="shared" si="354"/>
        <v>0</v>
      </c>
      <c r="U14" s="19" t="e">
        <f t="shared" si="355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47"/>
        <v>0</v>
      </c>
      <c r="F15" s="13">
        <v>0</v>
      </c>
      <c r="G15" s="13">
        <v>0</v>
      </c>
      <c r="H15" s="13">
        <v>0</v>
      </c>
      <c r="I15" s="16">
        <f t="shared" si="348"/>
        <v>0</v>
      </c>
      <c r="J15" s="17">
        <f t="shared" si="349"/>
        <v>0</v>
      </c>
      <c r="K15" s="18">
        <f t="shared" si="35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52"/>
        <v>0</v>
      </c>
      <c r="S15" s="35">
        <f t="shared" si="353"/>
        <v>0</v>
      </c>
      <c r="T15" s="35">
        <f t="shared" si="354"/>
        <v>0</v>
      </c>
      <c r="U15" s="19" t="e">
        <f t="shared" si="355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47"/>
        <v>0</v>
      </c>
      <c r="F16" s="13">
        <v>0</v>
      </c>
      <c r="G16" s="13">
        <v>0</v>
      </c>
      <c r="H16" s="13">
        <v>0</v>
      </c>
      <c r="I16" s="16">
        <f t="shared" si="348"/>
        <v>0</v>
      </c>
      <c r="J16" s="17">
        <f t="shared" si="349"/>
        <v>0</v>
      </c>
      <c r="K16" s="18">
        <f t="shared" si="350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52"/>
        <v>0</v>
      </c>
      <c r="S16" s="35">
        <f t="shared" si="353"/>
        <v>0</v>
      </c>
      <c r="T16" s="35">
        <f t="shared" si="354"/>
        <v>0</v>
      </c>
      <c r="U16" s="19" t="e">
        <f t="shared" si="355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47"/>
        <v>0</v>
      </c>
      <c r="F17" s="13">
        <v>25348</v>
      </c>
      <c r="G17" s="13">
        <v>0</v>
      </c>
      <c r="H17" s="13">
        <v>0</v>
      </c>
      <c r="I17" s="16">
        <f t="shared" si="348"/>
        <v>25348</v>
      </c>
      <c r="J17" s="17">
        <f t="shared" si="349"/>
        <v>0</v>
      </c>
      <c r="K17" s="18">
        <f t="shared" si="350"/>
        <v>0</v>
      </c>
      <c r="L17" s="19" t="e">
        <f t="shared" ref="L17:L18" si="356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52"/>
        <v>0</v>
      </c>
      <c r="S17" s="35">
        <f t="shared" si="353"/>
        <v>25348</v>
      </c>
      <c r="T17" s="35">
        <f t="shared" si="354"/>
        <v>25348</v>
      </c>
      <c r="U17" s="19" t="e">
        <f t="shared" si="355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57">SUM(E3:E17)</f>
        <v>2959164.6447321521</v>
      </c>
      <c r="F18" s="24">
        <f t="shared" si="357"/>
        <v>72853</v>
      </c>
      <c r="G18" s="24">
        <f t="shared" si="357"/>
        <v>850014</v>
      </c>
      <c r="H18" s="24">
        <f t="shared" si="357"/>
        <v>538122</v>
      </c>
      <c r="I18" s="25">
        <f t="shared" si="357"/>
        <v>610975</v>
      </c>
      <c r="J18" s="26">
        <f t="shared" si="357"/>
        <v>869146</v>
      </c>
      <c r="K18" s="26">
        <f t="shared" si="357"/>
        <v>1211407.4101552307</v>
      </c>
      <c r="L18" s="27">
        <f t="shared" si="356"/>
        <v>0.40937479173784896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52"/>
        <v>0</v>
      </c>
      <c r="S18" s="35">
        <f t="shared" si="353"/>
        <v>1460989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/>
      <c r="G24" t="s">
        <v>64</v>
      </c>
    </row>
    <row r="25" ht="16.5">
      <c r="B25" s="48" t="s">
        <v>64</v>
      </c>
      <c r="C25" s="49" t="s">
        <v>91</v>
      </c>
      <c r="D25" s="28"/>
      <c r="E25" s="28"/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D1005B-00DC-4FFA-A07E-0045005C0075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B2002F-00F9-4891-9440-009100B9003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BC00B4-00B6-4CF4-9FA2-00510030007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2900DB-0091-4AB4-BB57-0009009D007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2F00B9-0060-4DFD-9A8A-0005002000E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B6005D-007C-4543-90AC-004D004A001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E1005D-00E3-4165-9AA3-002F00AF00A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26" activeCellId="0" sqref="G26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97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358">C3*D3</f>
        <v>1055469.2469628558</v>
      </c>
      <c r="F3" s="13">
        <v>0</v>
      </c>
      <c r="G3" s="44">
        <v>260135</v>
      </c>
      <c r="H3" s="13">
        <v>92746</v>
      </c>
      <c r="I3" s="16">
        <f t="shared" ref="I3:I17" si="359">F3+H3</f>
        <v>92746</v>
      </c>
      <c r="J3" s="17">
        <f t="shared" ref="J3:J17" si="360">C3-G3</f>
        <v>104779</v>
      </c>
      <c r="K3" s="18">
        <f t="shared" ref="K3:K17" si="361">+G3*D3</f>
        <v>752408.76633585582</v>
      </c>
      <c r="L3" s="19">
        <f t="shared" ref="L3:L11" si="362">K3/E3</f>
        <v>0.71286659322470503</v>
      </c>
      <c r="M3" s="34">
        <v>0</v>
      </c>
      <c r="N3" s="34">
        <v>0</v>
      </c>
      <c r="O3" s="34">
        <v>0</v>
      </c>
      <c r="P3" s="34">
        <v>111000</v>
      </c>
      <c r="Q3" s="34">
        <v>74000</v>
      </c>
      <c r="R3" s="34">
        <f t="shared" ref="R3:R18" si="363">M3+N3+O3+P3+Q3</f>
        <v>185000</v>
      </c>
      <c r="S3" s="35">
        <f t="shared" ref="S3:S18" si="364">G3+I3+R3</f>
        <v>537881</v>
      </c>
      <c r="T3" s="35">
        <f t="shared" ref="T3:T17" si="365">S3-C3</f>
        <v>172967</v>
      </c>
      <c r="U3" s="19">
        <f t="shared" ref="U3:U17" si="366">S3/C3</f>
        <v>1.4739938725288697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58"/>
        <v>0</v>
      </c>
      <c r="F4" s="13">
        <v>0</v>
      </c>
      <c r="G4" s="13">
        <v>0</v>
      </c>
      <c r="H4" s="13">
        <v>0</v>
      </c>
      <c r="I4" s="16">
        <f t="shared" si="359"/>
        <v>0</v>
      </c>
      <c r="J4" s="17">
        <f t="shared" si="360"/>
        <v>0</v>
      </c>
      <c r="K4" s="18">
        <f t="shared" si="361"/>
        <v>0</v>
      </c>
      <c r="L4" s="19" t="e">
        <f t="shared" si="362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63"/>
        <v>0</v>
      </c>
      <c r="S4" s="35">
        <f t="shared" si="364"/>
        <v>0</v>
      </c>
      <c r="T4" s="35">
        <f t="shared" si="365"/>
        <v>0</v>
      </c>
      <c r="U4" s="19" t="e">
        <f t="shared" si="366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58"/>
        <v>0</v>
      </c>
      <c r="F5" s="13">
        <v>0</v>
      </c>
      <c r="G5" s="13">
        <v>0</v>
      </c>
      <c r="H5" s="13">
        <v>0</v>
      </c>
      <c r="I5" s="16">
        <f t="shared" si="359"/>
        <v>0</v>
      </c>
      <c r="J5" s="17">
        <f t="shared" si="360"/>
        <v>0</v>
      </c>
      <c r="K5" s="18">
        <f t="shared" si="361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63"/>
        <v>0</v>
      </c>
      <c r="S5" s="35">
        <f t="shared" si="364"/>
        <v>0</v>
      </c>
      <c r="T5" s="35">
        <f t="shared" si="365"/>
        <v>0</v>
      </c>
      <c r="U5" s="19" t="e">
        <f t="shared" si="366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358"/>
        <v>484897.64917642745</v>
      </c>
      <c r="F6" s="13">
        <v>0</v>
      </c>
      <c r="G6" s="44">
        <v>309954</v>
      </c>
      <c r="H6" s="44">
        <v>0</v>
      </c>
      <c r="I6" s="16">
        <f t="shared" si="359"/>
        <v>0</v>
      </c>
      <c r="J6" s="17">
        <f t="shared" si="360"/>
        <v>114268</v>
      </c>
      <c r="K6" s="18">
        <f t="shared" si="361"/>
        <v>354286.11894911248</v>
      </c>
      <c r="L6" s="19">
        <f t="shared" si="362"/>
        <v>0.73064103228969735</v>
      </c>
      <c r="M6" s="34">
        <v>0</v>
      </c>
      <c r="N6" s="34">
        <v>0</v>
      </c>
      <c r="O6" s="34">
        <v>0</v>
      </c>
      <c r="P6" s="34">
        <v>126000</v>
      </c>
      <c r="Q6" s="34">
        <v>94500</v>
      </c>
      <c r="R6" s="34">
        <f t="shared" si="363"/>
        <v>220500</v>
      </c>
      <c r="S6" s="35">
        <f t="shared" si="364"/>
        <v>530454</v>
      </c>
      <c r="T6" s="35">
        <f t="shared" si="365"/>
        <v>106232</v>
      </c>
      <c r="U6" s="19">
        <f t="shared" si="366"/>
        <v>1.250416055744398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358"/>
        <v>126845.61176762515</v>
      </c>
      <c r="F7" s="13">
        <v>0</v>
      </c>
      <c r="G7" s="13">
        <v>113400</v>
      </c>
      <c r="H7" s="13">
        <v>0</v>
      </c>
      <c r="I7" s="16">
        <f t="shared" si="359"/>
        <v>0</v>
      </c>
      <c r="J7" s="17">
        <f t="shared" si="360"/>
        <v>86600</v>
      </c>
      <c r="K7" s="18">
        <f t="shared" si="361"/>
        <v>71921.461872243453</v>
      </c>
      <c r="L7" s="19">
        <f t="shared" si="362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63"/>
        <v>522000</v>
      </c>
      <c r="S7" s="35">
        <f t="shared" si="364"/>
        <v>635400</v>
      </c>
      <c r="T7" s="35">
        <f t="shared" si="365"/>
        <v>435400</v>
      </c>
      <c r="U7" s="19">
        <f t="shared" si="366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58"/>
        <v>162550.62446383186</v>
      </c>
      <c r="F8" s="44">
        <v>47505</v>
      </c>
      <c r="G8" s="13">
        <v>181920</v>
      </c>
      <c r="H8" s="44">
        <v>0</v>
      </c>
      <c r="I8" s="16">
        <f t="shared" si="359"/>
        <v>47505</v>
      </c>
      <c r="J8" s="17">
        <f t="shared" si="360"/>
        <v>0</v>
      </c>
      <c r="K8" s="18">
        <f t="shared" si="361"/>
        <v>162550.62446383186</v>
      </c>
      <c r="L8" s="19">
        <f t="shared" si="362"/>
        <v>1</v>
      </c>
      <c r="M8" s="34">
        <v>0</v>
      </c>
      <c r="N8" s="34">
        <v>0</v>
      </c>
      <c r="O8" s="34">
        <v>0</v>
      </c>
      <c r="P8" s="34">
        <v>43500</v>
      </c>
      <c r="Q8" s="34">
        <v>0</v>
      </c>
      <c r="R8" s="34">
        <f t="shared" si="363"/>
        <v>43500</v>
      </c>
      <c r="S8" s="35">
        <f t="shared" si="364"/>
        <v>272925</v>
      </c>
      <c r="T8" s="35">
        <f t="shared" si="365"/>
        <v>91005</v>
      </c>
      <c r="U8" s="19">
        <f t="shared" si="366"/>
        <v>1.5002473614775726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358"/>
        <v>58014.486907145576</v>
      </c>
      <c r="F9" s="13">
        <v>0</v>
      </c>
      <c r="G9" s="13">
        <v>54302</v>
      </c>
      <c r="H9" s="13">
        <v>0</v>
      </c>
      <c r="I9" s="16">
        <f t="shared" si="359"/>
        <v>0</v>
      </c>
      <c r="J9" s="17">
        <f t="shared" si="360"/>
        <v>2</v>
      </c>
      <c r="K9" s="18">
        <f t="shared" si="361"/>
        <v>58012.3502510279</v>
      </c>
      <c r="L9" s="19">
        <f t="shared" si="362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63"/>
        <v>0</v>
      </c>
      <c r="S9" s="35">
        <f t="shared" si="364"/>
        <v>54302</v>
      </c>
      <c r="T9" s="35">
        <f t="shared" si="365"/>
        <v>-2</v>
      </c>
      <c r="U9" s="19">
        <f t="shared" si="366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358"/>
        <v>1071387.0254542665</v>
      </c>
      <c r="F10" s="13">
        <v>0</v>
      </c>
      <c r="G10" s="13">
        <v>211200</v>
      </c>
      <c r="H10" s="13">
        <v>257225</v>
      </c>
      <c r="I10" s="16">
        <f t="shared" si="359"/>
        <v>257225</v>
      </c>
      <c r="J10" s="17">
        <f t="shared" si="360"/>
        <v>282600</v>
      </c>
      <c r="K10" s="18">
        <f t="shared" si="361"/>
        <v>458236.00602661213</v>
      </c>
      <c r="L10" s="19">
        <f t="shared" si="362"/>
        <v>0.42770352369380316</v>
      </c>
      <c r="M10" s="34">
        <v>0</v>
      </c>
      <c r="N10" s="34">
        <v>0</v>
      </c>
      <c r="O10" s="34">
        <v>0</v>
      </c>
      <c r="P10" s="34">
        <v>197500</v>
      </c>
      <c r="Q10" s="34">
        <v>0</v>
      </c>
      <c r="R10" s="34">
        <f t="shared" si="363"/>
        <v>197500</v>
      </c>
      <c r="S10" s="35">
        <f t="shared" si="364"/>
        <v>665925</v>
      </c>
      <c r="T10" s="35">
        <f t="shared" si="365"/>
        <v>172125</v>
      </c>
      <c r="U10" s="19">
        <f t="shared" si="366"/>
        <v>1.3485722964763063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58"/>
        <v>0</v>
      </c>
      <c r="F11" s="13">
        <v>0</v>
      </c>
      <c r="G11" s="13">
        <v>0</v>
      </c>
      <c r="H11" s="13">
        <v>0</v>
      </c>
      <c r="I11" s="16">
        <f t="shared" si="359"/>
        <v>0</v>
      </c>
      <c r="J11" s="17">
        <f t="shared" si="360"/>
        <v>0</v>
      </c>
      <c r="K11" s="18">
        <f t="shared" si="361"/>
        <v>0</v>
      </c>
      <c r="L11" s="19" t="e">
        <f t="shared" si="362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63"/>
        <v>0</v>
      </c>
      <c r="S11" s="35">
        <f t="shared" si="364"/>
        <v>0</v>
      </c>
      <c r="T11" s="35">
        <f t="shared" si="365"/>
        <v>0</v>
      </c>
      <c r="U11" s="19" t="e">
        <f t="shared" si="366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58"/>
        <v>0</v>
      </c>
      <c r="F12" s="13">
        <v>0</v>
      </c>
      <c r="G12" s="13">
        <v>0</v>
      </c>
      <c r="H12" s="13">
        <v>0</v>
      </c>
      <c r="I12" s="16">
        <f t="shared" si="359"/>
        <v>0</v>
      </c>
      <c r="J12" s="17">
        <f t="shared" si="360"/>
        <v>0</v>
      </c>
      <c r="K12" s="18">
        <f t="shared" si="361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63"/>
        <v>0</v>
      </c>
      <c r="S12" s="35">
        <f t="shared" si="364"/>
        <v>0</v>
      </c>
      <c r="T12" s="35">
        <f t="shared" si="365"/>
        <v>0</v>
      </c>
      <c r="U12" s="19" t="e">
        <f t="shared" si="36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58"/>
        <v>0</v>
      </c>
      <c r="F13" s="13">
        <v>0</v>
      </c>
      <c r="G13" s="13">
        <v>0</v>
      </c>
      <c r="H13" s="13">
        <v>0</v>
      </c>
      <c r="I13" s="16">
        <f t="shared" si="359"/>
        <v>0</v>
      </c>
      <c r="J13" s="17">
        <f t="shared" si="360"/>
        <v>0</v>
      </c>
      <c r="K13" s="18">
        <f t="shared" si="36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63"/>
        <v>0</v>
      </c>
      <c r="S13" s="35">
        <f t="shared" si="364"/>
        <v>0</v>
      </c>
      <c r="T13" s="35">
        <f t="shared" si="365"/>
        <v>0</v>
      </c>
      <c r="U13" s="19" t="e">
        <f t="shared" si="36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58"/>
        <v>0</v>
      </c>
      <c r="F14" s="13">
        <v>0</v>
      </c>
      <c r="G14" s="13">
        <v>0</v>
      </c>
      <c r="H14" s="13">
        <v>0</v>
      </c>
      <c r="I14" s="16">
        <f t="shared" si="359"/>
        <v>0</v>
      </c>
      <c r="J14" s="17">
        <f t="shared" si="360"/>
        <v>0</v>
      </c>
      <c r="K14" s="18">
        <f t="shared" si="36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63"/>
        <v>0</v>
      </c>
      <c r="S14" s="35">
        <f t="shared" si="364"/>
        <v>0</v>
      </c>
      <c r="T14" s="35">
        <f t="shared" si="365"/>
        <v>0</v>
      </c>
      <c r="U14" s="19" t="e">
        <f t="shared" si="36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58"/>
        <v>0</v>
      </c>
      <c r="F15" s="13">
        <v>0</v>
      </c>
      <c r="G15" s="13">
        <v>0</v>
      </c>
      <c r="H15" s="13">
        <v>0</v>
      </c>
      <c r="I15" s="16">
        <f t="shared" si="359"/>
        <v>0</v>
      </c>
      <c r="J15" s="17">
        <f t="shared" si="360"/>
        <v>0</v>
      </c>
      <c r="K15" s="18">
        <f t="shared" si="361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63"/>
        <v>0</v>
      </c>
      <c r="S15" s="35">
        <f t="shared" si="364"/>
        <v>0</v>
      </c>
      <c r="T15" s="35">
        <f t="shared" si="365"/>
        <v>0</v>
      </c>
      <c r="U15" s="19" t="e">
        <f t="shared" si="36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58"/>
        <v>0</v>
      </c>
      <c r="F16" s="13">
        <v>0</v>
      </c>
      <c r="G16" s="13">
        <v>0</v>
      </c>
      <c r="H16" s="13">
        <v>0</v>
      </c>
      <c r="I16" s="16">
        <f t="shared" si="359"/>
        <v>0</v>
      </c>
      <c r="J16" s="17">
        <f t="shared" si="360"/>
        <v>0</v>
      </c>
      <c r="K16" s="18">
        <f t="shared" si="361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63"/>
        <v>0</v>
      </c>
      <c r="S16" s="35">
        <f t="shared" si="364"/>
        <v>0</v>
      </c>
      <c r="T16" s="35">
        <f t="shared" si="365"/>
        <v>0</v>
      </c>
      <c r="U16" s="19" t="e">
        <f t="shared" si="366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58"/>
        <v>0</v>
      </c>
      <c r="F17" s="13">
        <v>12197</v>
      </c>
      <c r="G17" s="13">
        <v>0</v>
      </c>
      <c r="H17" s="13">
        <v>12748</v>
      </c>
      <c r="I17" s="16">
        <f t="shared" si="359"/>
        <v>24945</v>
      </c>
      <c r="J17" s="17">
        <f t="shared" si="360"/>
        <v>0</v>
      </c>
      <c r="K17" s="18">
        <f t="shared" si="361"/>
        <v>0</v>
      </c>
      <c r="L17" s="19" t="e">
        <f t="shared" ref="L17:L18" si="367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63"/>
        <v>0</v>
      </c>
      <c r="S17" s="35">
        <f t="shared" si="364"/>
        <v>24945</v>
      </c>
      <c r="T17" s="35">
        <f t="shared" si="365"/>
        <v>24945</v>
      </c>
      <c r="U17" s="19" t="e">
        <f t="shared" si="366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68">SUM(E3:E17)</f>
        <v>2959164.6447321521</v>
      </c>
      <c r="F18" s="24">
        <f t="shared" si="368"/>
        <v>59702</v>
      </c>
      <c r="G18" s="24">
        <f t="shared" si="368"/>
        <v>1130911</v>
      </c>
      <c r="H18" s="24">
        <f t="shared" si="368"/>
        <v>362719</v>
      </c>
      <c r="I18" s="25">
        <f t="shared" si="368"/>
        <v>422421</v>
      </c>
      <c r="J18" s="26">
        <f t="shared" si="368"/>
        <v>588249</v>
      </c>
      <c r="K18" s="26">
        <f t="shared" si="368"/>
        <v>1857415.3278986835</v>
      </c>
      <c r="L18" s="27">
        <f t="shared" si="367"/>
        <v>0.62768231946986064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63"/>
        <v>0</v>
      </c>
      <c r="S18" s="35">
        <f t="shared" si="364"/>
        <v>1553332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/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E5005E-0068-4CF8-B69A-008D00670080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DD00B5-0086-4FC4-AC0D-00CD0063008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2C00CA-00E6-4D7F-A86C-0088000300D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5C00DB-002A-4EDC-9B0E-00CD00F9009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5A006F-00F0-47D1-8A4E-00910069009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9200F5-0096-4CC2-A58E-00E0003C005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F80044-006F-4363-AE16-00A5007D009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10" activeCellId="0" sqref="H10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97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369">C3*D3</f>
        <v>1055469.2469628558</v>
      </c>
      <c r="F3" s="13">
        <v>0</v>
      </c>
      <c r="G3" s="44">
        <v>260135</v>
      </c>
      <c r="H3" s="13">
        <v>92746</v>
      </c>
      <c r="I3" s="16">
        <f t="shared" ref="I3:I17" si="370">F3+H3</f>
        <v>92746</v>
      </c>
      <c r="J3" s="17">
        <f t="shared" ref="J3:J17" si="371">C3-G3</f>
        <v>104779</v>
      </c>
      <c r="K3" s="18">
        <f t="shared" ref="K3:K17" si="372">+G3*D3</f>
        <v>752408.76633585582</v>
      </c>
      <c r="L3" s="19">
        <f t="shared" ref="L3:L11" si="373">K3/E3</f>
        <v>0.71286659322470503</v>
      </c>
      <c r="M3" s="34">
        <v>0</v>
      </c>
      <c r="N3" s="34">
        <v>0</v>
      </c>
      <c r="O3" s="34">
        <v>0</v>
      </c>
      <c r="P3" s="34">
        <v>111000</v>
      </c>
      <c r="Q3" s="34">
        <v>74000</v>
      </c>
      <c r="R3" s="34">
        <f t="shared" ref="R3:R18" si="374">M3+N3+O3+P3+Q3</f>
        <v>185000</v>
      </c>
      <c r="S3" s="35">
        <f t="shared" ref="S3:S18" si="375">G3+I3+R3</f>
        <v>537881</v>
      </c>
      <c r="T3" s="35">
        <f t="shared" ref="T3:T17" si="376">S3-C3</f>
        <v>172967</v>
      </c>
      <c r="U3" s="19">
        <f t="shared" ref="U3:U17" si="377">S3/C3</f>
        <v>1.4739938725288697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69"/>
        <v>0</v>
      </c>
      <c r="F4" s="13">
        <v>0</v>
      </c>
      <c r="G4" s="13">
        <v>0</v>
      </c>
      <c r="H4" s="13">
        <v>0</v>
      </c>
      <c r="I4" s="16">
        <f t="shared" si="370"/>
        <v>0</v>
      </c>
      <c r="J4" s="17">
        <f t="shared" si="371"/>
        <v>0</v>
      </c>
      <c r="K4" s="18">
        <f t="shared" si="372"/>
        <v>0</v>
      </c>
      <c r="L4" s="19" t="e">
        <f t="shared" si="373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74"/>
        <v>0</v>
      </c>
      <c r="S4" s="35">
        <f t="shared" si="375"/>
        <v>0</v>
      </c>
      <c r="T4" s="35">
        <f t="shared" si="376"/>
        <v>0</v>
      </c>
      <c r="U4" s="19" t="e">
        <f t="shared" si="377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69"/>
        <v>0</v>
      </c>
      <c r="F5" s="13">
        <v>0</v>
      </c>
      <c r="G5" s="13">
        <v>0</v>
      </c>
      <c r="H5" s="13">
        <v>0</v>
      </c>
      <c r="I5" s="16">
        <f t="shared" si="370"/>
        <v>0</v>
      </c>
      <c r="J5" s="17">
        <f t="shared" si="371"/>
        <v>0</v>
      </c>
      <c r="K5" s="18">
        <f t="shared" si="372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74"/>
        <v>0</v>
      </c>
      <c r="S5" s="35">
        <f t="shared" si="375"/>
        <v>0</v>
      </c>
      <c r="T5" s="35">
        <f t="shared" si="376"/>
        <v>0</v>
      </c>
      <c r="U5" s="19" t="e">
        <f t="shared" si="377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369"/>
        <v>484897.64917642745</v>
      </c>
      <c r="F6" s="13">
        <v>0</v>
      </c>
      <c r="G6" s="44">
        <v>309954</v>
      </c>
      <c r="H6" s="44">
        <v>0</v>
      </c>
      <c r="I6" s="16">
        <f t="shared" si="370"/>
        <v>0</v>
      </c>
      <c r="J6" s="17">
        <f t="shared" si="371"/>
        <v>114268</v>
      </c>
      <c r="K6" s="18">
        <f t="shared" si="372"/>
        <v>354286.11894911248</v>
      </c>
      <c r="L6" s="19">
        <f t="shared" si="373"/>
        <v>0.73064103228969735</v>
      </c>
      <c r="M6" s="34">
        <v>0</v>
      </c>
      <c r="N6" s="34">
        <v>0</v>
      </c>
      <c r="O6" s="34">
        <v>0</v>
      </c>
      <c r="P6" s="34">
        <v>126000</v>
      </c>
      <c r="Q6" s="34">
        <v>94500</v>
      </c>
      <c r="R6" s="34">
        <f t="shared" si="374"/>
        <v>220500</v>
      </c>
      <c r="S6" s="35">
        <f t="shared" si="375"/>
        <v>530454</v>
      </c>
      <c r="T6" s="35">
        <f t="shared" si="376"/>
        <v>106232</v>
      </c>
      <c r="U6" s="19">
        <f t="shared" si="377"/>
        <v>1.250416055744398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369"/>
        <v>126845.61176762515</v>
      </c>
      <c r="F7" s="13">
        <v>0</v>
      </c>
      <c r="G7" s="13">
        <v>113400</v>
      </c>
      <c r="H7" s="13">
        <v>0</v>
      </c>
      <c r="I7" s="16">
        <f t="shared" si="370"/>
        <v>0</v>
      </c>
      <c r="J7" s="17">
        <f t="shared" si="371"/>
        <v>86600</v>
      </c>
      <c r="K7" s="18">
        <f t="shared" si="372"/>
        <v>71921.461872243453</v>
      </c>
      <c r="L7" s="19">
        <f t="shared" si="373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74"/>
        <v>522000</v>
      </c>
      <c r="S7" s="35">
        <f t="shared" si="375"/>
        <v>635400</v>
      </c>
      <c r="T7" s="35">
        <f t="shared" si="376"/>
        <v>435400</v>
      </c>
      <c r="U7" s="19">
        <f t="shared" si="377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69"/>
        <v>162550.62446383186</v>
      </c>
      <c r="F8" s="44">
        <v>47505</v>
      </c>
      <c r="G8" s="13">
        <v>181920</v>
      </c>
      <c r="H8" s="44">
        <v>0</v>
      </c>
      <c r="I8" s="16">
        <f t="shared" si="370"/>
        <v>47505</v>
      </c>
      <c r="J8" s="17">
        <f t="shared" si="371"/>
        <v>0</v>
      </c>
      <c r="K8" s="18">
        <f t="shared" si="372"/>
        <v>162550.62446383186</v>
      </c>
      <c r="L8" s="19">
        <f t="shared" si="373"/>
        <v>1</v>
      </c>
      <c r="M8" s="34">
        <v>0</v>
      </c>
      <c r="N8" s="34">
        <v>0</v>
      </c>
      <c r="O8" s="34">
        <v>0</v>
      </c>
      <c r="P8" s="34">
        <v>43500</v>
      </c>
      <c r="Q8" s="34">
        <v>0</v>
      </c>
      <c r="R8" s="34">
        <f t="shared" si="374"/>
        <v>43500</v>
      </c>
      <c r="S8" s="35">
        <f t="shared" si="375"/>
        <v>272925</v>
      </c>
      <c r="T8" s="35">
        <f t="shared" si="376"/>
        <v>91005</v>
      </c>
      <c r="U8" s="19">
        <f t="shared" si="377"/>
        <v>1.5002473614775726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369"/>
        <v>58014.486907145576</v>
      </c>
      <c r="F9" s="13">
        <v>0</v>
      </c>
      <c r="G9" s="13">
        <v>54302</v>
      </c>
      <c r="H9" s="13">
        <v>0</v>
      </c>
      <c r="I9" s="16">
        <f t="shared" si="370"/>
        <v>0</v>
      </c>
      <c r="J9" s="17">
        <f t="shared" si="371"/>
        <v>2</v>
      </c>
      <c r="K9" s="18">
        <f t="shared" si="372"/>
        <v>58012.3502510279</v>
      </c>
      <c r="L9" s="19">
        <f t="shared" si="373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74"/>
        <v>0</v>
      </c>
      <c r="S9" s="35">
        <f t="shared" si="375"/>
        <v>54302</v>
      </c>
      <c r="T9" s="35">
        <f t="shared" si="376"/>
        <v>-2</v>
      </c>
      <c r="U9" s="19">
        <f t="shared" si="377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369"/>
        <v>1071387.0254542665</v>
      </c>
      <c r="F10" s="13">
        <v>0</v>
      </c>
      <c r="G10" s="13">
        <v>269268</v>
      </c>
      <c r="H10" s="13">
        <v>199157</v>
      </c>
      <c r="I10" s="16">
        <f t="shared" si="370"/>
        <v>199157</v>
      </c>
      <c r="J10" s="17">
        <f t="shared" si="371"/>
        <v>224532</v>
      </c>
      <c r="K10" s="18">
        <f t="shared" si="372"/>
        <v>584224.87154722447</v>
      </c>
      <c r="L10" s="19">
        <f t="shared" si="373"/>
        <v>0.54529769137302553</v>
      </c>
      <c r="M10" s="34">
        <v>0</v>
      </c>
      <c r="N10" s="34">
        <v>0</v>
      </c>
      <c r="O10" s="34">
        <v>0</v>
      </c>
      <c r="P10" s="34">
        <v>197500</v>
      </c>
      <c r="Q10" s="34">
        <v>0</v>
      </c>
      <c r="R10" s="34">
        <f t="shared" si="374"/>
        <v>197500</v>
      </c>
      <c r="S10" s="35">
        <f t="shared" si="375"/>
        <v>665925</v>
      </c>
      <c r="T10" s="35">
        <f t="shared" si="376"/>
        <v>172125</v>
      </c>
      <c r="U10" s="19">
        <f t="shared" si="377"/>
        <v>1.3485722964763063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69"/>
        <v>0</v>
      </c>
      <c r="F11" s="13">
        <v>0</v>
      </c>
      <c r="G11" s="13">
        <v>0</v>
      </c>
      <c r="H11" s="13">
        <v>0</v>
      </c>
      <c r="I11" s="16">
        <f t="shared" si="370"/>
        <v>0</v>
      </c>
      <c r="J11" s="17">
        <f t="shared" si="371"/>
        <v>0</v>
      </c>
      <c r="K11" s="18">
        <f t="shared" si="372"/>
        <v>0</v>
      </c>
      <c r="L11" s="19" t="e">
        <f t="shared" si="373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74"/>
        <v>0</v>
      </c>
      <c r="S11" s="35">
        <f t="shared" si="375"/>
        <v>0</v>
      </c>
      <c r="T11" s="35">
        <f t="shared" si="376"/>
        <v>0</v>
      </c>
      <c r="U11" s="19" t="e">
        <f t="shared" si="37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69"/>
        <v>0</v>
      </c>
      <c r="F12" s="13">
        <v>0</v>
      </c>
      <c r="G12" s="13">
        <v>0</v>
      </c>
      <c r="H12" s="13">
        <v>0</v>
      </c>
      <c r="I12" s="16">
        <f t="shared" si="370"/>
        <v>0</v>
      </c>
      <c r="J12" s="17">
        <f t="shared" si="371"/>
        <v>0</v>
      </c>
      <c r="K12" s="18">
        <f t="shared" si="372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74"/>
        <v>0</v>
      </c>
      <c r="S12" s="35">
        <f t="shared" si="375"/>
        <v>0</v>
      </c>
      <c r="T12" s="35">
        <f t="shared" si="376"/>
        <v>0</v>
      </c>
      <c r="U12" s="19" t="e">
        <f t="shared" si="37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69"/>
        <v>0</v>
      </c>
      <c r="F13" s="13">
        <v>0</v>
      </c>
      <c r="G13" s="13">
        <v>0</v>
      </c>
      <c r="H13" s="13">
        <v>0</v>
      </c>
      <c r="I13" s="16">
        <f t="shared" si="370"/>
        <v>0</v>
      </c>
      <c r="J13" s="17">
        <f t="shared" si="371"/>
        <v>0</v>
      </c>
      <c r="K13" s="18">
        <f t="shared" si="37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74"/>
        <v>0</v>
      </c>
      <c r="S13" s="35">
        <f t="shared" si="375"/>
        <v>0</v>
      </c>
      <c r="T13" s="35">
        <f t="shared" si="376"/>
        <v>0</v>
      </c>
      <c r="U13" s="19" t="e">
        <f t="shared" si="377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69"/>
        <v>0</v>
      </c>
      <c r="F14" s="13">
        <v>0</v>
      </c>
      <c r="G14" s="13">
        <v>0</v>
      </c>
      <c r="H14" s="13">
        <v>0</v>
      </c>
      <c r="I14" s="16">
        <f t="shared" si="370"/>
        <v>0</v>
      </c>
      <c r="J14" s="17">
        <f t="shared" si="371"/>
        <v>0</v>
      </c>
      <c r="K14" s="18">
        <f t="shared" si="37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74"/>
        <v>0</v>
      </c>
      <c r="S14" s="35">
        <f t="shared" si="375"/>
        <v>0</v>
      </c>
      <c r="T14" s="35">
        <f t="shared" si="376"/>
        <v>0</v>
      </c>
      <c r="U14" s="19" t="e">
        <f t="shared" si="377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69"/>
        <v>0</v>
      </c>
      <c r="F15" s="13">
        <v>0</v>
      </c>
      <c r="G15" s="13">
        <v>0</v>
      </c>
      <c r="H15" s="13">
        <v>0</v>
      </c>
      <c r="I15" s="16">
        <f t="shared" si="370"/>
        <v>0</v>
      </c>
      <c r="J15" s="17">
        <f t="shared" si="371"/>
        <v>0</v>
      </c>
      <c r="K15" s="18">
        <f t="shared" si="37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74"/>
        <v>0</v>
      </c>
      <c r="S15" s="35">
        <f t="shared" si="375"/>
        <v>0</v>
      </c>
      <c r="T15" s="35">
        <f t="shared" si="376"/>
        <v>0</v>
      </c>
      <c r="U15" s="19" t="e">
        <f t="shared" si="377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69"/>
        <v>0</v>
      </c>
      <c r="F16" s="13">
        <v>0</v>
      </c>
      <c r="G16" s="13">
        <v>0</v>
      </c>
      <c r="H16" s="13">
        <v>0</v>
      </c>
      <c r="I16" s="16">
        <f t="shared" si="370"/>
        <v>0</v>
      </c>
      <c r="J16" s="17">
        <f t="shared" si="371"/>
        <v>0</v>
      </c>
      <c r="K16" s="18">
        <f t="shared" si="372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74"/>
        <v>0</v>
      </c>
      <c r="S16" s="35">
        <f t="shared" si="375"/>
        <v>0</v>
      </c>
      <c r="T16" s="35">
        <f t="shared" si="376"/>
        <v>0</v>
      </c>
      <c r="U16" s="19" t="e">
        <f t="shared" si="377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69"/>
        <v>0</v>
      </c>
      <c r="F17" s="13">
        <v>12197</v>
      </c>
      <c r="G17" s="13">
        <v>8627</v>
      </c>
      <c r="H17" s="13">
        <v>4121</v>
      </c>
      <c r="I17" s="16">
        <f t="shared" si="370"/>
        <v>16318</v>
      </c>
      <c r="J17" s="17">
        <f t="shared" si="371"/>
        <v>-8627</v>
      </c>
      <c r="K17" s="18">
        <f t="shared" si="372"/>
        <v>26375.546284878968</v>
      </c>
      <c r="L17" s="19" t="e">
        <f t="shared" ref="L17:L18" si="378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74"/>
        <v>0</v>
      </c>
      <c r="S17" s="35">
        <f t="shared" si="375"/>
        <v>24945</v>
      </c>
      <c r="T17" s="35">
        <f t="shared" si="376"/>
        <v>24945</v>
      </c>
      <c r="U17" s="19" t="e">
        <f t="shared" si="377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79">SUM(E3:E17)</f>
        <v>2959164.6447321521</v>
      </c>
      <c r="F18" s="24">
        <f t="shared" si="379"/>
        <v>59702</v>
      </c>
      <c r="G18" s="24">
        <f t="shared" si="379"/>
        <v>1197606</v>
      </c>
      <c r="H18" s="24">
        <f t="shared" si="379"/>
        <v>296024</v>
      </c>
      <c r="I18" s="25">
        <f t="shared" si="379"/>
        <v>355726</v>
      </c>
      <c r="J18" s="26">
        <f t="shared" si="379"/>
        <v>521554</v>
      </c>
      <c r="K18" s="26">
        <f t="shared" si="379"/>
        <v>2009779.7397041747</v>
      </c>
      <c r="L18" s="27">
        <f t="shared" si="378"/>
        <v>0.67917131386452112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74"/>
        <v>0</v>
      </c>
      <c r="S18" s="35">
        <f t="shared" si="375"/>
        <v>1553332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/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CD00A1-00CE-4F3C-9FDF-00F300110068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760063-00C6-4922-8F6B-00570032003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730056-0082-49DA-9A9A-008D0044000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D3005C-00D0-4A6B-A8E1-008B00FB000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5500EB-00B9-491D-A1F0-0018004F00E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0A0084-00C1-4508-9340-005E004200E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940052-0024-4794-A1C7-00CE0011000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22" activeCellId="0" sqref="H22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97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380">C3*D3</f>
        <v>1055469.2469628558</v>
      </c>
      <c r="F3" s="13">
        <v>0</v>
      </c>
      <c r="G3" s="44">
        <v>260135</v>
      </c>
      <c r="H3" s="13">
        <v>92746</v>
      </c>
      <c r="I3" s="16">
        <f t="shared" ref="I3:I17" si="381">F3+H3</f>
        <v>92746</v>
      </c>
      <c r="J3" s="17">
        <f t="shared" ref="J3:J17" si="382">C3-G3</f>
        <v>104779</v>
      </c>
      <c r="K3" s="18">
        <f t="shared" ref="K3:K17" si="383">+G3*D3</f>
        <v>752408.76633585582</v>
      </c>
      <c r="L3" s="19">
        <f t="shared" ref="L3:L11" si="384">K3/E3</f>
        <v>0.71286659322470503</v>
      </c>
      <c r="M3" s="34">
        <v>0</v>
      </c>
      <c r="N3" s="34">
        <v>0</v>
      </c>
      <c r="O3" s="34">
        <v>0</v>
      </c>
      <c r="P3" s="34">
        <v>111000</v>
      </c>
      <c r="Q3" s="34">
        <v>74000</v>
      </c>
      <c r="R3" s="34">
        <f t="shared" ref="R3:R18" si="385">M3+N3+O3+P3+Q3</f>
        <v>185000</v>
      </c>
      <c r="S3" s="35">
        <f t="shared" ref="S3:S18" si="386">G3+I3+R3</f>
        <v>537881</v>
      </c>
      <c r="T3" s="35">
        <f t="shared" ref="T3:T17" si="387">S3-C3</f>
        <v>172967</v>
      </c>
      <c r="U3" s="19">
        <f t="shared" ref="U3:U17" si="388">S3/C3</f>
        <v>1.4739938725288697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80"/>
        <v>0</v>
      </c>
      <c r="F4" s="13">
        <v>0</v>
      </c>
      <c r="G4" s="13">
        <v>0</v>
      </c>
      <c r="H4" s="13">
        <v>0</v>
      </c>
      <c r="I4" s="16">
        <f t="shared" si="381"/>
        <v>0</v>
      </c>
      <c r="J4" s="17">
        <f t="shared" si="382"/>
        <v>0</v>
      </c>
      <c r="K4" s="18">
        <f t="shared" si="383"/>
        <v>0</v>
      </c>
      <c r="L4" s="19" t="e">
        <f t="shared" si="384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85"/>
        <v>0</v>
      </c>
      <c r="S4" s="35">
        <f t="shared" si="386"/>
        <v>0</v>
      </c>
      <c r="T4" s="35">
        <f t="shared" si="387"/>
        <v>0</v>
      </c>
      <c r="U4" s="19" t="e">
        <f t="shared" si="388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80"/>
        <v>0</v>
      </c>
      <c r="F5" s="13">
        <v>0</v>
      </c>
      <c r="G5" s="13">
        <v>0</v>
      </c>
      <c r="H5" s="13">
        <v>0</v>
      </c>
      <c r="I5" s="16">
        <f t="shared" si="381"/>
        <v>0</v>
      </c>
      <c r="J5" s="17">
        <f t="shared" si="382"/>
        <v>0</v>
      </c>
      <c r="K5" s="18">
        <f t="shared" si="383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85"/>
        <v>0</v>
      </c>
      <c r="S5" s="35">
        <f t="shared" si="386"/>
        <v>0</v>
      </c>
      <c r="T5" s="35">
        <f t="shared" si="387"/>
        <v>0</v>
      </c>
      <c r="U5" s="19" t="e">
        <f t="shared" si="388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380"/>
        <v>484897.64917642745</v>
      </c>
      <c r="F6" s="13">
        <v>0</v>
      </c>
      <c r="G6" s="44">
        <v>309954</v>
      </c>
      <c r="H6" s="44">
        <v>0</v>
      </c>
      <c r="I6" s="16">
        <f t="shared" si="381"/>
        <v>0</v>
      </c>
      <c r="J6" s="17">
        <f t="shared" si="382"/>
        <v>114268</v>
      </c>
      <c r="K6" s="18">
        <f t="shared" si="383"/>
        <v>354286.11894911248</v>
      </c>
      <c r="L6" s="19">
        <f t="shared" si="384"/>
        <v>0.73064103228969735</v>
      </c>
      <c r="M6" s="34">
        <v>0</v>
      </c>
      <c r="N6" s="34">
        <v>0</v>
      </c>
      <c r="O6" s="34">
        <v>0</v>
      </c>
      <c r="P6" s="34">
        <v>126000</v>
      </c>
      <c r="Q6" s="34">
        <v>94500</v>
      </c>
      <c r="R6" s="34">
        <f t="shared" si="385"/>
        <v>220500</v>
      </c>
      <c r="S6" s="35">
        <f t="shared" si="386"/>
        <v>530454</v>
      </c>
      <c r="T6" s="35">
        <f t="shared" si="387"/>
        <v>106232</v>
      </c>
      <c r="U6" s="19">
        <f t="shared" si="388"/>
        <v>1.250416055744398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380"/>
        <v>126845.61176762515</v>
      </c>
      <c r="F7" s="13">
        <v>0</v>
      </c>
      <c r="G7" s="13">
        <v>113400</v>
      </c>
      <c r="H7" s="13">
        <v>0</v>
      </c>
      <c r="I7" s="16">
        <f t="shared" si="381"/>
        <v>0</v>
      </c>
      <c r="J7" s="17">
        <f t="shared" si="382"/>
        <v>86600</v>
      </c>
      <c r="K7" s="18">
        <f t="shared" si="383"/>
        <v>71921.461872243453</v>
      </c>
      <c r="L7" s="19">
        <f t="shared" si="384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85"/>
        <v>522000</v>
      </c>
      <c r="S7" s="35">
        <f t="shared" si="386"/>
        <v>635400</v>
      </c>
      <c r="T7" s="35">
        <f t="shared" si="387"/>
        <v>435400</v>
      </c>
      <c r="U7" s="19">
        <f t="shared" si="388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80"/>
        <v>162550.62446383186</v>
      </c>
      <c r="F8" s="44">
        <v>47505</v>
      </c>
      <c r="G8" s="13">
        <v>181920</v>
      </c>
      <c r="H8" s="44">
        <v>0</v>
      </c>
      <c r="I8" s="16">
        <f t="shared" si="381"/>
        <v>47505</v>
      </c>
      <c r="J8" s="17">
        <f t="shared" si="382"/>
        <v>0</v>
      </c>
      <c r="K8" s="18">
        <f t="shared" si="383"/>
        <v>162550.62446383186</v>
      </c>
      <c r="L8" s="19">
        <f t="shared" si="384"/>
        <v>1</v>
      </c>
      <c r="M8" s="34">
        <v>0</v>
      </c>
      <c r="N8" s="34">
        <v>0</v>
      </c>
      <c r="O8" s="34">
        <v>0</v>
      </c>
      <c r="P8" s="34">
        <v>43500</v>
      </c>
      <c r="Q8" s="34">
        <v>0</v>
      </c>
      <c r="R8" s="34">
        <f t="shared" si="385"/>
        <v>43500</v>
      </c>
      <c r="S8" s="35">
        <f t="shared" si="386"/>
        <v>272925</v>
      </c>
      <c r="T8" s="35">
        <f t="shared" si="387"/>
        <v>91005</v>
      </c>
      <c r="U8" s="19">
        <f t="shared" si="388"/>
        <v>1.5002473614775726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380"/>
        <v>58014.486907145576</v>
      </c>
      <c r="F9" s="13">
        <v>0</v>
      </c>
      <c r="G9" s="13">
        <v>54302</v>
      </c>
      <c r="H9" s="13">
        <v>0</v>
      </c>
      <c r="I9" s="16">
        <f t="shared" si="381"/>
        <v>0</v>
      </c>
      <c r="J9" s="17">
        <f t="shared" si="382"/>
        <v>2</v>
      </c>
      <c r="K9" s="18">
        <f t="shared" si="383"/>
        <v>58012.3502510279</v>
      </c>
      <c r="L9" s="19">
        <f t="shared" si="384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85"/>
        <v>0</v>
      </c>
      <c r="S9" s="35">
        <f t="shared" si="386"/>
        <v>54302</v>
      </c>
      <c r="T9" s="35">
        <f t="shared" si="387"/>
        <v>-2</v>
      </c>
      <c r="U9" s="19">
        <f t="shared" si="388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380"/>
        <v>1071387.0254542665</v>
      </c>
      <c r="F10" s="13">
        <v>194373</v>
      </c>
      <c r="G10" s="13">
        <v>410068</v>
      </c>
      <c r="H10" s="13">
        <v>58353</v>
      </c>
      <c r="I10" s="16">
        <f t="shared" si="381"/>
        <v>252726</v>
      </c>
      <c r="J10" s="17">
        <f t="shared" si="382"/>
        <v>83732</v>
      </c>
      <c r="K10" s="18">
        <f t="shared" si="383"/>
        <v>889715.54223163251</v>
      </c>
      <c r="L10" s="19">
        <f t="shared" si="384"/>
        <v>0.83043337383556093</v>
      </c>
      <c r="M10" s="34">
        <v>0</v>
      </c>
      <c r="N10" s="34">
        <v>0</v>
      </c>
      <c r="O10" s="34">
        <v>0</v>
      </c>
      <c r="P10" s="34">
        <v>197500</v>
      </c>
      <c r="Q10" s="34">
        <v>0</v>
      </c>
      <c r="R10" s="34">
        <f t="shared" si="385"/>
        <v>197500</v>
      </c>
      <c r="S10" s="35">
        <f t="shared" si="386"/>
        <v>860294</v>
      </c>
      <c r="T10" s="35">
        <f t="shared" si="387"/>
        <v>366494</v>
      </c>
      <c r="U10" s="19">
        <f t="shared" si="388"/>
        <v>1.7421911705143782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80"/>
        <v>0</v>
      </c>
      <c r="F11" s="13">
        <v>0</v>
      </c>
      <c r="G11" s="13">
        <v>0</v>
      </c>
      <c r="H11" s="13">
        <v>0</v>
      </c>
      <c r="I11" s="16">
        <f t="shared" si="381"/>
        <v>0</v>
      </c>
      <c r="J11" s="17">
        <f t="shared" si="382"/>
        <v>0</v>
      </c>
      <c r="K11" s="18">
        <f t="shared" si="383"/>
        <v>0</v>
      </c>
      <c r="L11" s="19" t="e">
        <f t="shared" si="384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85"/>
        <v>0</v>
      </c>
      <c r="S11" s="35">
        <f t="shared" si="386"/>
        <v>0</v>
      </c>
      <c r="T11" s="35">
        <f t="shared" si="387"/>
        <v>0</v>
      </c>
      <c r="U11" s="19" t="e">
        <f t="shared" si="388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80"/>
        <v>0</v>
      </c>
      <c r="F12" s="13">
        <v>0</v>
      </c>
      <c r="G12" s="13">
        <v>0</v>
      </c>
      <c r="H12" s="13">
        <v>0</v>
      </c>
      <c r="I12" s="16">
        <f t="shared" si="381"/>
        <v>0</v>
      </c>
      <c r="J12" s="17">
        <f t="shared" si="382"/>
        <v>0</v>
      </c>
      <c r="K12" s="18">
        <f t="shared" si="383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85"/>
        <v>0</v>
      </c>
      <c r="S12" s="35">
        <f t="shared" si="386"/>
        <v>0</v>
      </c>
      <c r="T12" s="35">
        <f t="shared" si="387"/>
        <v>0</v>
      </c>
      <c r="U12" s="19" t="e">
        <f t="shared" si="38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80"/>
        <v>0</v>
      </c>
      <c r="F13" s="13">
        <v>0</v>
      </c>
      <c r="G13" s="13">
        <v>0</v>
      </c>
      <c r="H13" s="13">
        <v>0</v>
      </c>
      <c r="I13" s="16">
        <f t="shared" si="381"/>
        <v>0</v>
      </c>
      <c r="J13" s="17">
        <f t="shared" si="382"/>
        <v>0</v>
      </c>
      <c r="K13" s="18">
        <f t="shared" si="38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85"/>
        <v>0</v>
      </c>
      <c r="S13" s="35">
        <f t="shared" si="386"/>
        <v>0</v>
      </c>
      <c r="T13" s="35">
        <f t="shared" si="387"/>
        <v>0</v>
      </c>
      <c r="U13" s="19" t="e">
        <f t="shared" si="388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80"/>
        <v>0</v>
      </c>
      <c r="F14" s="13">
        <v>0</v>
      </c>
      <c r="G14" s="13">
        <v>0</v>
      </c>
      <c r="H14" s="13">
        <v>0</v>
      </c>
      <c r="I14" s="16">
        <f t="shared" si="381"/>
        <v>0</v>
      </c>
      <c r="J14" s="17">
        <f t="shared" si="382"/>
        <v>0</v>
      </c>
      <c r="K14" s="18">
        <f t="shared" si="38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85"/>
        <v>0</v>
      </c>
      <c r="S14" s="35">
        <f t="shared" si="386"/>
        <v>0</v>
      </c>
      <c r="T14" s="35">
        <f t="shared" si="387"/>
        <v>0</v>
      </c>
      <c r="U14" s="19" t="e">
        <f t="shared" si="388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80"/>
        <v>0</v>
      </c>
      <c r="F15" s="13">
        <v>0</v>
      </c>
      <c r="G15" s="13">
        <v>0</v>
      </c>
      <c r="H15" s="13">
        <v>0</v>
      </c>
      <c r="I15" s="16">
        <f t="shared" si="381"/>
        <v>0</v>
      </c>
      <c r="J15" s="17">
        <f t="shared" si="382"/>
        <v>0</v>
      </c>
      <c r="K15" s="18">
        <f t="shared" si="38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85"/>
        <v>0</v>
      </c>
      <c r="S15" s="35">
        <f t="shared" si="386"/>
        <v>0</v>
      </c>
      <c r="T15" s="35">
        <f t="shared" si="387"/>
        <v>0</v>
      </c>
      <c r="U15" s="19" t="e">
        <f t="shared" si="388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80"/>
        <v>0</v>
      </c>
      <c r="F16" s="13">
        <v>0</v>
      </c>
      <c r="G16" s="13">
        <v>0</v>
      </c>
      <c r="H16" s="13">
        <v>0</v>
      </c>
      <c r="I16" s="16">
        <f t="shared" si="381"/>
        <v>0</v>
      </c>
      <c r="J16" s="17">
        <f t="shared" si="382"/>
        <v>0</v>
      </c>
      <c r="K16" s="18">
        <f t="shared" si="383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85"/>
        <v>0</v>
      </c>
      <c r="S16" s="35">
        <f t="shared" si="386"/>
        <v>0</v>
      </c>
      <c r="T16" s="35">
        <f t="shared" si="387"/>
        <v>0</v>
      </c>
      <c r="U16" s="19" t="e">
        <f t="shared" si="388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80"/>
        <v>0</v>
      </c>
      <c r="F17" s="13">
        <v>12197</v>
      </c>
      <c r="G17" s="13">
        <v>8627</v>
      </c>
      <c r="H17" s="13">
        <v>4121</v>
      </c>
      <c r="I17" s="16">
        <f t="shared" si="381"/>
        <v>16318</v>
      </c>
      <c r="J17" s="17">
        <f t="shared" si="382"/>
        <v>-8627</v>
      </c>
      <c r="K17" s="18">
        <f t="shared" si="383"/>
        <v>26375.546284878968</v>
      </c>
      <c r="L17" s="19" t="e">
        <f t="shared" ref="L17:L18" si="389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85"/>
        <v>0</v>
      </c>
      <c r="S17" s="35">
        <f t="shared" si="386"/>
        <v>24945</v>
      </c>
      <c r="T17" s="35">
        <f t="shared" si="387"/>
        <v>24945</v>
      </c>
      <c r="U17" s="19" t="e">
        <f t="shared" si="388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390">SUM(E3:E17)</f>
        <v>2959164.6447321521</v>
      </c>
      <c r="F18" s="24">
        <f t="shared" si="390"/>
        <v>254075</v>
      </c>
      <c r="G18" s="24">
        <f t="shared" si="390"/>
        <v>1338406</v>
      </c>
      <c r="H18" s="24">
        <f t="shared" si="390"/>
        <v>155220</v>
      </c>
      <c r="I18" s="25">
        <f t="shared" si="390"/>
        <v>409295</v>
      </c>
      <c r="J18" s="26">
        <f t="shared" si="390"/>
        <v>380754</v>
      </c>
      <c r="K18" s="26">
        <f t="shared" si="390"/>
        <v>2315270.4103885829</v>
      </c>
      <c r="L18" s="27">
        <f t="shared" si="389"/>
        <v>0.78240675607901122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85"/>
        <v>0</v>
      </c>
      <c r="S18" s="35">
        <f t="shared" si="386"/>
        <v>1747701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/>
      <c r="F22" s="42"/>
      <c r="G22" s="42"/>
    </row>
    <row r="23" ht="16.5">
      <c r="B23" s="48" t="s">
        <v>64</v>
      </c>
      <c r="C23" s="49" t="s">
        <v>91</v>
      </c>
      <c r="D23" s="28"/>
      <c r="E23" s="45"/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/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8F005E-0053-46AE-B788-00F700DE001F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1A0015-0098-4E2F-AB87-00AD007600A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3A00EC-00AC-4434-8782-0028007300D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FD00E6-006C-40DE-8C22-001900BA00B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D30087-00E6-4C31-ADAD-008800DD004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A600A5-00A8-4FCC-97F2-00930034005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38008A-0074-427A-8362-008800CE001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12" activeCellId="0" sqref="F12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98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391">C3*D3</f>
        <v>1055469.2469628558</v>
      </c>
      <c r="F3" s="13">
        <v>0</v>
      </c>
      <c r="G3" s="44">
        <v>352881</v>
      </c>
      <c r="H3" s="13">
        <v>37382</v>
      </c>
      <c r="I3" s="16">
        <f t="shared" ref="I3:I17" si="392">F3+H3</f>
        <v>37382</v>
      </c>
      <c r="J3" s="17">
        <f t="shared" ref="J3:J17" si="393">C3-G3</f>
        <v>12033</v>
      </c>
      <c r="K3" s="18">
        <f t="shared" ref="K3:K17" si="394">+G3*D3</f>
        <v>1020665.2617808566</v>
      </c>
      <c r="L3" s="19">
        <f t="shared" ref="L3:L11" si="395">K3/E3</f>
        <v>0.96702510728555224</v>
      </c>
      <c r="M3" s="34">
        <v>0</v>
      </c>
      <c r="N3" s="34">
        <v>0</v>
      </c>
      <c r="O3" s="34">
        <v>0</v>
      </c>
      <c r="P3" s="34">
        <v>111000</v>
      </c>
      <c r="Q3" s="34">
        <v>74000</v>
      </c>
      <c r="R3" s="34">
        <f t="shared" ref="R3:R18" si="396">M3+N3+O3+P3+Q3</f>
        <v>185000</v>
      </c>
      <c r="S3" s="35">
        <f t="shared" ref="S3:S18" si="397">G3+I3+R3</f>
        <v>575263</v>
      </c>
      <c r="T3" s="35">
        <f t="shared" ref="T3:T17" si="398">S3-C3</f>
        <v>210349</v>
      </c>
      <c r="U3" s="19">
        <f t="shared" ref="U3:U17" si="399">S3/C3</f>
        <v>1.5764344475684682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391"/>
        <v>0</v>
      </c>
      <c r="F4" s="13">
        <v>0</v>
      </c>
      <c r="G4" s="13">
        <v>0</v>
      </c>
      <c r="H4" s="13">
        <v>0</v>
      </c>
      <c r="I4" s="16">
        <f t="shared" si="392"/>
        <v>0</v>
      </c>
      <c r="J4" s="17">
        <f t="shared" si="393"/>
        <v>0</v>
      </c>
      <c r="K4" s="18">
        <f t="shared" si="394"/>
        <v>0</v>
      </c>
      <c r="L4" s="19" t="e">
        <f t="shared" si="395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396"/>
        <v>0</v>
      </c>
      <c r="S4" s="35">
        <f t="shared" si="397"/>
        <v>0</v>
      </c>
      <c r="T4" s="35">
        <f t="shared" si="398"/>
        <v>0</v>
      </c>
      <c r="U4" s="19" t="e">
        <f t="shared" si="399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91"/>
        <v>0</v>
      </c>
      <c r="F5" s="13">
        <v>0</v>
      </c>
      <c r="G5" s="13">
        <v>0</v>
      </c>
      <c r="H5" s="13">
        <v>0</v>
      </c>
      <c r="I5" s="16">
        <f t="shared" si="392"/>
        <v>0</v>
      </c>
      <c r="J5" s="17">
        <f t="shared" si="393"/>
        <v>0</v>
      </c>
      <c r="K5" s="18">
        <f t="shared" si="394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396"/>
        <v>0</v>
      </c>
      <c r="S5" s="35">
        <f t="shared" si="397"/>
        <v>0</v>
      </c>
      <c r="T5" s="35">
        <f t="shared" si="398"/>
        <v>0</v>
      </c>
      <c r="U5" s="19" t="e">
        <f t="shared" si="399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391"/>
        <v>484897.64917642745</v>
      </c>
      <c r="F6" s="13">
        <v>0</v>
      </c>
      <c r="G6" s="44">
        <v>309954</v>
      </c>
      <c r="H6" s="44">
        <v>0</v>
      </c>
      <c r="I6" s="16">
        <f t="shared" si="392"/>
        <v>0</v>
      </c>
      <c r="J6" s="17">
        <f t="shared" si="393"/>
        <v>114268</v>
      </c>
      <c r="K6" s="18">
        <f t="shared" si="394"/>
        <v>354286.11894911248</v>
      </c>
      <c r="L6" s="19">
        <f t="shared" si="395"/>
        <v>0.73064103228969735</v>
      </c>
      <c r="M6" s="34">
        <v>0</v>
      </c>
      <c r="N6" s="34">
        <v>0</v>
      </c>
      <c r="O6" s="34">
        <v>0</v>
      </c>
      <c r="P6" s="34">
        <v>126000</v>
      </c>
      <c r="Q6" s="34">
        <v>94500</v>
      </c>
      <c r="R6" s="34">
        <f t="shared" si="396"/>
        <v>220500</v>
      </c>
      <c r="S6" s="35">
        <f t="shared" si="397"/>
        <v>530454</v>
      </c>
      <c r="T6" s="35">
        <f t="shared" si="398"/>
        <v>106232</v>
      </c>
      <c r="U6" s="19">
        <f t="shared" si="399"/>
        <v>1.250416055744398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391"/>
        <v>126845.61176762515</v>
      </c>
      <c r="F7" s="13">
        <v>0</v>
      </c>
      <c r="G7" s="13">
        <v>113400</v>
      </c>
      <c r="H7" s="13">
        <v>0</v>
      </c>
      <c r="I7" s="16">
        <f t="shared" si="392"/>
        <v>0</v>
      </c>
      <c r="J7" s="17">
        <f t="shared" si="393"/>
        <v>86600</v>
      </c>
      <c r="K7" s="18">
        <f t="shared" si="394"/>
        <v>71921.461872243453</v>
      </c>
      <c r="L7" s="19">
        <f t="shared" si="395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396"/>
        <v>522000</v>
      </c>
      <c r="S7" s="35">
        <f t="shared" si="397"/>
        <v>635400</v>
      </c>
      <c r="T7" s="35">
        <f t="shared" si="398"/>
        <v>435400</v>
      </c>
      <c r="U7" s="19">
        <f t="shared" si="399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391"/>
        <v>162550.62446383186</v>
      </c>
      <c r="F8" s="44">
        <v>47505</v>
      </c>
      <c r="G8" s="13">
        <v>181920</v>
      </c>
      <c r="H8" s="44">
        <v>0</v>
      </c>
      <c r="I8" s="16">
        <f t="shared" si="392"/>
        <v>47505</v>
      </c>
      <c r="J8" s="17">
        <f t="shared" si="393"/>
        <v>0</v>
      </c>
      <c r="K8" s="18">
        <f t="shared" si="394"/>
        <v>162550.62446383186</v>
      </c>
      <c r="L8" s="19">
        <f t="shared" si="395"/>
        <v>1</v>
      </c>
      <c r="M8" s="34">
        <v>0</v>
      </c>
      <c r="N8" s="34">
        <v>0</v>
      </c>
      <c r="O8" s="34">
        <v>0</v>
      </c>
      <c r="P8" s="34">
        <v>43500</v>
      </c>
      <c r="Q8" s="34">
        <v>0</v>
      </c>
      <c r="R8" s="34">
        <f t="shared" si="396"/>
        <v>43500</v>
      </c>
      <c r="S8" s="35">
        <f t="shared" si="397"/>
        <v>272925</v>
      </c>
      <c r="T8" s="35">
        <f t="shared" si="398"/>
        <v>91005</v>
      </c>
      <c r="U8" s="19">
        <f t="shared" si="399"/>
        <v>1.5002473614775726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391"/>
        <v>58014.486907145576</v>
      </c>
      <c r="F9" s="13">
        <v>0</v>
      </c>
      <c r="G9" s="13">
        <v>54302</v>
      </c>
      <c r="H9" s="13">
        <v>0</v>
      </c>
      <c r="I9" s="16">
        <f t="shared" si="392"/>
        <v>0</v>
      </c>
      <c r="J9" s="17">
        <f t="shared" si="393"/>
        <v>2</v>
      </c>
      <c r="K9" s="18">
        <f t="shared" si="394"/>
        <v>58012.3502510279</v>
      </c>
      <c r="L9" s="19">
        <f t="shared" si="395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396"/>
        <v>0</v>
      </c>
      <c r="S9" s="35">
        <f t="shared" si="397"/>
        <v>54302</v>
      </c>
      <c r="T9" s="35">
        <f t="shared" si="398"/>
        <v>-2</v>
      </c>
      <c r="U9" s="19">
        <f t="shared" si="399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391"/>
        <v>1071387.0254542665</v>
      </c>
      <c r="F10" s="13">
        <v>144373</v>
      </c>
      <c r="G10" s="13">
        <v>445268</v>
      </c>
      <c r="H10" s="13">
        <v>73153</v>
      </c>
      <c r="I10" s="16">
        <f t="shared" si="392"/>
        <v>217526</v>
      </c>
      <c r="J10" s="17">
        <f t="shared" si="393"/>
        <v>48532</v>
      </c>
      <c r="K10" s="18">
        <f t="shared" si="394"/>
        <v>966088.20990273461</v>
      </c>
      <c r="L10" s="19">
        <f t="shared" si="395"/>
        <v>0.90171729445119486</v>
      </c>
      <c r="M10" s="34">
        <v>0</v>
      </c>
      <c r="N10" s="34">
        <v>0</v>
      </c>
      <c r="O10" s="34">
        <v>0</v>
      </c>
      <c r="P10" s="34">
        <v>197500</v>
      </c>
      <c r="Q10" s="34">
        <v>0</v>
      </c>
      <c r="R10" s="34">
        <f t="shared" si="396"/>
        <v>197500</v>
      </c>
      <c r="S10" s="35">
        <f t="shared" si="397"/>
        <v>860294</v>
      </c>
      <c r="T10" s="35">
        <f t="shared" si="398"/>
        <v>366494</v>
      </c>
      <c r="U10" s="19">
        <f t="shared" si="399"/>
        <v>1.7421911705143782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391"/>
        <v>0</v>
      </c>
      <c r="F11" s="13">
        <v>0</v>
      </c>
      <c r="G11" s="13">
        <v>0</v>
      </c>
      <c r="H11" s="13">
        <v>0</v>
      </c>
      <c r="I11" s="16">
        <f t="shared" si="392"/>
        <v>0</v>
      </c>
      <c r="J11" s="17">
        <f t="shared" si="393"/>
        <v>0</v>
      </c>
      <c r="K11" s="18">
        <f t="shared" si="394"/>
        <v>0</v>
      </c>
      <c r="L11" s="19" t="e">
        <f t="shared" si="395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396"/>
        <v>0</v>
      </c>
      <c r="S11" s="35">
        <f t="shared" si="397"/>
        <v>0</v>
      </c>
      <c r="T11" s="35">
        <f t="shared" si="398"/>
        <v>0</v>
      </c>
      <c r="U11" s="19" t="e">
        <f t="shared" si="39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91"/>
        <v>0</v>
      </c>
      <c r="F12" s="13">
        <v>0</v>
      </c>
      <c r="G12" s="13">
        <v>0</v>
      </c>
      <c r="H12" s="13">
        <v>0</v>
      </c>
      <c r="I12" s="16">
        <f t="shared" si="392"/>
        <v>0</v>
      </c>
      <c r="J12" s="17">
        <f t="shared" si="393"/>
        <v>0</v>
      </c>
      <c r="K12" s="18">
        <f t="shared" si="394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396"/>
        <v>0</v>
      </c>
      <c r="S12" s="35">
        <f t="shared" si="397"/>
        <v>0</v>
      </c>
      <c r="T12" s="35">
        <f t="shared" si="398"/>
        <v>0</v>
      </c>
      <c r="U12" s="19" t="e">
        <f t="shared" si="39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91"/>
        <v>0</v>
      </c>
      <c r="F13" s="13">
        <v>0</v>
      </c>
      <c r="G13" s="13">
        <v>0</v>
      </c>
      <c r="H13" s="13">
        <v>0</v>
      </c>
      <c r="I13" s="16">
        <f t="shared" si="392"/>
        <v>0</v>
      </c>
      <c r="J13" s="17">
        <f t="shared" si="393"/>
        <v>0</v>
      </c>
      <c r="K13" s="18">
        <f t="shared" si="39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396"/>
        <v>0</v>
      </c>
      <c r="S13" s="35">
        <f t="shared" si="397"/>
        <v>0</v>
      </c>
      <c r="T13" s="35">
        <f t="shared" si="398"/>
        <v>0</v>
      </c>
      <c r="U13" s="19" t="e">
        <f t="shared" si="399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91"/>
        <v>0</v>
      </c>
      <c r="F14" s="13">
        <v>0</v>
      </c>
      <c r="G14" s="13">
        <v>0</v>
      </c>
      <c r="H14" s="13">
        <v>0</v>
      </c>
      <c r="I14" s="16">
        <f t="shared" si="392"/>
        <v>0</v>
      </c>
      <c r="J14" s="17">
        <f t="shared" si="393"/>
        <v>0</v>
      </c>
      <c r="K14" s="18">
        <f t="shared" si="39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396"/>
        <v>0</v>
      </c>
      <c r="S14" s="35">
        <f t="shared" si="397"/>
        <v>0</v>
      </c>
      <c r="T14" s="35">
        <f t="shared" si="398"/>
        <v>0</v>
      </c>
      <c r="U14" s="19" t="e">
        <f t="shared" si="399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91"/>
        <v>0</v>
      </c>
      <c r="F15" s="13">
        <v>0</v>
      </c>
      <c r="G15" s="13">
        <v>0</v>
      </c>
      <c r="H15" s="13">
        <v>0</v>
      </c>
      <c r="I15" s="16">
        <f t="shared" si="392"/>
        <v>0</v>
      </c>
      <c r="J15" s="17">
        <f t="shared" si="393"/>
        <v>0</v>
      </c>
      <c r="K15" s="18">
        <f t="shared" si="39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396"/>
        <v>0</v>
      </c>
      <c r="S15" s="35">
        <f t="shared" si="397"/>
        <v>0</v>
      </c>
      <c r="T15" s="35">
        <f t="shared" si="398"/>
        <v>0</v>
      </c>
      <c r="U15" s="19" t="e">
        <f t="shared" si="399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91"/>
        <v>0</v>
      </c>
      <c r="F16" s="13">
        <v>0</v>
      </c>
      <c r="G16" s="13">
        <v>0</v>
      </c>
      <c r="H16" s="13">
        <v>0</v>
      </c>
      <c r="I16" s="16">
        <f t="shared" si="392"/>
        <v>0</v>
      </c>
      <c r="J16" s="17">
        <f t="shared" si="393"/>
        <v>0</v>
      </c>
      <c r="K16" s="18">
        <f t="shared" si="394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396"/>
        <v>0</v>
      </c>
      <c r="S16" s="35">
        <f t="shared" si="397"/>
        <v>0</v>
      </c>
      <c r="T16" s="35">
        <f t="shared" si="398"/>
        <v>0</v>
      </c>
      <c r="U16" s="19" t="e">
        <f t="shared" si="399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391"/>
        <v>0</v>
      </c>
      <c r="F17" s="13">
        <v>0</v>
      </c>
      <c r="G17" s="13">
        <v>8627</v>
      </c>
      <c r="H17" s="13">
        <v>16318</v>
      </c>
      <c r="I17" s="16">
        <f t="shared" si="392"/>
        <v>16318</v>
      </c>
      <c r="J17" s="17">
        <f t="shared" si="393"/>
        <v>-8627</v>
      </c>
      <c r="K17" s="18">
        <f t="shared" si="394"/>
        <v>26375.546284878968</v>
      </c>
      <c r="L17" s="19" t="e">
        <f t="shared" ref="L17:L18" si="400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396"/>
        <v>0</v>
      </c>
      <c r="S17" s="35">
        <f t="shared" si="397"/>
        <v>24945</v>
      </c>
      <c r="T17" s="35">
        <f t="shared" si="398"/>
        <v>24945</v>
      </c>
      <c r="U17" s="19" t="e">
        <f t="shared" si="399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01">SUM(E3:E17)</f>
        <v>2959164.6447321521</v>
      </c>
      <c r="F18" s="24">
        <f t="shared" si="401"/>
        <v>191878</v>
      </c>
      <c r="G18" s="24">
        <f t="shared" si="401"/>
        <v>1466352</v>
      </c>
      <c r="H18" s="24">
        <f t="shared" si="401"/>
        <v>126853</v>
      </c>
      <c r="I18" s="25">
        <f t="shared" si="401"/>
        <v>318731</v>
      </c>
      <c r="J18" s="26">
        <f t="shared" si="401"/>
        <v>252808</v>
      </c>
      <c r="K18" s="26">
        <f t="shared" si="401"/>
        <v>2659899.5735046859</v>
      </c>
      <c r="L18" s="27">
        <f t="shared" si="400"/>
        <v>0.89886839457878354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396"/>
        <v>0</v>
      </c>
      <c r="S18" s="35">
        <f t="shared" si="397"/>
        <v>1785083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/>
      <c r="G21" s="42"/>
    </row>
    <row r="22" ht="16.5">
      <c r="B22" s="48" t="s">
        <v>64</v>
      </c>
      <c r="C22" s="49" t="s">
        <v>64</v>
      </c>
      <c r="D22" s="28"/>
      <c r="E22" s="45" t="s">
        <v>64</v>
      </c>
      <c r="F22" s="42"/>
      <c r="G22" s="42"/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59000A-0070-490F-AF22-008A00A3002E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D40052-00D9-4378-A3C0-00510092004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AA0080-0004-4E8E-AA6A-005F00E6000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AC0085-0084-4C7D-AFE6-00FA000900D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CE0090-00C2-4B80-9F47-00B80010002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C800A0-00A0-4DBB-9F0B-004D00E2005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D600BE-0023-4404-BDB0-00A200FF008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C12" activeCellId="0" sqref="C12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99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02">C3*D3</f>
        <v>1055469.2469628558</v>
      </c>
      <c r="F3" s="13">
        <v>37098</v>
      </c>
      <c r="G3" s="44">
        <v>390263</v>
      </c>
      <c r="H3" s="13">
        <v>0</v>
      </c>
      <c r="I3" s="16">
        <f t="shared" ref="I3:I17" si="403">F3+H3</f>
        <v>37098</v>
      </c>
      <c r="J3" s="17">
        <f t="shared" ref="J3:J17" si="404">C3-G3</f>
        <v>-25349</v>
      </c>
      <c r="K3" s="18">
        <f t="shared" ref="K3:K17" si="405">+G3*D3</f>
        <v>1128788.1383763435</v>
      </c>
      <c r="L3" s="19">
        <f t="shared" ref="L3:L11" si="406">K3/E3</f>
        <v>1.0694656823251507</v>
      </c>
      <c r="M3" s="34">
        <v>0</v>
      </c>
      <c r="N3" s="34">
        <v>0</v>
      </c>
      <c r="O3" s="34">
        <v>0</v>
      </c>
      <c r="P3" s="34">
        <v>111000</v>
      </c>
      <c r="Q3" s="34">
        <v>74000</v>
      </c>
      <c r="R3" s="34">
        <f t="shared" ref="R3:R18" si="407">M3+N3+O3+P3+Q3</f>
        <v>185000</v>
      </c>
      <c r="S3" s="35">
        <f t="shared" ref="S3:S18" si="408">G3+I3+R3</f>
        <v>612361</v>
      </c>
      <c r="T3" s="35">
        <f t="shared" ref="T3:T17" si="409">S3-C3</f>
        <v>247447</v>
      </c>
      <c r="U3" s="19">
        <f t="shared" ref="U3:U17" si="410">S3/C3</f>
        <v>1.6780967570441254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02"/>
        <v>0</v>
      </c>
      <c r="F4" s="13">
        <v>0</v>
      </c>
      <c r="G4" s="13">
        <v>0</v>
      </c>
      <c r="H4" s="13">
        <v>0</v>
      </c>
      <c r="I4" s="16">
        <f t="shared" si="403"/>
        <v>0</v>
      </c>
      <c r="J4" s="17">
        <f t="shared" si="404"/>
        <v>0</v>
      </c>
      <c r="K4" s="18">
        <f t="shared" si="405"/>
        <v>0</v>
      </c>
      <c r="L4" s="19" t="e">
        <f t="shared" si="406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07"/>
        <v>0</v>
      </c>
      <c r="S4" s="35">
        <f t="shared" si="408"/>
        <v>0</v>
      </c>
      <c r="T4" s="35">
        <f t="shared" si="409"/>
        <v>0</v>
      </c>
      <c r="U4" s="19" t="e">
        <f t="shared" si="410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02"/>
        <v>0</v>
      </c>
      <c r="F5" s="13">
        <v>0</v>
      </c>
      <c r="G5" s="13">
        <v>0</v>
      </c>
      <c r="H5" s="13">
        <v>0</v>
      </c>
      <c r="I5" s="16">
        <f t="shared" si="403"/>
        <v>0</v>
      </c>
      <c r="J5" s="17">
        <f t="shared" si="404"/>
        <v>0</v>
      </c>
      <c r="K5" s="18">
        <f t="shared" si="405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07"/>
        <v>0</v>
      </c>
      <c r="S5" s="35">
        <f t="shared" si="408"/>
        <v>0</v>
      </c>
      <c r="T5" s="35">
        <f t="shared" si="409"/>
        <v>0</v>
      </c>
      <c r="U5" s="19" t="e">
        <f t="shared" si="410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02"/>
        <v>484897.64917642745</v>
      </c>
      <c r="F6" s="13">
        <v>31538</v>
      </c>
      <c r="G6" s="44">
        <v>309954</v>
      </c>
      <c r="H6" s="44">
        <v>0</v>
      </c>
      <c r="I6" s="16">
        <f t="shared" si="403"/>
        <v>31538</v>
      </c>
      <c r="J6" s="17">
        <f t="shared" si="404"/>
        <v>114268</v>
      </c>
      <c r="K6" s="18">
        <f t="shared" si="405"/>
        <v>354286.11894911248</v>
      </c>
      <c r="L6" s="19">
        <f t="shared" si="406"/>
        <v>0.73064103228969735</v>
      </c>
      <c r="M6" s="34">
        <v>0</v>
      </c>
      <c r="N6" s="34">
        <v>0</v>
      </c>
      <c r="O6" s="34">
        <v>0</v>
      </c>
      <c r="P6" s="34">
        <v>126000</v>
      </c>
      <c r="Q6" s="34">
        <v>94500</v>
      </c>
      <c r="R6" s="34">
        <f t="shared" si="407"/>
        <v>220500</v>
      </c>
      <c r="S6" s="35">
        <f t="shared" si="408"/>
        <v>561992</v>
      </c>
      <c r="T6" s="35">
        <f t="shared" si="409"/>
        <v>137770</v>
      </c>
      <c r="U6" s="19">
        <f t="shared" si="410"/>
        <v>1.3247592062646445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02"/>
        <v>126845.61176762515</v>
      </c>
      <c r="F7" s="13">
        <v>0</v>
      </c>
      <c r="G7" s="13">
        <v>113400</v>
      </c>
      <c r="H7" s="13">
        <v>0</v>
      </c>
      <c r="I7" s="16">
        <f t="shared" si="403"/>
        <v>0</v>
      </c>
      <c r="J7" s="17">
        <f t="shared" si="404"/>
        <v>86600</v>
      </c>
      <c r="K7" s="18">
        <f t="shared" si="405"/>
        <v>71921.461872243453</v>
      </c>
      <c r="L7" s="19">
        <f t="shared" si="406"/>
        <v>0.56699999999999995</v>
      </c>
      <c r="M7" s="34">
        <v>0</v>
      </c>
      <c r="N7" s="34">
        <v>0</v>
      </c>
      <c r="O7" s="34">
        <v>0</v>
      </c>
      <c r="P7" s="34">
        <f>6*87000</f>
        <v>522000</v>
      </c>
      <c r="Q7" s="34">
        <v>0</v>
      </c>
      <c r="R7" s="34">
        <f t="shared" si="407"/>
        <v>522000</v>
      </c>
      <c r="S7" s="35">
        <f t="shared" si="408"/>
        <v>635400</v>
      </c>
      <c r="T7" s="35">
        <f t="shared" si="409"/>
        <v>435400</v>
      </c>
      <c r="U7" s="19">
        <f t="shared" si="410"/>
        <v>3.177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02"/>
        <v>162550.62446383186</v>
      </c>
      <c r="F8" s="44">
        <v>89495</v>
      </c>
      <c r="G8" s="13">
        <v>181920</v>
      </c>
      <c r="H8" s="44">
        <v>0</v>
      </c>
      <c r="I8" s="16">
        <f t="shared" si="403"/>
        <v>89495</v>
      </c>
      <c r="J8" s="17">
        <f t="shared" si="404"/>
        <v>0</v>
      </c>
      <c r="K8" s="18">
        <f t="shared" si="405"/>
        <v>162550.62446383186</v>
      </c>
      <c r="L8" s="19">
        <f t="shared" si="406"/>
        <v>1</v>
      </c>
      <c r="M8" s="34">
        <v>0</v>
      </c>
      <c r="N8" s="34">
        <v>0</v>
      </c>
      <c r="O8" s="34">
        <v>0</v>
      </c>
      <c r="P8" s="34">
        <v>43500</v>
      </c>
      <c r="Q8" s="34">
        <v>0</v>
      </c>
      <c r="R8" s="34">
        <f t="shared" si="407"/>
        <v>43500</v>
      </c>
      <c r="S8" s="35">
        <f t="shared" si="408"/>
        <v>314915</v>
      </c>
      <c r="T8" s="35">
        <f t="shared" si="409"/>
        <v>132995</v>
      </c>
      <c r="U8" s="19">
        <f t="shared" si="410"/>
        <v>1.7310631046613896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02"/>
        <v>58014.486907145576</v>
      </c>
      <c r="F9" s="13">
        <v>0</v>
      </c>
      <c r="G9" s="13">
        <v>54302</v>
      </c>
      <c r="H9" s="13">
        <v>0</v>
      </c>
      <c r="I9" s="16">
        <f t="shared" si="403"/>
        <v>0</v>
      </c>
      <c r="J9" s="17">
        <f t="shared" si="404"/>
        <v>2</v>
      </c>
      <c r="K9" s="18">
        <f t="shared" si="405"/>
        <v>58012.3502510279</v>
      </c>
      <c r="L9" s="19">
        <f t="shared" si="406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407"/>
        <v>0</v>
      </c>
      <c r="S9" s="35">
        <f t="shared" si="408"/>
        <v>54302</v>
      </c>
      <c r="T9" s="35">
        <f t="shared" si="409"/>
        <v>-2</v>
      </c>
      <c r="U9" s="19">
        <f t="shared" si="410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02"/>
        <v>1071387.0254542665</v>
      </c>
      <c r="F10" s="13">
        <v>144377</v>
      </c>
      <c r="G10" s="13">
        <v>468421</v>
      </c>
      <c r="H10" s="13">
        <v>50000</v>
      </c>
      <c r="I10" s="16">
        <f t="shared" si="403"/>
        <v>194377</v>
      </c>
      <c r="J10" s="17">
        <f t="shared" si="404"/>
        <v>25379</v>
      </c>
      <c r="K10" s="18">
        <f t="shared" si="405"/>
        <v>1016322.7659990137</v>
      </c>
      <c r="L10" s="19">
        <f t="shared" si="406"/>
        <v>0.94860469825840421</v>
      </c>
      <c r="M10" s="34">
        <v>0</v>
      </c>
      <c r="N10" s="34">
        <v>0</v>
      </c>
      <c r="O10" s="34">
        <v>0</v>
      </c>
      <c r="P10" s="34">
        <v>197500</v>
      </c>
      <c r="Q10" s="34">
        <v>0</v>
      </c>
      <c r="R10" s="34">
        <f t="shared" si="407"/>
        <v>197500</v>
      </c>
      <c r="S10" s="35">
        <f t="shared" si="408"/>
        <v>860298</v>
      </c>
      <c r="T10" s="35">
        <f t="shared" si="409"/>
        <v>366498</v>
      </c>
      <c r="U10" s="19">
        <f t="shared" si="410"/>
        <v>1.7421992709599028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02"/>
        <v>0</v>
      </c>
      <c r="F11" s="13">
        <v>0</v>
      </c>
      <c r="G11" s="13">
        <v>0</v>
      </c>
      <c r="H11" s="13">
        <v>0</v>
      </c>
      <c r="I11" s="16">
        <f t="shared" si="403"/>
        <v>0</v>
      </c>
      <c r="J11" s="17">
        <f t="shared" si="404"/>
        <v>0</v>
      </c>
      <c r="K11" s="18">
        <f t="shared" si="405"/>
        <v>0</v>
      </c>
      <c r="L11" s="19" t="e">
        <f t="shared" si="406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07"/>
        <v>0</v>
      </c>
      <c r="S11" s="35">
        <f t="shared" si="408"/>
        <v>0</v>
      </c>
      <c r="T11" s="35">
        <f t="shared" si="409"/>
        <v>0</v>
      </c>
      <c r="U11" s="19" t="e">
        <f t="shared" si="410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02"/>
        <v>0</v>
      </c>
      <c r="F12" s="13">
        <v>0</v>
      </c>
      <c r="G12" s="13">
        <v>0</v>
      </c>
      <c r="H12" s="13">
        <v>0</v>
      </c>
      <c r="I12" s="16">
        <f t="shared" si="403"/>
        <v>0</v>
      </c>
      <c r="J12" s="17">
        <f t="shared" si="404"/>
        <v>0</v>
      </c>
      <c r="K12" s="18">
        <f t="shared" si="405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07"/>
        <v>0</v>
      </c>
      <c r="S12" s="35">
        <f t="shared" si="408"/>
        <v>0</v>
      </c>
      <c r="T12" s="35">
        <f t="shared" si="409"/>
        <v>0</v>
      </c>
      <c r="U12" s="19" t="e">
        <f t="shared" si="41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02"/>
        <v>0</v>
      </c>
      <c r="F13" s="13">
        <v>0</v>
      </c>
      <c r="G13" s="13">
        <v>0</v>
      </c>
      <c r="H13" s="13">
        <v>0</v>
      </c>
      <c r="I13" s="16">
        <f t="shared" si="403"/>
        <v>0</v>
      </c>
      <c r="J13" s="17">
        <f t="shared" si="404"/>
        <v>0</v>
      </c>
      <c r="K13" s="18">
        <f t="shared" si="40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07"/>
        <v>0</v>
      </c>
      <c r="S13" s="35">
        <f t="shared" si="408"/>
        <v>0</v>
      </c>
      <c r="T13" s="35">
        <f t="shared" si="409"/>
        <v>0</v>
      </c>
      <c r="U13" s="19" t="e">
        <f t="shared" si="410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02"/>
        <v>0</v>
      </c>
      <c r="F14" s="13">
        <v>0</v>
      </c>
      <c r="G14" s="13">
        <v>0</v>
      </c>
      <c r="H14" s="13">
        <v>0</v>
      </c>
      <c r="I14" s="16">
        <f t="shared" si="403"/>
        <v>0</v>
      </c>
      <c r="J14" s="17">
        <f t="shared" si="404"/>
        <v>0</v>
      </c>
      <c r="K14" s="18">
        <f t="shared" si="40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07"/>
        <v>0</v>
      </c>
      <c r="S14" s="35">
        <f t="shared" si="408"/>
        <v>0</v>
      </c>
      <c r="T14" s="35">
        <f t="shared" si="409"/>
        <v>0</v>
      </c>
      <c r="U14" s="19" t="e">
        <f t="shared" si="410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02"/>
        <v>0</v>
      </c>
      <c r="F15" s="13">
        <v>0</v>
      </c>
      <c r="G15" s="13">
        <v>0</v>
      </c>
      <c r="H15" s="13">
        <v>0</v>
      </c>
      <c r="I15" s="16">
        <f t="shared" si="403"/>
        <v>0</v>
      </c>
      <c r="J15" s="17">
        <f t="shared" si="404"/>
        <v>0</v>
      </c>
      <c r="K15" s="18">
        <f t="shared" si="40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07"/>
        <v>0</v>
      </c>
      <c r="S15" s="35">
        <f t="shared" si="408"/>
        <v>0</v>
      </c>
      <c r="T15" s="35">
        <f t="shared" si="409"/>
        <v>0</v>
      </c>
      <c r="U15" s="19" t="e">
        <f t="shared" si="410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02"/>
        <v>0</v>
      </c>
      <c r="F16" s="13">
        <v>0</v>
      </c>
      <c r="G16" s="13">
        <v>0</v>
      </c>
      <c r="H16" s="13">
        <v>0</v>
      </c>
      <c r="I16" s="16">
        <f t="shared" si="403"/>
        <v>0</v>
      </c>
      <c r="J16" s="17">
        <f t="shared" si="404"/>
        <v>0</v>
      </c>
      <c r="K16" s="18">
        <f t="shared" si="405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07"/>
        <v>0</v>
      </c>
      <c r="S16" s="35">
        <f t="shared" si="408"/>
        <v>0</v>
      </c>
      <c r="T16" s="35">
        <f t="shared" si="409"/>
        <v>0</v>
      </c>
      <c r="U16" s="19" t="e">
        <f t="shared" si="410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02"/>
        <v>0</v>
      </c>
      <c r="F17" s="13">
        <v>0</v>
      </c>
      <c r="G17" s="13">
        <v>24945</v>
      </c>
      <c r="H17" s="13">
        <v>0</v>
      </c>
      <c r="I17" s="16">
        <f t="shared" si="403"/>
        <v>0</v>
      </c>
      <c r="J17" s="17">
        <f t="shared" si="404"/>
        <v>-24945</v>
      </c>
      <c r="K17" s="18">
        <f t="shared" si="405"/>
        <v>76264.982273827045</v>
      </c>
      <c r="L17" s="19" t="e">
        <f t="shared" ref="L17:L18" si="411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07"/>
        <v>0</v>
      </c>
      <c r="S17" s="35">
        <f t="shared" si="408"/>
        <v>24945</v>
      </c>
      <c r="T17" s="35">
        <f t="shared" si="409"/>
        <v>24945</v>
      </c>
      <c r="U17" s="19" t="e">
        <f t="shared" si="410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12">SUM(E3:E17)</f>
        <v>2959164.6447321521</v>
      </c>
      <c r="F18" s="24">
        <f t="shared" si="412"/>
        <v>302508</v>
      </c>
      <c r="G18" s="24">
        <f t="shared" si="412"/>
        <v>1543205</v>
      </c>
      <c r="H18" s="24">
        <f t="shared" si="412"/>
        <v>50000</v>
      </c>
      <c r="I18" s="25">
        <f t="shared" si="412"/>
        <v>352508</v>
      </c>
      <c r="J18" s="26">
        <f t="shared" si="412"/>
        <v>175955</v>
      </c>
      <c r="K18" s="26">
        <f t="shared" si="412"/>
        <v>2868146.4421853996</v>
      </c>
      <c r="L18" s="27">
        <f t="shared" si="411"/>
        <v>0.96924192686987476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07"/>
        <v>0</v>
      </c>
      <c r="S18" s="35">
        <f t="shared" si="408"/>
        <v>1895713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640055-00A9-463C-B4CC-002300B8002C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250008-002B-49D0-8D3B-009B000E00B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7B0091-0092-48F5-84C1-00F10055000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2006C-004E-4656-B44D-00900033009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F100A7-0081-4038-BA0B-002C008F000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7B0085-0033-486E-A58B-002B0042008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9A00F9-00D5-4908-BCC0-00440076008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8" activeCellId="0" sqref="G8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5546875"/>
    <col bestFit="1" customWidth="1" min="10" max="10" width="18.44140625"/>
    <col customWidth="1" min="11" max="11" width="16"/>
    <col customWidth="1" min="12" max="12" width="12.88671875"/>
    <col customWidth="1" min="13" max="14" width="16.6640625"/>
    <col customWidth="1" min="15" max="15" width="15.44140625"/>
  </cols>
  <sheetData>
    <row r="1" ht="16.5">
      <c r="J1" s="29"/>
      <c r="K1" s="29"/>
      <c r="L1" s="30"/>
      <c r="P1" s="31" t="s">
        <v>0</v>
      </c>
      <c r="Q1" s="31" t="s">
        <v>1</v>
      </c>
      <c r="R1" s="31" t="s">
        <v>2</v>
      </c>
      <c r="S1" s="31" t="s">
        <v>3</v>
      </c>
      <c r="T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5" t="s">
        <v>52</v>
      </c>
      <c r="K2" s="6" t="s">
        <v>15</v>
      </c>
      <c r="L2" s="6" t="s">
        <v>16</v>
      </c>
      <c r="M2" s="7" t="s">
        <v>17</v>
      </c>
      <c r="N2" s="7" t="s">
        <v>18</v>
      </c>
      <c r="O2" s="7" t="s">
        <v>19</v>
      </c>
      <c r="P2" s="31" t="s">
        <v>0</v>
      </c>
      <c r="Q2" s="31" t="s">
        <v>1</v>
      </c>
      <c r="R2" s="31" t="s">
        <v>2</v>
      </c>
      <c r="S2" s="31" t="s">
        <v>3</v>
      </c>
      <c r="T2" s="31" t="s">
        <v>51</v>
      </c>
      <c r="U2" s="33" t="s">
        <v>53</v>
      </c>
      <c r="V2" s="33" t="s">
        <v>54</v>
      </c>
      <c r="W2" s="38" t="s">
        <v>55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24">C3*D3</f>
        <v>1870761.2046759115</v>
      </c>
      <c r="F3" s="13"/>
      <c r="G3" s="13">
        <v>243380</v>
      </c>
      <c r="H3" s="13">
        <v>0</v>
      </c>
      <c r="I3" s="13">
        <f t="shared" ref="I3:I17" si="25">F3-(G3+H3)</f>
        <v>-243380</v>
      </c>
      <c r="J3" s="16">
        <v>74470</v>
      </c>
      <c r="K3" s="14">
        <f t="shared" ref="K3:K9" si="26">G3+H3+J3</f>
        <v>317850</v>
      </c>
      <c r="L3" s="14">
        <f t="shared" ref="L3:L17" si="27">K3-F3</f>
        <v>317850</v>
      </c>
      <c r="M3" s="17">
        <f t="shared" ref="M3:M17" si="28">C3-G3</f>
        <v>403410</v>
      </c>
      <c r="N3" s="18">
        <f t="shared" ref="N3:N17" si="29">+G3*D3</f>
        <v>703946.97196002305</v>
      </c>
      <c r="O3" s="19">
        <f t="shared" ref="O3:O11" si="30">N3/E3</f>
        <v>0.37628905827239134</v>
      </c>
      <c r="P3" s="33"/>
      <c r="Q3" s="33">
        <v>149828</v>
      </c>
      <c r="R3" s="33">
        <f>8*18500</f>
        <v>148000</v>
      </c>
      <c r="S3" s="33">
        <f>8*18500</f>
        <v>148000</v>
      </c>
      <c r="T3" s="33">
        <f>7*18500</f>
        <v>129500</v>
      </c>
      <c r="U3" s="34">
        <f t="shared" ref="U3:U17" si="31">SUM(Q3:T3)</f>
        <v>575328</v>
      </c>
      <c r="V3" s="35">
        <f t="shared" ref="V3:V18" si="32">+U3-C3</f>
        <v>-71462</v>
      </c>
      <c r="W3" s="19">
        <f t="shared" ref="W3:W17" si="33">+U3/C3</f>
        <v>0.88951282487360661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24"/>
        <v>390880.30588673195</v>
      </c>
      <c r="F4" s="13"/>
      <c r="G4" s="13">
        <v>0</v>
      </c>
      <c r="H4" s="13">
        <v>0</v>
      </c>
      <c r="I4" s="13">
        <f t="shared" si="25"/>
        <v>0</v>
      </c>
      <c r="J4" s="16">
        <v>442871</v>
      </c>
      <c r="K4" s="14">
        <f t="shared" si="26"/>
        <v>442871</v>
      </c>
      <c r="L4" s="14">
        <f t="shared" si="27"/>
        <v>442871</v>
      </c>
      <c r="M4" s="17">
        <f t="shared" si="28"/>
        <v>300000</v>
      </c>
      <c r="N4" s="18">
        <f t="shared" si="29"/>
        <v>0</v>
      </c>
      <c r="O4" s="19">
        <f t="shared" si="30"/>
        <v>0</v>
      </c>
      <c r="P4" s="33"/>
      <c r="Q4" s="33">
        <v>442871</v>
      </c>
      <c r="R4" s="33"/>
      <c r="S4" s="33"/>
      <c r="T4" s="33"/>
      <c r="U4" s="34">
        <f t="shared" si="31"/>
        <v>442871</v>
      </c>
      <c r="V4" s="35">
        <f t="shared" si="32"/>
        <v>142871</v>
      </c>
      <c r="W4" s="19">
        <f t="shared" si="33"/>
        <v>1.4762366666666666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24"/>
        <v>0</v>
      </c>
      <c r="F5" s="13"/>
      <c r="G5" s="13">
        <v>0</v>
      </c>
      <c r="H5" s="13">
        <v>0</v>
      </c>
      <c r="I5" s="13">
        <f t="shared" si="25"/>
        <v>0</v>
      </c>
      <c r="J5" s="16">
        <v>0</v>
      </c>
      <c r="K5" s="14">
        <f t="shared" si="26"/>
        <v>0</v>
      </c>
      <c r="L5" s="14">
        <f t="shared" si="27"/>
        <v>0</v>
      </c>
      <c r="M5" s="17">
        <f t="shared" si="28"/>
        <v>0</v>
      </c>
      <c r="N5" s="18">
        <f t="shared" si="29"/>
        <v>0</v>
      </c>
      <c r="O5" s="19">
        <v>0</v>
      </c>
      <c r="P5" s="33"/>
      <c r="Q5" s="33">
        <v>0</v>
      </c>
      <c r="R5" s="33"/>
      <c r="S5" s="33"/>
      <c r="T5" s="33"/>
      <c r="U5" s="34">
        <f t="shared" si="31"/>
        <v>0</v>
      </c>
      <c r="V5" s="35">
        <f t="shared" si="32"/>
        <v>0</v>
      </c>
      <c r="W5" s="19">
        <v>0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24"/>
        <v>644777.55587835144</v>
      </c>
      <c r="F6" s="13"/>
      <c r="G6" s="13">
        <v>94823</v>
      </c>
      <c r="H6" s="13">
        <v>63500</v>
      </c>
      <c r="I6" s="13">
        <f t="shared" si="25"/>
        <v>-158323</v>
      </c>
      <c r="J6" s="16">
        <v>316015</v>
      </c>
      <c r="K6" s="14">
        <f t="shared" si="26"/>
        <v>474338</v>
      </c>
      <c r="L6" s="14">
        <f t="shared" si="27"/>
        <v>474338</v>
      </c>
      <c r="M6" s="17">
        <f t="shared" si="28"/>
        <v>469273</v>
      </c>
      <c r="N6" s="18">
        <f t="shared" si="29"/>
        <v>108385.34962320761</v>
      </c>
      <c r="O6" s="19">
        <f t="shared" si="30"/>
        <v>0.16809727422282733</v>
      </c>
      <c r="P6" s="33"/>
      <c r="Q6" s="33">
        <v>94823</v>
      </c>
      <c r="R6" s="33">
        <v>220500</v>
      </c>
      <c r="S6" s="33">
        <f>5*31500</f>
        <v>157500</v>
      </c>
      <c r="T6" s="33">
        <v>93500</v>
      </c>
      <c r="U6" s="34">
        <f t="shared" si="31"/>
        <v>566323</v>
      </c>
      <c r="V6" s="35">
        <f t="shared" si="32"/>
        <v>2227</v>
      </c>
      <c r="W6" s="19">
        <f t="shared" si="33"/>
        <v>1.0039479095756751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24"/>
        <v>221472.43814627349</v>
      </c>
      <c r="F7" s="13"/>
      <c r="G7" s="13">
        <v>0</v>
      </c>
      <c r="H7" s="13">
        <v>0</v>
      </c>
      <c r="I7" s="13">
        <f t="shared" si="25"/>
        <v>0</v>
      </c>
      <c r="J7" s="16">
        <v>90</v>
      </c>
      <c r="K7" s="14">
        <f t="shared" si="26"/>
        <v>90</v>
      </c>
      <c r="L7" s="14">
        <f t="shared" si="27"/>
        <v>90</v>
      </c>
      <c r="M7" s="17">
        <f t="shared" si="28"/>
        <v>349200</v>
      </c>
      <c r="N7" s="18">
        <f t="shared" si="29"/>
        <v>0</v>
      </c>
      <c r="O7" s="19">
        <f t="shared" si="30"/>
        <v>0</v>
      </c>
      <c r="P7" s="33"/>
      <c r="Q7" s="33">
        <v>0</v>
      </c>
      <c r="R7" s="33"/>
      <c r="S7" s="33">
        <f>3*87000</f>
        <v>261000</v>
      </c>
      <c r="T7" s="33">
        <v>87000</v>
      </c>
      <c r="U7" s="34">
        <f t="shared" si="31"/>
        <v>348000</v>
      </c>
      <c r="V7" s="35">
        <f t="shared" si="32"/>
        <v>-1200</v>
      </c>
      <c r="W7" s="19">
        <f t="shared" si="33"/>
        <v>0.99656357388316152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24"/>
        <v>585037.49652426294</v>
      </c>
      <c r="F8" s="13"/>
      <c r="G8" s="13">
        <v>262545</v>
      </c>
      <c r="H8" s="13">
        <v>218990</v>
      </c>
      <c r="I8" s="13">
        <f t="shared" si="25"/>
        <v>-481535</v>
      </c>
      <c r="J8" s="16">
        <v>218990</v>
      </c>
      <c r="K8" s="14">
        <f t="shared" si="26"/>
        <v>700525</v>
      </c>
      <c r="L8" s="14">
        <f t="shared" si="27"/>
        <v>700525</v>
      </c>
      <c r="M8" s="17">
        <f t="shared" si="28"/>
        <v>392205</v>
      </c>
      <c r="N8" s="18">
        <f t="shared" si="29"/>
        <v>234591.32420765577</v>
      </c>
      <c r="O8" s="19">
        <f t="shared" si="30"/>
        <v>0.40098510882016036</v>
      </c>
      <c r="P8" s="33"/>
      <c r="Q8" s="33">
        <v>44215</v>
      </c>
      <c r="R8" s="33">
        <f>5*43500</f>
        <v>217500</v>
      </c>
      <c r="S8" s="33">
        <f>2*43500</f>
        <v>87000</v>
      </c>
      <c r="T8" s="33">
        <f>6*43500</f>
        <v>261000</v>
      </c>
      <c r="U8" s="34">
        <f t="shared" si="31"/>
        <v>609715</v>
      </c>
      <c r="V8" s="35">
        <f t="shared" si="32"/>
        <v>-45035</v>
      </c>
      <c r="W8" s="19">
        <f t="shared" si="33"/>
        <v>0.93121802214585725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24"/>
        <v>216656.93033237188</v>
      </c>
      <c r="F9" s="13"/>
      <c r="G9" s="13">
        <v>0</v>
      </c>
      <c r="H9" s="13">
        <v>0</v>
      </c>
      <c r="I9" s="13">
        <f t="shared" si="25"/>
        <v>0</v>
      </c>
      <c r="J9" s="16">
        <v>0</v>
      </c>
      <c r="K9" s="14">
        <f t="shared" si="26"/>
        <v>0</v>
      </c>
      <c r="L9" s="14">
        <f t="shared" si="27"/>
        <v>0</v>
      </c>
      <c r="M9" s="17">
        <f t="shared" si="28"/>
        <v>202800</v>
      </c>
      <c r="N9" s="18">
        <f t="shared" si="29"/>
        <v>0</v>
      </c>
      <c r="O9" s="19">
        <f t="shared" si="30"/>
        <v>0</v>
      </c>
      <c r="P9" s="33"/>
      <c r="Q9" s="33">
        <v>0</v>
      </c>
      <c r="R9" s="33"/>
      <c r="S9" s="33">
        <v>234000</v>
      </c>
      <c r="T9" s="33"/>
      <c r="U9" s="34">
        <f t="shared" si="31"/>
        <v>234000</v>
      </c>
      <c r="V9" s="35">
        <f t="shared" si="32"/>
        <v>31200</v>
      </c>
      <c r="W9" s="19">
        <f t="shared" si="33"/>
        <v>1.1538461538461537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24"/>
        <v>505114.07016586867</v>
      </c>
      <c r="F10" s="13"/>
      <c r="G10" s="13">
        <v>0</v>
      </c>
      <c r="H10" s="13">
        <v>0</v>
      </c>
      <c r="I10" s="13">
        <f t="shared" si="25"/>
        <v>0</v>
      </c>
      <c r="J10" s="16">
        <v>6</v>
      </c>
      <c r="K10" s="14">
        <f>G10+H8+J10</f>
        <v>218996</v>
      </c>
      <c r="L10" s="14">
        <f t="shared" si="27"/>
        <v>218996</v>
      </c>
      <c r="M10" s="17">
        <f t="shared" si="28"/>
        <v>232806</v>
      </c>
      <c r="N10" s="18">
        <f t="shared" si="29"/>
        <v>0</v>
      </c>
      <c r="O10" s="19">
        <f t="shared" si="30"/>
        <v>0</v>
      </c>
      <c r="P10" s="33"/>
      <c r="Q10" s="33">
        <v>6</v>
      </c>
      <c r="R10" s="33">
        <f>6*38500</f>
        <v>231000</v>
      </c>
      <c r="S10" s="33"/>
      <c r="T10" s="33"/>
      <c r="U10" s="34">
        <f t="shared" si="31"/>
        <v>231006</v>
      </c>
      <c r="V10" s="35">
        <f t="shared" si="32"/>
        <v>-1800</v>
      </c>
      <c r="W10" s="19">
        <f t="shared" si="33"/>
        <v>0.99226824050926521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24"/>
        <v>58121.655911310321</v>
      </c>
      <c r="F11" s="13"/>
      <c r="G11" s="13">
        <v>37379</v>
      </c>
      <c r="H11" s="13">
        <v>0</v>
      </c>
      <c r="I11" s="13">
        <f t="shared" si="25"/>
        <v>-37379</v>
      </c>
      <c r="J11" s="16">
        <v>0</v>
      </c>
      <c r="K11" s="14">
        <f t="shared" ref="K11:K17" si="34">G11+H11+J11</f>
        <v>37379</v>
      </c>
      <c r="L11" s="14">
        <f t="shared" si="27"/>
        <v>37379</v>
      </c>
      <c r="M11" s="17">
        <f t="shared" si="28"/>
        <v>0</v>
      </c>
      <c r="N11" s="18">
        <f t="shared" si="29"/>
        <v>58121.655911310321</v>
      </c>
      <c r="O11" s="19">
        <f t="shared" si="30"/>
        <v>1</v>
      </c>
      <c r="P11" s="33"/>
      <c r="Q11" s="33">
        <v>0</v>
      </c>
      <c r="R11" s="33"/>
      <c r="S11" s="33"/>
      <c r="T11" s="33"/>
      <c r="U11" s="34">
        <f t="shared" si="31"/>
        <v>0</v>
      </c>
      <c r="V11" s="35">
        <f t="shared" si="32"/>
        <v>-37379</v>
      </c>
      <c r="W11" s="19">
        <f t="shared" si="33"/>
        <v>0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24"/>
        <v>0</v>
      </c>
      <c r="F12" s="13"/>
      <c r="G12" s="13">
        <v>0</v>
      </c>
      <c r="H12" s="13">
        <v>0</v>
      </c>
      <c r="I12" s="13">
        <f t="shared" si="25"/>
        <v>0</v>
      </c>
      <c r="J12" s="16">
        <v>0</v>
      </c>
      <c r="K12" s="14">
        <f t="shared" si="34"/>
        <v>0</v>
      </c>
      <c r="L12" s="14">
        <f t="shared" si="27"/>
        <v>0</v>
      </c>
      <c r="M12" s="17">
        <f t="shared" si="28"/>
        <v>0</v>
      </c>
      <c r="N12" s="18">
        <f t="shared" si="29"/>
        <v>0</v>
      </c>
      <c r="O12" s="19">
        <v>0</v>
      </c>
      <c r="P12" s="33"/>
      <c r="Q12" s="33">
        <v>0</v>
      </c>
      <c r="R12" s="33"/>
      <c r="S12" s="33"/>
      <c r="T12" s="33"/>
      <c r="U12" s="34">
        <f t="shared" si="31"/>
        <v>0</v>
      </c>
      <c r="V12" s="35">
        <f t="shared" si="32"/>
        <v>0</v>
      </c>
      <c r="W12" s="19">
        <v>0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24"/>
        <v>0</v>
      </c>
      <c r="F13" s="13"/>
      <c r="G13" s="13">
        <v>0</v>
      </c>
      <c r="H13" s="13">
        <v>0</v>
      </c>
      <c r="I13" s="13">
        <f t="shared" si="25"/>
        <v>0</v>
      </c>
      <c r="J13" s="16">
        <v>0</v>
      </c>
      <c r="K13" s="14">
        <f t="shared" si="34"/>
        <v>0</v>
      </c>
      <c r="L13" s="14">
        <f t="shared" si="27"/>
        <v>0</v>
      </c>
      <c r="M13" s="17">
        <f t="shared" si="28"/>
        <v>0</v>
      </c>
      <c r="N13" s="18">
        <f t="shared" si="29"/>
        <v>0</v>
      </c>
      <c r="O13" s="19">
        <v>0</v>
      </c>
      <c r="P13" s="33"/>
      <c r="Q13" s="33">
        <v>0</v>
      </c>
      <c r="R13" s="33"/>
      <c r="S13" s="33"/>
      <c r="T13" s="33"/>
      <c r="U13" s="34">
        <f t="shared" si="31"/>
        <v>0</v>
      </c>
      <c r="V13" s="35">
        <f t="shared" si="32"/>
        <v>0</v>
      </c>
      <c r="W13" s="19">
        <v>0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24"/>
        <v>0</v>
      </c>
      <c r="F14" s="13"/>
      <c r="G14" s="13">
        <v>0</v>
      </c>
      <c r="H14" s="13">
        <v>0</v>
      </c>
      <c r="I14" s="13">
        <f t="shared" si="25"/>
        <v>0</v>
      </c>
      <c r="J14" s="16">
        <v>0</v>
      </c>
      <c r="K14" s="14">
        <f t="shared" si="34"/>
        <v>0</v>
      </c>
      <c r="L14" s="14">
        <f t="shared" si="27"/>
        <v>0</v>
      </c>
      <c r="M14" s="17">
        <f t="shared" si="28"/>
        <v>0</v>
      </c>
      <c r="N14" s="18">
        <f t="shared" si="29"/>
        <v>0</v>
      </c>
      <c r="O14" s="19">
        <v>0</v>
      </c>
      <c r="P14" s="33"/>
      <c r="Q14" s="33">
        <v>0</v>
      </c>
      <c r="R14" s="33"/>
      <c r="S14" s="33"/>
      <c r="T14" s="33"/>
      <c r="U14" s="34">
        <f t="shared" si="31"/>
        <v>0</v>
      </c>
      <c r="V14" s="35">
        <f t="shared" si="32"/>
        <v>0</v>
      </c>
      <c r="W14" s="19">
        <v>0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24"/>
        <v>0</v>
      </c>
      <c r="F15" s="13"/>
      <c r="G15" s="13">
        <v>0</v>
      </c>
      <c r="H15" s="13">
        <v>0</v>
      </c>
      <c r="I15" s="13">
        <f t="shared" si="25"/>
        <v>0</v>
      </c>
      <c r="J15" s="16">
        <v>0</v>
      </c>
      <c r="K15" s="14">
        <f t="shared" si="34"/>
        <v>0</v>
      </c>
      <c r="L15" s="14">
        <f t="shared" si="27"/>
        <v>0</v>
      </c>
      <c r="M15" s="17">
        <f t="shared" si="28"/>
        <v>0</v>
      </c>
      <c r="N15" s="18">
        <f t="shared" si="29"/>
        <v>0</v>
      </c>
      <c r="O15" s="19">
        <v>0</v>
      </c>
      <c r="P15" s="33"/>
      <c r="Q15" s="33">
        <v>0</v>
      </c>
      <c r="R15" s="33"/>
      <c r="S15" s="33"/>
      <c r="T15" s="33"/>
      <c r="U15" s="34">
        <f t="shared" si="31"/>
        <v>0</v>
      </c>
      <c r="V15" s="35">
        <f t="shared" si="32"/>
        <v>0</v>
      </c>
      <c r="W15" s="19">
        <v>0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24"/>
        <v>0</v>
      </c>
      <c r="F16" s="13"/>
      <c r="G16" s="13">
        <v>0</v>
      </c>
      <c r="H16" s="13">
        <v>0</v>
      </c>
      <c r="I16" s="13">
        <f t="shared" si="25"/>
        <v>0</v>
      </c>
      <c r="J16" s="16">
        <v>0</v>
      </c>
      <c r="K16" s="14">
        <f t="shared" si="34"/>
        <v>0</v>
      </c>
      <c r="L16" s="14">
        <f t="shared" si="27"/>
        <v>0</v>
      </c>
      <c r="M16" s="17">
        <f t="shared" si="28"/>
        <v>0</v>
      </c>
      <c r="N16" s="18">
        <f t="shared" si="29"/>
        <v>0</v>
      </c>
      <c r="O16" s="19">
        <v>0</v>
      </c>
      <c r="P16" s="33"/>
      <c r="Q16" s="33">
        <v>0</v>
      </c>
      <c r="R16" s="33"/>
      <c r="S16" s="33"/>
      <c r="T16" s="33"/>
      <c r="U16" s="34">
        <f t="shared" si="31"/>
        <v>0</v>
      </c>
      <c r="V16" s="35">
        <f t="shared" si="32"/>
        <v>0</v>
      </c>
      <c r="W16" s="19">
        <v>0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24"/>
        <v>3629.0452579287512</v>
      </c>
      <c r="F17" s="13"/>
      <c r="G17" s="13">
        <v>0</v>
      </c>
      <c r="H17" s="13">
        <v>0</v>
      </c>
      <c r="I17" s="13">
        <f t="shared" si="25"/>
        <v>0</v>
      </c>
      <c r="J17" s="16">
        <v>74976</v>
      </c>
      <c r="K17" s="14">
        <f t="shared" si="34"/>
        <v>74976</v>
      </c>
      <c r="L17" s="14">
        <f t="shared" si="27"/>
        <v>74976</v>
      </c>
      <c r="M17" s="17">
        <f t="shared" si="28"/>
        <v>1187</v>
      </c>
      <c r="N17" s="18">
        <f t="shared" si="29"/>
        <v>0</v>
      </c>
      <c r="O17" s="19">
        <f t="shared" ref="O17:O18" si="35">N17/E17</f>
        <v>0</v>
      </c>
      <c r="P17" s="33"/>
      <c r="Q17" s="33">
        <v>1187</v>
      </c>
      <c r="R17" s="33"/>
      <c r="S17" s="33"/>
      <c r="T17" s="33"/>
      <c r="U17" s="34">
        <f t="shared" si="31"/>
        <v>1187</v>
      </c>
      <c r="V17" s="35">
        <f t="shared" si="32"/>
        <v>0</v>
      </c>
      <c r="W17" s="19">
        <f t="shared" si="33"/>
        <v>1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638127</v>
      </c>
      <c r="H18" s="24">
        <f>SUM(H3:H17)</f>
        <v>282490</v>
      </c>
      <c r="I18" s="21"/>
      <c r="J18" s="25">
        <f>SUM(J3:J17)</f>
        <v>1127418</v>
      </c>
      <c r="K18" s="21"/>
      <c r="L18" s="21"/>
      <c r="M18" s="26">
        <f>SUM(M3:M17)</f>
        <v>2350881</v>
      </c>
      <c r="N18" s="26">
        <f>SUM(N3:N17)</f>
        <v>1105045.3017021967</v>
      </c>
      <c r="O18" s="27">
        <f t="shared" si="35"/>
        <v>0.24575946112769084</v>
      </c>
      <c r="P18" s="33"/>
      <c r="Q18" s="33"/>
      <c r="R18" s="33"/>
      <c r="S18" s="33"/>
      <c r="T18" s="33"/>
      <c r="U18" s="34">
        <f>+R18+Q18+G18+S18+T18</f>
        <v>638127</v>
      </c>
      <c r="V18" s="35">
        <f t="shared" si="32"/>
        <v>-2350881</v>
      </c>
    </row>
    <row r="19">
      <c r="B19" s="28"/>
      <c r="C19" s="28"/>
      <c r="D19" s="28"/>
      <c r="E19" s="28"/>
    </row>
    <row r="20">
      <c r="B20" s="28"/>
      <c r="C20" s="28"/>
      <c r="D20" s="28"/>
      <c r="E20" s="28"/>
    </row>
    <row r="21">
      <c r="B21" s="28"/>
      <c r="C21" s="28"/>
      <c r="D21" s="28"/>
      <c r="E21" s="28"/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W2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99001A-00FA-444B-B080-00AE00E200D6}">
            <xm:f>$TO20&gt;41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1600B9-009C-4502-B0A2-00B6001600B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5" operator="lessThan" id="{004B0099-0008-4379-8D70-0055009D000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4" operator="between" id="{00590032-00F1-4183-9DDF-00300044009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3" operator="greaterThan" id="{008E00B7-0075-4DDA-AA96-005B00E000D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2" operator="lessThan" id="{001400A4-0027-4A0A-89BB-006E006D008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1" operator="between" id="{00920089-00EE-4602-B7F5-005500F900C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W3:W17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25" activeCellId="0" sqref="I25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100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13">C3*D3</f>
        <v>1055469.2469628558</v>
      </c>
      <c r="F3" s="13">
        <v>37098</v>
      </c>
      <c r="G3" s="44">
        <v>390263</v>
      </c>
      <c r="H3" s="13">
        <v>0</v>
      </c>
      <c r="I3" s="16">
        <f t="shared" ref="I3:I17" si="414">F3+H3</f>
        <v>37098</v>
      </c>
      <c r="J3" s="17">
        <f t="shared" ref="J3:J17" si="415">C3-G3</f>
        <v>-25349</v>
      </c>
      <c r="K3" s="18">
        <f t="shared" ref="K3:K17" si="416">+G3*D3</f>
        <v>1128788.1383763435</v>
      </c>
      <c r="L3" s="19">
        <f t="shared" ref="L3:L11" si="417">K3/E3</f>
        <v>1.0694656823251507</v>
      </c>
      <c r="M3" s="34">
        <v>0</v>
      </c>
      <c r="N3" s="34">
        <v>0</v>
      </c>
      <c r="O3" s="34">
        <v>0</v>
      </c>
      <c r="P3" s="34">
        <v>0</v>
      </c>
      <c r="Q3" s="34">
        <v>74000</v>
      </c>
      <c r="R3" s="34">
        <f t="shared" ref="R3:R18" si="418">M3+N3+O3+P3+Q3</f>
        <v>74000</v>
      </c>
      <c r="S3" s="35">
        <f t="shared" ref="S3:S18" si="419">G3+I3+R3</f>
        <v>501361</v>
      </c>
      <c r="T3" s="35">
        <f t="shared" ref="T3:T17" si="420">S3-C3</f>
        <v>136447</v>
      </c>
      <c r="U3" s="19">
        <f t="shared" ref="U3:U17" si="421">S3/C3</f>
        <v>1.3739154978981349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13"/>
        <v>0</v>
      </c>
      <c r="F4" s="13">
        <v>0</v>
      </c>
      <c r="G4" s="13">
        <v>0</v>
      </c>
      <c r="H4" s="13">
        <v>0</v>
      </c>
      <c r="I4" s="16">
        <f t="shared" si="414"/>
        <v>0</v>
      </c>
      <c r="J4" s="17">
        <f t="shared" si="415"/>
        <v>0</v>
      </c>
      <c r="K4" s="18">
        <f t="shared" si="416"/>
        <v>0</v>
      </c>
      <c r="L4" s="19" t="e">
        <f t="shared" si="417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18"/>
        <v>0</v>
      </c>
      <c r="S4" s="35">
        <f t="shared" si="419"/>
        <v>0</v>
      </c>
      <c r="T4" s="35">
        <f t="shared" si="420"/>
        <v>0</v>
      </c>
      <c r="U4" s="19" t="e">
        <f t="shared" si="421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13"/>
        <v>0</v>
      </c>
      <c r="F5" s="13">
        <v>0</v>
      </c>
      <c r="G5" s="13">
        <v>0</v>
      </c>
      <c r="H5" s="13">
        <v>0</v>
      </c>
      <c r="I5" s="16">
        <f t="shared" si="414"/>
        <v>0</v>
      </c>
      <c r="J5" s="17">
        <f t="shared" si="415"/>
        <v>0</v>
      </c>
      <c r="K5" s="18">
        <f t="shared" si="416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18"/>
        <v>0</v>
      </c>
      <c r="S5" s="35">
        <f t="shared" si="419"/>
        <v>0</v>
      </c>
      <c r="T5" s="35">
        <f t="shared" si="420"/>
        <v>0</v>
      </c>
      <c r="U5" s="19" t="e">
        <f t="shared" si="421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13"/>
        <v>484897.64917642745</v>
      </c>
      <c r="F6" s="13">
        <v>31538</v>
      </c>
      <c r="G6" s="44">
        <v>309954</v>
      </c>
      <c r="H6" s="44">
        <v>0</v>
      </c>
      <c r="I6" s="16">
        <f t="shared" si="414"/>
        <v>31538</v>
      </c>
      <c r="J6" s="17">
        <f t="shared" si="415"/>
        <v>114268</v>
      </c>
      <c r="K6" s="18">
        <f t="shared" si="416"/>
        <v>354286.11894911248</v>
      </c>
      <c r="L6" s="19">
        <f t="shared" si="417"/>
        <v>0.73064103228969735</v>
      </c>
      <c r="M6" s="34">
        <v>0</v>
      </c>
      <c r="N6" s="34">
        <v>0</v>
      </c>
      <c r="O6" s="34">
        <v>0</v>
      </c>
      <c r="P6" s="34">
        <v>0</v>
      </c>
      <c r="Q6" s="34">
        <v>94500</v>
      </c>
      <c r="R6" s="34">
        <f t="shared" si="418"/>
        <v>94500</v>
      </c>
      <c r="S6" s="35">
        <f t="shared" si="419"/>
        <v>435992</v>
      </c>
      <c r="T6" s="35">
        <f t="shared" si="420"/>
        <v>11770</v>
      </c>
      <c r="U6" s="19">
        <f t="shared" si="421"/>
        <v>1.0277449071476727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13"/>
        <v>126845.61176762515</v>
      </c>
      <c r="F7" s="13">
        <v>0</v>
      </c>
      <c r="G7" s="13">
        <v>113400</v>
      </c>
      <c r="H7" s="13">
        <v>0</v>
      </c>
      <c r="I7" s="16">
        <f t="shared" si="414"/>
        <v>0</v>
      </c>
      <c r="J7" s="17">
        <f t="shared" si="415"/>
        <v>86600</v>
      </c>
      <c r="K7" s="18">
        <f t="shared" si="416"/>
        <v>71921.461872243453</v>
      </c>
      <c r="L7" s="19">
        <f t="shared" si="417"/>
        <v>0.56699999999999995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18"/>
        <v>0</v>
      </c>
      <c r="S7" s="35">
        <f t="shared" si="419"/>
        <v>113400</v>
      </c>
      <c r="T7" s="35">
        <f t="shared" si="420"/>
        <v>-86600</v>
      </c>
      <c r="U7" s="19">
        <f t="shared" si="421"/>
        <v>0.56699999999999995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13"/>
        <v>162550.62446383186</v>
      </c>
      <c r="F8" s="44">
        <v>89495</v>
      </c>
      <c r="G8" s="13">
        <v>181920</v>
      </c>
      <c r="H8" s="44">
        <v>0</v>
      </c>
      <c r="I8" s="16">
        <f t="shared" si="414"/>
        <v>89495</v>
      </c>
      <c r="J8" s="17">
        <f t="shared" si="415"/>
        <v>0</v>
      </c>
      <c r="K8" s="18">
        <f t="shared" si="416"/>
        <v>162550.62446383186</v>
      </c>
      <c r="L8" s="19">
        <f t="shared" si="417"/>
        <v>1</v>
      </c>
      <c r="M8" s="34">
        <v>0</v>
      </c>
      <c r="N8" s="34">
        <v>0</v>
      </c>
      <c r="O8" s="34">
        <v>0</v>
      </c>
      <c r="P8" s="34">
        <v>0</v>
      </c>
      <c r="Q8" s="34">
        <v>260000</v>
      </c>
      <c r="R8" s="34">
        <f t="shared" si="418"/>
        <v>260000</v>
      </c>
      <c r="S8" s="35">
        <f t="shared" si="419"/>
        <v>531415</v>
      </c>
      <c r="T8" s="35">
        <f t="shared" si="420"/>
        <v>349495</v>
      </c>
      <c r="U8" s="19">
        <f t="shared" si="421"/>
        <v>2.9211466578715921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13"/>
        <v>58014.486907145576</v>
      </c>
      <c r="F9" s="13">
        <v>0</v>
      </c>
      <c r="G9" s="13">
        <v>54302</v>
      </c>
      <c r="H9" s="13">
        <v>0</v>
      </c>
      <c r="I9" s="16">
        <f t="shared" si="414"/>
        <v>0</v>
      </c>
      <c r="J9" s="17">
        <f t="shared" si="415"/>
        <v>2</v>
      </c>
      <c r="K9" s="18">
        <f t="shared" si="416"/>
        <v>58012.3502510279</v>
      </c>
      <c r="L9" s="19">
        <f t="shared" si="417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418"/>
        <v>0</v>
      </c>
      <c r="S9" s="35">
        <f t="shared" si="419"/>
        <v>54302</v>
      </c>
      <c r="T9" s="35">
        <f t="shared" si="420"/>
        <v>-2</v>
      </c>
      <c r="U9" s="19">
        <f t="shared" si="421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13"/>
        <v>1071387.0254542665</v>
      </c>
      <c r="F10" s="13">
        <v>144377</v>
      </c>
      <c r="G10" s="13">
        <v>518421</v>
      </c>
      <c r="H10" s="13">
        <v>0</v>
      </c>
      <c r="I10" s="16">
        <f t="shared" si="414"/>
        <v>144377</v>
      </c>
      <c r="J10" s="17">
        <f t="shared" si="415"/>
        <v>-24621</v>
      </c>
      <c r="K10" s="18">
        <f t="shared" si="416"/>
        <v>1124806.6689409199</v>
      </c>
      <c r="L10" s="19">
        <f t="shared" si="417"/>
        <v>1.0498602673147022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f t="shared" si="418"/>
        <v>0</v>
      </c>
      <c r="S10" s="35">
        <f t="shared" si="419"/>
        <v>662798</v>
      </c>
      <c r="T10" s="35">
        <f t="shared" si="420"/>
        <v>168998</v>
      </c>
      <c r="U10" s="19">
        <f t="shared" si="421"/>
        <v>1.3422397731875253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13"/>
        <v>0</v>
      </c>
      <c r="F11" s="13">
        <v>0</v>
      </c>
      <c r="G11" s="13">
        <v>0</v>
      </c>
      <c r="H11" s="13">
        <v>0</v>
      </c>
      <c r="I11" s="16">
        <f t="shared" si="414"/>
        <v>0</v>
      </c>
      <c r="J11" s="17">
        <f t="shared" si="415"/>
        <v>0</v>
      </c>
      <c r="K11" s="18">
        <f t="shared" si="416"/>
        <v>0</v>
      </c>
      <c r="L11" s="19" t="e">
        <f t="shared" si="417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18"/>
        <v>0</v>
      </c>
      <c r="S11" s="35">
        <f t="shared" si="419"/>
        <v>0</v>
      </c>
      <c r="T11" s="35">
        <f t="shared" si="420"/>
        <v>0</v>
      </c>
      <c r="U11" s="19" t="e">
        <f t="shared" si="42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13"/>
        <v>0</v>
      </c>
      <c r="F12" s="13">
        <v>0</v>
      </c>
      <c r="G12" s="13">
        <v>0</v>
      </c>
      <c r="H12" s="13">
        <v>0</v>
      </c>
      <c r="I12" s="16">
        <f t="shared" si="414"/>
        <v>0</v>
      </c>
      <c r="J12" s="17">
        <f t="shared" si="415"/>
        <v>0</v>
      </c>
      <c r="K12" s="18">
        <f t="shared" si="416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18"/>
        <v>0</v>
      </c>
      <c r="S12" s="35">
        <f t="shared" si="419"/>
        <v>0</v>
      </c>
      <c r="T12" s="35">
        <f t="shared" si="420"/>
        <v>0</v>
      </c>
      <c r="U12" s="19" t="e">
        <f t="shared" si="42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13"/>
        <v>0</v>
      </c>
      <c r="F13" s="13">
        <v>0</v>
      </c>
      <c r="G13" s="13">
        <v>0</v>
      </c>
      <c r="H13" s="13">
        <v>0</v>
      </c>
      <c r="I13" s="16">
        <f t="shared" si="414"/>
        <v>0</v>
      </c>
      <c r="J13" s="17">
        <f t="shared" si="415"/>
        <v>0</v>
      </c>
      <c r="K13" s="18">
        <f t="shared" si="41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18"/>
        <v>0</v>
      </c>
      <c r="S13" s="35">
        <f t="shared" si="419"/>
        <v>0</v>
      </c>
      <c r="T13" s="35">
        <f t="shared" si="420"/>
        <v>0</v>
      </c>
      <c r="U13" s="19" t="e">
        <f t="shared" si="421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13"/>
        <v>0</v>
      </c>
      <c r="F14" s="13">
        <v>0</v>
      </c>
      <c r="G14" s="13">
        <v>0</v>
      </c>
      <c r="H14" s="13">
        <v>0</v>
      </c>
      <c r="I14" s="16">
        <f t="shared" si="414"/>
        <v>0</v>
      </c>
      <c r="J14" s="17">
        <f t="shared" si="415"/>
        <v>0</v>
      </c>
      <c r="K14" s="18">
        <f t="shared" si="41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18"/>
        <v>0</v>
      </c>
      <c r="S14" s="35">
        <f t="shared" si="419"/>
        <v>0</v>
      </c>
      <c r="T14" s="35">
        <f t="shared" si="420"/>
        <v>0</v>
      </c>
      <c r="U14" s="19" t="e">
        <f t="shared" si="421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13"/>
        <v>0</v>
      </c>
      <c r="F15" s="13">
        <v>0</v>
      </c>
      <c r="G15" s="13">
        <v>0</v>
      </c>
      <c r="H15" s="13">
        <v>0</v>
      </c>
      <c r="I15" s="16">
        <f t="shared" si="414"/>
        <v>0</v>
      </c>
      <c r="J15" s="17">
        <f t="shared" si="415"/>
        <v>0</v>
      </c>
      <c r="K15" s="18">
        <f t="shared" si="41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18"/>
        <v>0</v>
      </c>
      <c r="S15" s="35">
        <f t="shared" si="419"/>
        <v>0</v>
      </c>
      <c r="T15" s="35">
        <f t="shared" si="420"/>
        <v>0</v>
      </c>
      <c r="U15" s="19" t="e">
        <f t="shared" si="421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13"/>
        <v>0</v>
      </c>
      <c r="F16" s="13">
        <v>0</v>
      </c>
      <c r="G16" s="13">
        <v>0</v>
      </c>
      <c r="H16" s="13">
        <v>0</v>
      </c>
      <c r="I16" s="16">
        <f t="shared" si="414"/>
        <v>0</v>
      </c>
      <c r="J16" s="17">
        <f t="shared" si="415"/>
        <v>0</v>
      </c>
      <c r="K16" s="18">
        <f t="shared" si="416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18"/>
        <v>0</v>
      </c>
      <c r="S16" s="35">
        <f t="shared" si="419"/>
        <v>0</v>
      </c>
      <c r="T16" s="35">
        <f t="shared" si="420"/>
        <v>0</v>
      </c>
      <c r="U16" s="19" t="e">
        <f t="shared" si="421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13"/>
        <v>0</v>
      </c>
      <c r="F17" s="13">
        <v>0</v>
      </c>
      <c r="G17" s="13">
        <v>24945</v>
      </c>
      <c r="H17" s="13">
        <v>0</v>
      </c>
      <c r="I17" s="16">
        <f t="shared" si="414"/>
        <v>0</v>
      </c>
      <c r="J17" s="17">
        <f t="shared" si="415"/>
        <v>-24945</v>
      </c>
      <c r="K17" s="18">
        <f t="shared" si="416"/>
        <v>76264.982273827045</v>
      </c>
      <c r="L17" s="19" t="e">
        <f t="shared" ref="L17:L18" si="422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18"/>
        <v>0</v>
      </c>
      <c r="S17" s="35">
        <f t="shared" si="419"/>
        <v>24945</v>
      </c>
      <c r="T17" s="35">
        <f t="shared" si="420"/>
        <v>24945</v>
      </c>
      <c r="U17" s="19" t="e">
        <f t="shared" si="421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23">SUM(E3:E17)</f>
        <v>2959164.6447321521</v>
      </c>
      <c r="F18" s="24">
        <f t="shared" si="423"/>
        <v>302508</v>
      </c>
      <c r="G18" s="24">
        <f t="shared" si="423"/>
        <v>1593205</v>
      </c>
      <c r="H18" s="24">
        <f t="shared" si="423"/>
        <v>0</v>
      </c>
      <c r="I18" s="25">
        <f t="shared" si="423"/>
        <v>302508</v>
      </c>
      <c r="J18" s="26">
        <f t="shared" si="423"/>
        <v>125955</v>
      </c>
      <c r="K18" s="26">
        <f t="shared" si="423"/>
        <v>2976630.3451273059</v>
      </c>
      <c r="L18" s="27">
        <f t="shared" si="422"/>
        <v>1.0059022401562705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18"/>
        <v>0</v>
      </c>
      <c r="S18" s="35">
        <f t="shared" si="419"/>
        <v>1895713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DF00E1-009B-4AD8-8AB5-002F00890008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1E0055-00CA-4F8F-B307-0022000D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3B00F6-0003-4AB3-8B85-007E0080000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17001C-00B3-4E0F-B891-00B9003A007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1200F3-0058-45E7-8934-0076004C003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EC0013-00CB-4FE0-AF6C-00760016006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0F0039-005D-4195-80CB-00670091004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8" activeCellId="0" sqref="F8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101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24">C3*D3</f>
        <v>1055469.2469628558</v>
      </c>
      <c r="F3" s="13">
        <v>0</v>
      </c>
      <c r="G3" s="44">
        <v>390263</v>
      </c>
      <c r="H3" s="13">
        <v>37098</v>
      </c>
      <c r="I3" s="16">
        <f t="shared" ref="I3:I17" si="425">F3+H3</f>
        <v>37098</v>
      </c>
      <c r="J3" s="17">
        <f t="shared" ref="J3:J17" si="426">C3-G3</f>
        <v>-25349</v>
      </c>
      <c r="K3" s="18">
        <f t="shared" ref="K3:K17" si="427">+G3*D3</f>
        <v>1128788.1383763435</v>
      </c>
      <c r="L3" s="19">
        <f t="shared" ref="L3:L11" si="428">K3/E3</f>
        <v>1.0694656823251507</v>
      </c>
      <c r="M3" s="34">
        <v>0</v>
      </c>
      <c r="N3" s="34">
        <v>0</v>
      </c>
      <c r="O3" s="34">
        <v>0</v>
      </c>
      <c r="P3" s="34">
        <v>0</v>
      </c>
      <c r="Q3" s="34">
        <v>74000</v>
      </c>
      <c r="R3" s="34">
        <f t="shared" ref="R3:R18" si="429">M3+N3+O3+P3+Q3</f>
        <v>74000</v>
      </c>
      <c r="S3" s="35">
        <f t="shared" ref="S3:S18" si="430">G3+I3+R3</f>
        <v>501361</v>
      </c>
      <c r="T3" s="35">
        <f t="shared" ref="T3:T17" si="431">S3-C3</f>
        <v>136447</v>
      </c>
      <c r="U3" s="19">
        <f t="shared" ref="U3:U17" si="432">S3/C3</f>
        <v>1.3739154978981349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24"/>
        <v>0</v>
      </c>
      <c r="F4" s="13">
        <v>12379</v>
      </c>
      <c r="G4" s="13">
        <v>147370</v>
      </c>
      <c r="H4" s="13">
        <v>0</v>
      </c>
      <c r="I4" s="16">
        <f t="shared" si="425"/>
        <v>12379</v>
      </c>
      <c r="J4" s="17">
        <f t="shared" si="426"/>
        <v>-147370</v>
      </c>
      <c r="K4" s="18">
        <f t="shared" si="427"/>
        <v>192013.43559509228</v>
      </c>
      <c r="L4" s="19" t="e">
        <f t="shared" si="428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29"/>
        <v>0</v>
      </c>
      <c r="S4" s="35">
        <f t="shared" si="430"/>
        <v>159749</v>
      </c>
      <c r="T4" s="35">
        <f t="shared" si="431"/>
        <v>159749</v>
      </c>
      <c r="U4" s="19" t="e">
        <f t="shared" si="432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24"/>
        <v>0</v>
      </c>
      <c r="F5" s="13">
        <v>0</v>
      </c>
      <c r="G5" s="13">
        <v>0</v>
      </c>
      <c r="H5" s="13">
        <v>0</v>
      </c>
      <c r="I5" s="16">
        <f t="shared" si="425"/>
        <v>0</v>
      </c>
      <c r="J5" s="17">
        <f t="shared" si="426"/>
        <v>0</v>
      </c>
      <c r="K5" s="18">
        <f t="shared" si="427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29"/>
        <v>0</v>
      </c>
      <c r="S5" s="35">
        <f t="shared" si="430"/>
        <v>0</v>
      </c>
      <c r="T5" s="35">
        <f t="shared" si="431"/>
        <v>0</v>
      </c>
      <c r="U5" s="19" t="e">
        <f t="shared" si="432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24"/>
        <v>484897.64917642745</v>
      </c>
      <c r="F6" s="13">
        <v>76136</v>
      </c>
      <c r="G6" s="44">
        <v>309954</v>
      </c>
      <c r="H6" s="44">
        <v>114268</v>
      </c>
      <c r="I6" s="16">
        <f t="shared" si="425"/>
        <v>190404</v>
      </c>
      <c r="J6" s="17">
        <f t="shared" si="426"/>
        <v>114268</v>
      </c>
      <c r="K6" s="18">
        <f t="shared" si="427"/>
        <v>354286.11894911248</v>
      </c>
      <c r="L6" s="19">
        <f t="shared" si="428"/>
        <v>0.73064103228969735</v>
      </c>
      <c r="M6" s="34">
        <v>0</v>
      </c>
      <c r="N6" s="34">
        <v>0</v>
      </c>
      <c r="O6" s="34">
        <v>0</v>
      </c>
      <c r="P6" s="34">
        <v>0</v>
      </c>
      <c r="Q6" s="34">
        <v>94500</v>
      </c>
      <c r="R6" s="34">
        <f t="shared" si="429"/>
        <v>94500</v>
      </c>
      <c r="S6" s="35">
        <f t="shared" si="430"/>
        <v>594858</v>
      </c>
      <c r="T6" s="35">
        <f t="shared" si="431"/>
        <v>170636</v>
      </c>
      <c r="U6" s="19">
        <f t="shared" si="432"/>
        <v>1.4022327932073302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24"/>
        <v>126845.61176762515</v>
      </c>
      <c r="F7" s="13">
        <v>355142</v>
      </c>
      <c r="G7" s="13">
        <v>113400</v>
      </c>
      <c r="H7" s="13">
        <v>86000</v>
      </c>
      <c r="I7" s="16">
        <f t="shared" si="425"/>
        <v>441142</v>
      </c>
      <c r="J7" s="17">
        <f t="shared" si="426"/>
        <v>86600</v>
      </c>
      <c r="K7" s="18">
        <f t="shared" si="427"/>
        <v>71921.461872243453</v>
      </c>
      <c r="L7" s="19">
        <f t="shared" si="428"/>
        <v>0.56699999999999995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29"/>
        <v>0</v>
      </c>
      <c r="S7" s="35">
        <f t="shared" si="430"/>
        <v>554542</v>
      </c>
      <c r="T7" s="35">
        <f t="shared" si="431"/>
        <v>354542</v>
      </c>
      <c r="U7" s="19">
        <f t="shared" si="432"/>
        <v>2.77271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24"/>
        <v>162550.62446383186</v>
      </c>
      <c r="F8" s="44">
        <v>89495</v>
      </c>
      <c r="G8" s="13">
        <v>181920</v>
      </c>
      <c r="H8" s="44">
        <v>0</v>
      </c>
      <c r="I8" s="16">
        <f t="shared" si="425"/>
        <v>89495</v>
      </c>
      <c r="J8" s="17">
        <f t="shared" si="426"/>
        <v>0</v>
      </c>
      <c r="K8" s="18">
        <f t="shared" si="427"/>
        <v>162550.62446383186</v>
      </c>
      <c r="L8" s="19">
        <f t="shared" si="428"/>
        <v>1</v>
      </c>
      <c r="M8" s="34">
        <v>0</v>
      </c>
      <c r="N8" s="34">
        <v>0</v>
      </c>
      <c r="O8" s="34">
        <v>0</v>
      </c>
      <c r="P8" s="34">
        <v>0</v>
      </c>
      <c r="Q8" s="34">
        <v>262000</v>
      </c>
      <c r="R8" s="34">
        <f t="shared" si="429"/>
        <v>262000</v>
      </c>
      <c r="S8" s="35">
        <f t="shared" si="430"/>
        <v>533415</v>
      </c>
      <c r="T8" s="35">
        <f t="shared" si="431"/>
        <v>351495</v>
      </c>
      <c r="U8" s="19">
        <f t="shared" si="432"/>
        <v>2.9321405013192612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24"/>
        <v>58014.486907145576</v>
      </c>
      <c r="F9" s="13">
        <v>0</v>
      </c>
      <c r="G9" s="13">
        <v>54302</v>
      </c>
      <c r="H9" s="13">
        <v>0</v>
      </c>
      <c r="I9" s="16">
        <f t="shared" si="425"/>
        <v>0</v>
      </c>
      <c r="J9" s="17">
        <f t="shared" si="426"/>
        <v>2</v>
      </c>
      <c r="K9" s="18">
        <f t="shared" si="427"/>
        <v>58012.3502510279</v>
      </c>
      <c r="L9" s="19">
        <f t="shared" si="428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429"/>
        <v>0</v>
      </c>
      <c r="S9" s="35">
        <f t="shared" si="430"/>
        <v>54302</v>
      </c>
      <c r="T9" s="35">
        <f t="shared" si="431"/>
        <v>-2</v>
      </c>
      <c r="U9" s="19">
        <f t="shared" si="432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24"/>
        <v>1071387.0254542665</v>
      </c>
      <c r="F10" s="13">
        <v>94377</v>
      </c>
      <c r="G10" s="13">
        <v>518421</v>
      </c>
      <c r="H10" s="13">
        <v>50000</v>
      </c>
      <c r="I10" s="16">
        <f t="shared" si="425"/>
        <v>144377</v>
      </c>
      <c r="J10" s="17">
        <f t="shared" si="426"/>
        <v>-24621</v>
      </c>
      <c r="K10" s="18">
        <f t="shared" si="427"/>
        <v>1124806.6689409199</v>
      </c>
      <c r="L10" s="19">
        <f t="shared" si="428"/>
        <v>1.0498602673147022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f t="shared" si="429"/>
        <v>0</v>
      </c>
      <c r="S10" s="35">
        <f t="shared" si="430"/>
        <v>662798</v>
      </c>
      <c r="T10" s="35">
        <f t="shared" si="431"/>
        <v>168998</v>
      </c>
      <c r="U10" s="19">
        <f t="shared" si="432"/>
        <v>1.3422397731875253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24"/>
        <v>0</v>
      </c>
      <c r="F11" s="13">
        <v>0</v>
      </c>
      <c r="G11" s="13">
        <v>0</v>
      </c>
      <c r="H11" s="13">
        <v>0</v>
      </c>
      <c r="I11" s="16">
        <f t="shared" si="425"/>
        <v>0</v>
      </c>
      <c r="J11" s="17">
        <f t="shared" si="426"/>
        <v>0</v>
      </c>
      <c r="K11" s="18">
        <f t="shared" si="427"/>
        <v>0</v>
      </c>
      <c r="L11" s="19" t="e">
        <f t="shared" si="42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29"/>
        <v>0</v>
      </c>
      <c r="S11" s="35">
        <f t="shared" si="430"/>
        <v>0</v>
      </c>
      <c r="T11" s="35">
        <f t="shared" si="431"/>
        <v>0</v>
      </c>
      <c r="U11" s="19" t="e">
        <f t="shared" si="432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24"/>
        <v>0</v>
      </c>
      <c r="F12" s="13">
        <v>0</v>
      </c>
      <c r="G12" s="13">
        <v>0</v>
      </c>
      <c r="H12" s="13">
        <v>0</v>
      </c>
      <c r="I12" s="16">
        <f t="shared" si="425"/>
        <v>0</v>
      </c>
      <c r="J12" s="17">
        <f t="shared" si="426"/>
        <v>0</v>
      </c>
      <c r="K12" s="18">
        <f t="shared" si="427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29"/>
        <v>0</v>
      </c>
      <c r="S12" s="35">
        <f t="shared" si="430"/>
        <v>0</v>
      </c>
      <c r="T12" s="35">
        <f t="shared" si="431"/>
        <v>0</v>
      </c>
      <c r="U12" s="19" t="e">
        <f t="shared" si="432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24"/>
        <v>0</v>
      </c>
      <c r="F13" s="13">
        <v>0</v>
      </c>
      <c r="G13" s="13">
        <v>0</v>
      </c>
      <c r="H13" s="13">
        <v>0</v>
      </c>
      <c r="I13" s="16">
        <f t="shared" si="425"/>
        <v>0</v>
      </c>
      <c r="J13" s="17">
        <f t="shared" si="426"/>
        <v>0</v>
      </c>
      <c r="K13" s="18">
        <f t="shared" si="42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29"/>
        <v>0</v>
      </c>
      <c r="S13" s="35">
        <f t="shared" si="430"/>
        <v>0</v>
      </c>
      <c r="T13" s="35">
        <f t="shared" si="431"/>
        <v>0</v>
      </c>
      <c r="U13" s="19" t="e">
        <f t="shared" si="432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24"/>
        <v>0</v>
      </c>
      <c r="F14" s="13">
        <v>0</v>
      </c>
      <c r="G14" s="13">
        <v>0</v>
      </c>
      <c r="H14" s="13">
        <v>0</v>
      </c>
      <c r="I14" s="16">
        <f t="shared" si="425"/>
        <v>0</v>
      </c>
      <c r="J14" s="17">
        <f t="shared" si="426"/>
        <v>0</v>
      </c>
      <c r="K14" s="18">
        <f t="shared" si="42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29"/>
        <v>0</v>
      </c>
      <c r="S14" s="35">
        <f t="shared" si="430"/>
        <v>0</v>
      </c>
      <c r="T14" s="35">
        <f t="shared" si="431"/>
        <v>0</v>
      </c>
      <c r="U14" s="19" t="e">
        <f t="shared" si="432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24"/>
        <v>0</v>
      </c>
      <c r="F15" s="13">
        <v>0</v>
      </c>
      <c r="G15" s="13">
        <v>0</v>
      </c>
      <c r="H15" s="13">
        <v>0</v>
      </c>
      <c r="I15" s="16">
        <f t="shared" si="425"/>
        <v>0</v>
      </c>
      <c r="J15" s="17">
        <f t="shared" si="426"/>
        <v>0</v>
      </c>
      <c r="K15" s="18">
        <f t="shared" si="42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29"/>
        <v>0</v>
      </c>
      <c r="S15" s="35">
        <f t="shared" si="430"/>
        <v>0</v>
      </c>
      <c r="T15" s="35">
        <f t="shared" si="431"/>
        <v>0</v>
      </c>
      <c r="U15" s="19" t="e">
        <f t="shared" si="432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24"/>
        <v>0</v>
      </c>
      <c r="F16" s="13">
        <v>0</v>
      </c>
      <c r="G16" s="13">
        <v>0</v>
      </c>
      <c r="H16" s="13">
        <v>0</v>
      </c>
      <c r="I16" s="16">
        <f t="shared" si="425"/>
        <v>0</v>
      </c>
      <c r="J16" s="17">
        <f t="shared" si="426"/>
        <v>0</v>
      </c>
      <c r="K16" s="18">
        <f t="shared" si="427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29"/>
        <v>0</v>
      </c>
      <c r="S16" s="35">
        <f t="shared" si="430"/>
        <v>0</v>
      </c>
      <c r="T16" s="35">
        <f t="shared" si="431"/>
        <v>0</v>
      </c>
      <c r="U16" s="19" t="e">
        <f t="shared" si="432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24"/>
        <v>0</v>
      </c>
      <c r="F17" s="13">
        <v>0</v>
      </c>
      <c r="G17" s="13">
        <v>24945</v>
      </c>
      <c r="H17" s="13">
        <v>0</v>
      </c>
      <c r="I17" s="16">
        <f t="shared" si="425"/>
        <v>0</v>
      </c>
      <c r="J17" s="17">
        <f t="shared" si="426"/>
        <v>-24945</v>
      </c>
      <c r="K17" s="18">
        <f t="shared" si="427"/>
        <v>76264.982273827045</v>
      </c>
      <c r="L17" s="19" t="e">
        <f t="shared" ref="L17:L18" si="433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29"/>
        <v>0</v>
      </c>
      <c r="S17" s="35">
        <f t="shared" si="430"/>
        <v>24945</v>
      </c>
      <c r="T17" s="35">
        <f t="shared" si="431"/>
        <v>24945</v>
      </c>
      <c r="U17" s="19" t="e">
        <f t="shared" si="432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34">SUM(E3:E17)</f>
        <v>2959164.6447321521</v>
      </c>
      <c r="F18" s="24">
        <f t="shared" si="434"/>
        <v>627529</v>
      </c>
      <c r="G18" s="24">
        <f t="shared" si="434"/>
        <v>1740575</v>
      </c>
      <c r="H18" s="24">
        <f t="shared" si="434"/>
        <v>287366</v>
      </c>
      <c r="I18" s="25">
        <f t="shared" si="434"/>
        <v>914895</v>
      </c>
      <c r="J18" s="26">
        <f t="shared" si="434"/>
        <v>-21415</v>
      </c>
      <c r="K18" s="26">
        <f t="shared" si="434"/>
        <v>3168643.7807223983</v>
      </c>
      <c r="L18" s="27">
        <f t="shared" si="433"/>
        <v>1.0707899563355343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29"/>
        <v>0</v>
      </c>
      <c r="S18" s="35">
        <f t="shared" si="430"/>
        <v>2655470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E200BD-00AE-4FA6-89E4-009100F30097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F100F4-00EA-498C-ADA2-00F7003400F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8000CD-00F9-4435-ADEF-00E6006A000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28002E-00B7-4E91-BE61-007E0034008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680033-008B-4B6E-B974-00CE00C000A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15003D-003D-4D14-9E7C-0049002A00B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A6005C-00C2-441C-A789-00F5002300A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12" activeCellId="0" sqref="H12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102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35">C3*D3</f>
        <v>1055469.2469628558</v>
      </c>
      <c r="F3" s="13">
        <v>0</v>
      </c>
      <c r="G3" s="44">
        <v>390263</v>
      </c>
      <c r="H3" s="13">
        <v>37098</v>
      </c>
      <c r="I3" s="16">
        <f t="shared" ref="I3:I17" si="436">F3+H3</f>
        <v>37098</v>
      </c>
      <c r="J3" s="17">
        <f t="shared" ref="J3:J17" si="437">C3-G3</f>
        <v>-25349</v>
      </c>
      <c r="K3" s="18">
        <f t="shared" ref="K3:K17" si="438">+G3*D3</f>
        <v>1128788.1383763435</v>
      </c>
      <c r="L3" s="19">
        <f t="shared" ref="L3:L11" si="439">K3/E3</f>
        <v>1.0694656823251507</v>
      </c>
      <c r="M3" s="34">
        <v>0</v>
      </c>
      <c r="N3" s="34">
        <v>0</v>
      </c>
      <c r="O3" s="34">
        <v>0</v>
      </c>
      <c r="P3" s="34">
        <v>0</v>
      </c>
      <c r="Q3" s="34">
        <v>74000</v>
      </c>
      <c r="R3" s="34">
        <f t="shared" ref="R3:R18" si="440">M3+N3+O3+P3+Q3</f>
        <v>74000</v>
      </c>
      <c r="S3" s="35">
        <f t="shared" ref="S3:S18" si="441">G3+I3+R3</f>
        <v>501361</v>
      </c>
      <c r="T3" s="35">
        <f t="shared" ref="T3:T17" si="442">S3-C3</f>
        <v>136447</v>
      </c>
      <c r="U3" s="19">
        <f t="shared" ref="U3:U17" si="443">S3/C3</f>
        <v>1.3739154978981349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35"/>
        <v>0</v>
      </c>
      <c r="F4" s="13">
        <v>159797</v>
      </c>
      <c r="G4" s="13">
        <v>159749</v>
      </c>
      <c r="H4" s="13">
        <v>0</v>
      </c>
      <c r="I4" s="16">
        <f t="shared" si="436"/>
        <v>159797</v>
      </c>
      <c r="J4" s="17">
        <f t="shared" si="437"/>
        <v>-159749</v>
      </c>
      <c r="K4" s="18">
        <f t="shared" si="438"/>
        <v>208142.4599503318</v>
      </c>
      <c r="L4" s="19" t="e">
        <f t="shared" si="439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40"/>
        <v>0</v>
      </c>
      <c r="S4" s="35">
        <f t="shared" si="441"/>
        <v>319546</v>
      </c>
      <c r="T4" s="35">
        <f t="shared" si="442"/>
        <v>319546</v>
      </c>
      <c r="U4" s="19" t="e">
        <f t="shared" si="443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35"/>
        <v>0</v>
      </c>
      <c r="F5" s="13">
        <v>0</v>
      </c>
      <c r="G5" s="13">
        <v>0</v>
      </c>
      <c r="H5" s="13">
        <v>0</v>
      </c>
      <c r="I5" s="16">
        <f t="shared" si="436"/>
        <v>0</v>
      </c>
      <c r="J5" s="17">
        <f t="shared" si="437"/>
        <v>0</v>
      </c>
      <c r="K5" s="18">
        <f t="shared" si="438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40"/>
        <v>0</v>
      </c>
      <c r="S5" s="35">
        <f t="shared" si="441"/>
        <v>0</v>
      </c>
      <c r="T5" s="35">
        <f t="shared" si="442"/>
        <v>0</v>
      </c>
      <c r="U5" s="19" t="e">
        <f t="shared" si="443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35"/>
        <v>484897.64917642745</v>
      </c>
      <c r="F6" s="13">
        <v>76136</v>
      </c>
      <c r="G6" s="44">
        <v>309954</v>
      </c>
      <c r="H6" s="44">
        <v>114268</v>
      </c>
      <c r="I6" s="16">
        <f t="shared" si="436"/>
        <v>190404</v>
      </c>
      <c r="J6" s="17">
        <f t="shared" si="437"/>
        <v>114268</v>
      </c>
      <c r="K6" s="18">
        <f t="shared" si="438"/>
        <v>354286.11894911248</v>
      </c>
      <c r="L6" s="19">
        <f t="shared" si="439"/>
        <v>0.73064103228969735</v>
      </c>
      <c r="M6" s="34">
        <v>0</v>
      </c>
      <c r="N6" s="34">
        <v>0</v>
      </c>
      <c r="O6" s="34">
        <v>0</v>
      </c>
      <c r="P6" s="34">
        <v>0</v>
      </c>
      <c r="Q6" s="34">
        <v>94500</v>
      </c>
      <c r="R6" s="34">
        <f t="shared" si="440"/>
        <v>94500</v>
      </c>
      <c r="S6" s="35">
        <f t="shared" si="441"/>
        <v>594858</v>
      </c>
      <c r="T6" s="35">
        <f t="shared" si="442"/>
        <v>170636</v>
      </c>
      <c r="U6" s="19">
        <f t="shared" si="443"/>
        <v>1.4022327932073302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35"/>
        <v>126845.61176762515</v>
      </c>
      <c r="F7" s="13">
        <v>355142</v>
      </c>
      <c r="G7" s="13">
        <v>113400</v>
      </c>
      <c r="H7" s="13">
        <v>86000</v>
      </c>
      <c r="I7" s="16">
        <f t="shared" si="436"/>
        <v>441142</v>
      </c>
      <c r="J7" s="17">
        <f t="shared" si="437"/>
        <v>86600</v>
      </c>
      <c r="K7" s="18">
        <f t="shared" si="438"/>
        <v>71921.461872243453</v>
      </c>
      <c r="L7" s="19">
        <f t="shared" si="439"/>
        <v>0.56699999999999995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40"/>
        <v>0</v>
      </c>
      <c r="S7" s="35">
        <f t="shared" si="441"/>
        <v>554542</v>
      </c>
      <c r="T7" s="35">
        <f t="shared" si="442"/>
        <v>354542</v>
      </c>
      <c r="U7" s="19">
        <f t="shared" si="443"/>
        <v>2.77271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35"/>
        <v>162550.62446383186</v>
      </c>
      <c r="F8" s="44">
        <v>89495</v>
      </c>
      <c r="G8" s="13">
        <v>181920</v>
      </c>
      <c r="H8" s="44">
        <v>0</v>
      </c>
      <c r="I8" s="16">
        <f t="shared" si="436"/>
        <v>89495</v>
      </c>
      <c r="J8" s="17">
        <f t="shared" si="437"/>
        <v>0</v>
      </c>
      <c r="K8" s="18">
        <f t="shared" si="438"/>
        <v>162550.62446383186</v>
      </c>
      <c r="L8" s="19">
        <f t="shared" si="439"/>
        <v>1</v>
      </c>
      <c r="M8" s="34">
        <v>0</v>
      </c>
      <c r="N8" s="34">
        <v>0</v>
      </c>
      <c r="O8" s="34">
        <v>0</v>
      </c>
      <c r="P8" s="34">
        <v>0</v>
      </c>
      <c r="Q8" s="34">
        <v>262000</v>
      </c>
      <c r="R8" s="34">
        <f t="shared" si="440"/>
        <v>262000</v>
      </c>
      <c r="S8" s="35">
        <f t="shared" si="441"/>
        <v>533415</v>
      </c>
      <c r="T8" s="35">
        <f t="shared" si="442"/>
        <v>351495</v>
      </c>
      <c r="U8" s="19">
        <f t="shared" si="443"/>
        <v>2.9321405013192612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35"/>
        <v>58014.486907145576</v>
      </c>
      <c r="F9" s="13">
        <v>0</v>
      </c>
      <c r="G9" s="13">
        <v>54302</v>
      </c>
      <c r="H9" s="13">
        <v>0</v>
      </c>
      <c r="I9" s="16">
        <f t="shared" si="436"/>
        <v>0</v>
      </c>
      <c r="J9" s="17">
        <f t="shared" si="437"/>
        <v>2</v>
      </c>
      <c r="K9" s="18">
        <f t="shared" si="438"/>
        <v>58012.3502510279</v>
      </c>
      <c r="L9" s="19">
        <f t="shared" si="439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440"/>
        <v>0</v>
      </c>
      <c r="S9" s="35">
        <f t="shared" si="441"/>
        <v>54302</v>
      </c>
      <c r="T9" s="35">
        <f t="shared" si="442"/>
        <v>-2</v>
      </c>
      <c r="U9" s="19">
        <f t="shared" si="443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35"/>
        <v>1071387.0254542665</v>
      </c>
      <c r="F10" s="13">
        <v>94377</v>
      </c>
      <c r="G10" s="13">
        <v>518421</v>
      </c>
      <c r="H10" s="13">
        <v>50000</v>
      </c>
      <c r="I10" s="16">
        <f t="shared" si="436"/>
        <v>144377</v>
      </c>
      <c r="J10" s="17">
        <f t="shared" si="437"/>
        <v>-24621</v>
      </c>
      <c r="K10" s="18">
        <f t="shared" si="438"/>
        <v>1124806.6689409199</v>
      </c>
      <c r="L10" s="19">
        <f t="shared" si="439"/>
        <v>1.0498602673147022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f t="shared" si="440"/>
        <v>0</v>
      </c>
      <c r="S10" s="35">
        <f t="shared" si="441"/>
        <v>662798</v>
      </c>
      <c r="T10" s="35">
        <f t="shared" si="442"/>
        <v>168998</v>
      </c>
      <c r="U10" s="19">
        <f t="shared" si="443"/>
        <v>1.3422397731875253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35"/>
        <v>0</v>
      </c>
      <c r="F11" s="13">
        <v>0</v>
      </c>
      <c r="G11" s="13">
        <v>0</v>
      </c>
      <c r="H11" s="13">
        <v>0</v>
      </c>
      <c r="I11" s="16">
        <f t="shared" si="436"/>
        <v>0</v>
      </c>
      <c r="J11" s="17">
        <f t="shared" si="437"/>
        <v>0</v>
      </c>
      <c r="K11" s="18">
        <f t="shared" si="438"/>
        <v>0</v>
      </c>
      <c r="L11" s="19" t="e">
        <f t="shared" si="439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40"/>
        <v>0</v>
      </c>
      <c r="S11" s="35">
        <f t="shared" si="441"/>
        <v>0</v>
      </c>
      <c r="T11" s="35">
        <f t="shared" si="442"/>
        <v>0</v>
      </c>
      <c r="U11" s="19" t="e">
        <f t="shared" si="44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35"/>
        <v>0</v>
      </c>
      <c r="F12" s="13">
        <v>0</v>
      </c>
      <c r="G12" s="13">
        <v>0</v>
      </c>
      <c r="H12" s="13">
        <v>0</v>
      </c>
      <c r="I12" s="16">
        <f t="shared" si="436"/>
        <v>0</v>
      </c>
      <c r="J12" s="17">
        <f t="shared" si="437"/>
        <v>0</v>
      </c>
      <c r="K12" s="18">
        <f t="shared" si="438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40"/>
        <v>0</v>
      </c>
      <c r="S12" s="35">
        <f t="shared" si="441"/>
        <v>0</v>
      </c>
      <c r="T12" s="35">
        <f t="shared" si="442"/>
        <v>0</v>
      </c>
      <c r="U12" s="19" t="e">
        <f t="shared" si="44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35"/>
        <v>0</v>
      </c>
      <c r="F13" s="13">
        <v>0</v>
      </c>
      <c r="G13" s="13">
        <v>0</v>
      </c>
      <c r="H13" s="13">
        <v>0</v>
      </c>
      <c r="I13" s="16">
        <f t="shared" si="436"/>
        <v>0</v>
      </c>
      <c r="J13" s="17">
        <f t="shared" si="437"/>
        <v>0</v>
      </c>
      <c r="K13" s="18">
        <f t="shared" si="43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40"/>
        <v>0</v>
      </c>
      <c r="S13" s="35">
        <f t="shared" si="441"/>
        <v>0</v>
      </c>
      <c r="T13" s="35">
        <f t="shared" si="442"/>
        <v>0</v>
      </c>
      <c r="U13" s="19" t="e">
        <f t="shared" si="443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35"/>
        <v>0</v>
      </c>
      <c r="F14" s="13">
        <v>0</v>
      </c>
      <c r="G14" s="13">
        <v>0</v>
      </c>
      <c r="H14" s="13">
        <v>0</v>
      </c>
      <c r="I14" s="16">
        <f t="shared" si="436"/>
        <v>0</v>
      </c>
      <c r="J14" s="17">
        <f t="shared" si="437"/>
        <v>0</v>
      </c>
      <c r="K14" s="18">
        <f t="shared" si="43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40"/>
        <v>0</v>
      </c>
      <c r="S14" s="35">
        <f t="shared" si="441"/>
        <v>0</v>
      </c>
      <c r="T14" s="35">
        <f t="shared" si="442"/>
        <v>0</v>
      </c>
      <c r="U14" s="19" t="e">
        <f t="shared" si="443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35"/>
        <v>0</v>
      </c>
      <c r="F15" s="13">
        <v>0</v>
      </c>
      <c r="G15" s="13">
        <v>0</v>
      </c>
      <c r="H15" s="13">
        <v>0</v>
      </c>
      <c r="I15" s="16">
        <f t="shared" si="436"/>
        <v>0</v>
      </c>
      <c r="J15" s="17">
        <f t="shared" si="437"/>
        <v>0</v>
      </c>
      <c r="K15" s="18">
        <f t="shared" si="43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40"/>
        <v>0</v>
      </c>
      <c r="S15" s="35">
        <f t="shared" si="441"/>
        <v>0</v>
      </c>
      <c r="T15" s="35">
        <f t="shared" si="442"/>
        <v>0</v>
      </c>
      <c r="U15" s="19" t="e">
        <f t="shared" si="443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35"/>
        <v>0</v>
      </c>
      <c r="F16" s="13">
        <v>0</v>
      </c>
      <c r="G16" s="13">
        <v>0</v>
      </c>
      <c r="H16" s="13">
        <v>0</v>
      </c>
      <c r="I16" s="16">
        <f t="shared" si="436"/>
        <v>0</v>
      </c>
      <c r="J16" s="17">
        <f t="shared" si="437"/>
        <v>0</v>
      </c>
      <c r="K16" s="18">
        <f t="shared" si="438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40"/>
        <v>0</v>
      </c>
      <c r="S16" s="35">
        <f t="shared" si="441"/>
        <v>0</v>
      </c>
      <c r="T16" s="35">
        <f t="shared" si="442"/>
        <v>0</v>
      </c>
      <c r="U16" s="19" t="e">
        <f t="shared" si="443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35"/>
        <v>0</v>
      </c>
      <c r="F17" s="13">
        <v>0</v>
      </c>
      <c r="G17" s="13">
        <v>24945</v>
      </c>
      <c r="H17" s="13">
        <v>0</v>
      </c>
      <c r="I17" s="16">
        <f t="shared" si="436"/>
        <v>0</v>
      </c>
      <c r="J17" s="17">
        <f t="shared" si="437"/>
        <v>-24945</v>
      </c>
      <c r="K17" s="18">
        <f t="shared" si="438"/>
        <v>76264.982273827045</v>
      </c>
      <c r="L17" s="19" t="e">
        <f t="shared" ref="L17:L18" si="444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40"/>
        <v>0</v>
      </c>
      <c r="S17" s="35">
        <f t="shared" si="441"/>
        <v>24945</v>
      </c>
      <c r="T17" s="35">
        <f t="shared" si="442"/>
        <v>24945</v>
      </c>
      <c r="U17" s="19" t="e">
        <f t="shared" si="443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45">SUM(E3:E17)</f>
        <v>2959164.6447321521</v>
      </c>
      <c r="F18" s="24">
        <f t="shared" si="445"/>
        <v>774947</v>
      </c>
      <c r="G18" s="24">
        <f t="shared" si="445"/>
        <v>1752954</v>
      </c>
      <c r="H18" s="24">
        <f t="shared" si="445"/>
        <v>287366</v>
      </c>
      <c r="I18" s="25">
        <f t="shared" si="445"/>
        <v>1062313</v>
      </c>
      <c r="J18" s="26">
        <f t="shared" si="445"/>
        <v>-33794</v>
      </c>
      <c r="K18" s="26">
        <f t="shared" si="445"/>
        <v>3184772.805077638</v>
      </c>
      <c r="L18" s="27">
        <f t="shared" si="444"/>
        <v>1.0762404892702098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40"/>
        <v>0</v>
      </c>
      <c r="S18" s="35">
        <f t="shared" si="441"/>
        <v>2815267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3C00AF-00F4-4A92-ACBB-00C600DA00F6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C8008A-00C0-4E09-9526-008D007D00B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B90013-0051-4111-B277-001400D400E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C20036-00F2-44CB-906A-00950009007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A5009B-00F9-4EF1-81DE-004900FC00C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D20048-0052-4CE8-8BE8-00C80028007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2100F1-00E4-4EAD-9EE4-00D0005C002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4" activeCellId="0" sqref="F4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3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103</v>
      </c>
      <c r="J2" s="7" t="s">
        <v>17</v>
      </c>
      <c r="K2" s="7" t="s">
        <v>18</v>
      </c>
      <c r="L2" s="7" t="s">
        <v>19</v>
      </c>
      <c r="M2" s="47" t="s">
        <v>84</v>
      </c>
      <c r="N2" s="47" t="s">
        <v>85</v>
      </c>
      <c r="O2" s="47" t="s">
        <v>86</v>
      </c>
      <c r="P2" s="47" t="s">
        <v>87</v>
      </c>
      <c r="Q2" s="47" t="s">
        <v>88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46">C3*D3</f>
        <v>1055469.2469628558</v>
      </c>
      <c r="F3" s="13">
        <v>0</v>
      </c>
      <c r="G3" s="44">
        <v>427361</v>
      </c>
      <c r="H3" s="13">
        <v>0</v>
      </c>
      <c r="I3" s="16">
        <f t="shared" ref="I3:I17" si="447">F3+H3</f>
        <v>0</v>
      </c>
      <c r="J3" s="17">
        <f t="shared" ref="J3:J17" si="448">C3-G3</f>
        <v>-62447</v>
      </c>
      <c r="K3" s="18">
        <f t="shared" ref="K3:K17" si="449">+G3*D3</f>
        <v>1236089.5796031202</v>
      </c>
      <c r="L3" s="19">
        <f t="shared" ref="L3:L11" si="450">K3/E3</f>
        <v>1.1711279918008077</v>
      </c>
      <c r="M3" s="34">
        <v>0</v>
      </c>
      <c r="N3" s="34">
        <v>0</v>
      </c>
      <c r="O3" s="34">
        <v>0</v>
      </c>
      <c r="P3" s="34">
        <v>0</v>
      </c>
      <c r="Q3" s="34">
        <v>74000</v>
      </c>
      <c r="R3" s="34">
        <f t="shared" ref="R3:R18" si="451">M3+N3+O3+P3+Q3</f>
        <v>74000</v>
      </c>
      <c r="S3" s="35">
        <f t="shared" ref="S3:S18" si="452">G3+I3+R3</f>
        <v>501361</v>
      </c>
      <c r="T3" s="35">
        <f t="shared" ref="T3:T17" si="453">S3-C3</f>
        <v>136447</v>
      </c>
      <c r="U3" s="19">
        <f t="shared" ref="U3:U17" si="454">S3/C3</f>
        <v>1.3739154978981349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46"/>
        <v>0</v>
      </c>
      <c r="F4" s="13">
        <v>159776</v>
      </c>
      <c r="G4" s="13">
        <v>159748</v>
      </c>
      <c r="H4" s="13">
        <v>0</v>
      </c>
      <c r="I4" s="16">
        <f t="shared" si="447"/>
        <v>159776</v>
      </c>
      <c r="J4" s="17">
        <f t="shared" si="448"/>
        <v>-159748</v>
      </c>
      <c r="K4" s="18">
        <f t="shared" si="449"/>
        <v>208141.15701597885</v>
      </c>
      <c r="L4" s="19" t="e">
        <f t="shared" si="450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51"/>
        <v>0</v>
      </c>
      <c r="S4" s="35">
        <f t="shared" si="452"/>
        <v>319524</v>
      </c>
      <c r="T4" s="35">
        <f t="shared" si="453"/>
        <v>319524</v>
      </c>
      <c r="U4" s="19" t="e">
        <f t="shared" si="454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46"/>
        <v>0</v>
      </c>
      <c r="F5" s="13">
        <v>0</v>
      </c>
      <c r="G5" s="13">
        <v>0</v>
      </c>
      <c r="H5" s="13">
        <v>0</v>
      </c>
      <c r="I5" s="16">
        <f t="shared" si="447"/>
        <v>0</v>
      </c>
      <c r="J5" s="17">
        <f t="shared" si="448"/>
        <v>0</v>
      </c>
      <c r="K5" s="18">
        <f t="shared" si="449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51"/>
        <v>0</v>
      </c>
      <c r="S5" s="35">
        <f t="shared" si="452"/>
        <v>0</v>
      </c>
      <c r="T5" s="35">
        <f t="shared" si="453"/>
        <v>0</v>
      </c>
      <c r="U5" s="19" t="e">
        <f t="shared" si="454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46"/>
        <v>484897.64917642745</v>
      </c>
      <c r="F6" s="13">
        <v>76136</v>
      </c>
      <c r="G6" s="44">
        <v>424222</v>
      </c>
      <c r="H6" s="44">
        <v>0</v>
      </c>
      <c r="I6" s="16">
        <f t="shared" si="447"/>
        <v>76136</v>
      </c>
      <c r="J6" s="17">
        <f t="shared" si="448"/>
        <v>0</v>
      </c>
      <c r="K6" s="18">
        <f t="shared" si="449"/>
        <v>484897.64917642745</v>
      </c>
      <c r="L6" s="19">
        <f t="shared" si="450"/>
        <v>1</v>
      </c>
      <c r="M6" s="34">
        <v>0</v>
      </c>
      <c r="N6" s="34">
        <v>0</v>
      </c>
      <c r="O6" s="34">
        <v>0</v>
      </c>
      <c r="P6" s="34">
        <v>0</v>
      </c>
      <c r="Q6" s="34">
        <v>94500</v>
      </c>
      <c r="R6" s="34">
        <f t="shared" si="451"/>
        <v>94500</v>
      </c>
      <c r="S6" s="35">
        <f t="shared" si="452"/>
        <v>594858</v>
      </c>
      <c r="T6" s="35">
        <f t="shared" si="453"/>
        <v>170636</v>
      </c>
      <c r="U6" s="19">
        <f t="shared" si="454"/>
        <v>1.4022327932073302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46"/>
        <v>126845.61176762515</v>
      </c>
      <c r="F7" s="13">
        <v>355142</v>
      </c>
      <c r="G7" s="13">
        <v>199400</v>
      </c>
      <c r="H7" s="13">
        <v>0</v>
      </c>
      <c r="I7" s="16">
        <f t="shared" si="447"/>
        <v>355142</v>
      </c>
      <c r="J7" s="17">
        <f t="shared" si="448"/>
        <v>600</v>
      </c>
      <c r="K7" s="18">
        <f t="shared" si="449"/>
        <v>126465.07493232227</v>
      </c>
      <c r="L7" s="19">
        <f t="shared" si="450"/>
        <v>0.997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51"/>
        <v>0</v>
      </c>
      <c r="S7" s="35">
        <f t="shared" si="452"/>
        <v>554542</v>
      </c>
      <c r="T7" s="35">
        <f t="shared" si="453"/>
        <v>354542</v>
      </c>
      <c r="U7" s="19">
        <f t="shared" si="454"/>
        <v>2.77271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46"/>
        <v>162550.62446383186</v>
      </c>
      <c r="F8" s="44">
        <v>89495</v>
      </c>
      <c r="G8" s="13">
        <v>181920</v>
      </c>
      <c r="H8" s="44">
        <v>0</v>
      </c>
      <c r="I8" s="16">
        <f t="shared" si="447"/>
        <v>89495</v>
      </c>
      <c r="J8" s="17">
        <f t="shared" si="448"/>
        <v>0</v>
      </c>
      <c r="K8" s="18">
        <f t="shared" si="449"/>
        <v>162550.62446383186</v>
      </c>
      <c r="L8" s="19">
        <f t="shared" si="450"/>
        <v>1</v>
      </c>
      <c r="M8" s="34">
        <v>0</v>
      </c>
      <c r="N8" s="34">
        <v>0</v>
      </c>
      <c r="O8" s="34">
        <v>0</v>
      </c>
      <c r="P8" s="34">
        <v>0</v>
      </c>
      <c r="Q8" s="34">
        <v>262000</v>
      </c>
      <c r="R8" s="34">
        <f t="shared" si="451"/>
        <v>262000</v>
      </c>
      <c r="S8" s="35">
        <f t="shared" si="452"/>
        <v>533415</v>
      </c>
      <c r="T8" s="35">
        <f t="shared" si="453"/>
        <v>351495</v>
      </c>
      <c r="U8" s="19">
        <f t="shared" si="454"/>
        <v>2.9321405013192612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46"/>
        <v>58014.486907145576</v>
      </c>
      <c r="F9" s="13">
        <v>0</v>
      </c>
      <c r="G9" s="13">
        <v>54302</v>
      </c>
      <c r="H9" s="13">
        <v>0</v>
      </c>
      <c r="I9" s="16">
        <f t="shared" si="447"/>
        <v>0</v>
      </c>
      <c r="J9" s="17">
        <f t="shared" si="448"/>
        <v>2</v>
      </c>
      <c r="K9" s="18">
        <f t="shared" si="449"/>
        <v>58012.3502510279</v>
      </c>
      <c r="L9" s="19">
        <f t="shared" si="450"/>
        <v>0.99996317030053039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451"/>
        <v>0</v>
      </c>
      <c r="S9" s="35">
        <f t="shared" si="452"/>
        <v>54302</v>
      </c>
      <c r="T9" s="35">
        <f t="shared" si="453"/>
        <v>-2</v>
      </c>
      <c r="U9" s="19">
        <f t="shared" si="454"/>
        <v>0.99996317030053039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46"/>
        <v>1071387.0254542665</v>
      </c>
      <c r="F10" s="13">
        <v>94377</v>
      </c>
      <c r="G10" s="13">
        <v>568421</v>
      </c>
      <c r="H10" s="13">
        <v>0</v>
      </c>
      <c r="I10" s="16">
        <f t="shared" si="447"/>
        <v>94377</v>
      </c>
      <c r="J10" s="17">
        <f t="shared" si="448"/>
        <v>-74621</v>
      </c>
      <c r="K10" s="18">
        <f t="shared" si="449"/>
        <v>1233290.5718828263</v>
      </c>
      <c r="L10" s="19">
        <f t="shared" si="450"/>
        <v>1.1511158363710003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f t="shared" si="451"/>
        <v>0</v>
      </c>
      <c r="S10" s="35">
        <f t="shared" si="452"/>
        <v>662798</v>
      </c>
      <c r="T10" s="35">
        <f t="shared" si="453"/>
        <v>168998</v>
      </c>
      <c r="U10" s="19">
        <f t="shared" si="454"/>
        <v>1.3422397731875253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46"/>
        <v>0</v>
      </c>
      <c r="F11" s="13">
        <v>0</v>
      </c>
      <c r="G11" s="13">
        <v>0</v>
      </c>
      <c r="H11" s="13">
        <v>0</v>
      </c>
      <c r="I11" s="16">
        <f t="shared" si="447"/>
        <v>0</v>
      </c>
      <c r="J11" s="17">
        <f t="shared" si="448"/>
        <v>0</v>
      </c>
      <c r="K11" s="18">
        <f t="shared" si="449"/>
        <v>0</v>
      </c>
      <c r="L11" s="19" t="e">
        <f t="shared" si="450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51"/>
        <v>0</v>
      </c>
      <c r="S11" s="35">
        <f t="shared" si="452"/>
        <v>0</v>
      </c>
      <c r="T11" s="35">
        <f t="shared" si="453"/>
        <v>0</v>
      </c>
      <c r="U11" s="19" t="e">
        <f t="shared" si="454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46"/>
        <v>0</v>
      </c>
      <c r="F12" s="13">
        <v>0</v>
      </c>
      <c r="G12" s="13">
        <v>0</v>
      </c>
      <c r="H12" s="13">
        <v>0</v>
      </c>
      <c r="I12" s="16">
        <f t="shared" si="447"/>
        <v>0</v>
      </c>
      <c r="J12" s="17">
        <f t="shared" si="448"/>
        <v>0</v>
      </c>
      <c r="K12" s="18">
        <f t="shared" si="449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51"/>
        <v>0</v>
      </c>
      <c r="S12" s="35">
        <f t="shared" si="452"/>
        <v>0</v>
      </c>
      <c r="T12" s="35">
        <f t="shared" si="453"/>
        <v>0</v>
      </c>
      <c r="U12" s="19" t="e">
        <f t="shared" si="454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46"/>
        <v>0</v>
      </c>
      <c r="F13" s="13">
        <v>0</v>
      </c>
      <c r="G13" s="13">
        <v>0</v>
      </c>
      <c r="H13" s="13">
        <v>0</v>
      </c>
      <c r="I13" s="16">
        <f t="shared" si="447"/>
        <v>0</v>
      </c>
      <c r="J13" s="17">
        <f t="shared" si="448"/>
        <v>0</v>
      </c>
      <c r="K13" s="18">
        <f t="shared" si="44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51"/>
        <v>0</v>
      </c>
      <c r="S13" s="35">
        <f t="shared" si="452"/>
        <v>0</v>
      </c>
      <c r="T13" s="35">
        <f t="shared" si="453"/>
        <v>0</v>
      </c>
      <c r="U13" s="19" t="e">
        <f t="shared" si="454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46"/>
        <v>0</v>
      </c>
      <c r="F14" s="13">
        <v>0</v>
      </c>
      <c r="G14" s="13">
        <v>0</v>
      </c>
      <c r="H14" s="13">
        <v>0</v>
      </c>
      <c r="I14" s="16">
        <f t="shared" si="447"/>
        <v>0</v>
      </c>
      <c r="J14" s="17">
        <f t="shared" si="448"/>
        <v>0</v>
      </c>
      <c r="K14" s="18">
        <f t="shared" si="44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51"/>
        <v>0</v>
      </c>
      <c r="S14" s="35">
        <f t="shared" si="452"/>
        <v>0</v>
      </c>
      <c r="T14" s="35">
        <f t="shared" si="453"/>
        <v>0</v>
      </c>
      <c r="U14" s="19" t="e">
        <f t="shared" si="454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46"/>
        <v>0</v>
      </c>
      <c r="F15" s="13">
        <v>0</v>
      </c>
      <c r="G15" s="13">
        <v>0</v>
      </c>
      <c r="H15" s="13">
        <v>0</v>
      </c>
      <c r="I15" s="16">
        <f t="shared" si="447"/>
        <v>0</v>
      </c>
      <c r="J15" s="17">
        <f t="shared" si="448"/>
        <v>0</v>
      </c>
      <c r="K15" s="18">
        <f t="shared" si="449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51"/>
        <v>0</v>
      </c>
      <c r="S15" s="35">
        <f t="shared" si="452"/>
        <v>0</v>
      </c>
      <c r="T15" s="35">
        <f t="shared" si="453"/>
        <v>0</v>
      </c>
      <c r="U15" s="19" t="e">
        <f t="shared" si="454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46"/>
        <v>0</v>
      </c>
      <c r="F16" s="13">
        <v>0</v>
      </c>
      <c r="G16" s="13">
        <v>0</v>
      </c>
      <c r="H16" s="13">
        <v>0</v>
      </c>
      <c r="I16" s="16">
        <f t="shared" si="447"/>
        <v>0</v>
      </c>
      <c r="J16" s="17">
        <f t="shared" si="448"/>
        <v>0</v>
      </c>
      <c r="K16" s="18">
        <f t="shared" si="449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51"/>
        <v>0</v>
      </c>
      <c r="S16" s="35">
        <f t="shared" si="452"/>
        <v>0</v>
      </c>
      <c r="T16" s="35">
        <f t="shared" si="453"/>
        <v>0</v>
      </c>
      <c r="U16" s="19" t="e">
        <f t="shared" si="454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46"/>
        <v>0</v>
      </c>
      <c r="F17" s="13">
        <v>0</v>
      </c>
      <c r="G17" s="13">
        <v>24945</v>
      </c>
      <c r="H17" s="13">
        <v>0</v>
      </c>
      <c r="I17" s="16">
        <f t="shared" si="447"/>
        <v>0</v>
      </c>
      <c r="J17" s="17">
        <f t="shared" si="448"/>
        <v>-24945</v>
      </c>
      <c r="K17" s="18">
        <f t="shared" si="449"/>
        <v>76264.982273827045</v>
      </c>
      <c r="L17" s="19" t="e">
        <f t="shared" ref="L17:L18" si="455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51"/>
        <v>0</v>
      </c>
      <c r="S17" s="35">
        <f t="shared" si="452"/>
        <v>24945</v>
      </c>
      <c r="T17" s="35">
        <f t="shared" si="453"/>
        <v>24945</v>
      </c>
      <c r="U17" s="19" t="e">
        <f t="shared" si="454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56">SUM(E3:E17)</f>
        <v>2959164.6447321521</v>
      </c>
      <c r="F18" s="24">
        <f t="shared" si="456"/>
        <v>774926</v>
      </c>
      <c r="G18" s="24">
        <f t="shared" si="456"/>
        <v>2040319</v>
      </c>
      <c r="H18" s="24">
        <f t="shared" si="456"/>
        <v>0</v>
      </c>
      <c r="I18" s="25">
        <f t="shared" si="456"/>
        <v>774926</v>
      </c>
      <c r="J18" s="26">
        <f t="shared" si="456"/>
        <v>-321159</v>
      </c>
      <c r="K18" s="26">
        <f t="shared" si="456"/>
        <v>3585711.9895993616</v>
      </c>
      <c r="L18" s="27">
        <f t="shared" si="455"/>
        <v>1.2117311539195958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51"/>
        <v>0</v>
      </c>
      <c r="S18" s="35">
        <f t="shared" si="452"/>
        <v>2815245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45007A-00E7-4978-8D2E-00B1008600ED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33007A-003E-4EBD-AD4F-00A300C400E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BB0020-00FB-4A95-AA52-00B30042006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C20025-00E4-47D5-B29C-00F300F1005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A10028-00F5-41BD-9EFE-007A00D6006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7100A9-00F1-4E0A-99DD-007600CC00B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AE0084-00E0-4057-8CEB-00BF005C003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18" activeCellId="0" sqref="G18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104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57">C3*D3</f>
        <v>1055469.2469628558</v>
      </c>
      <c r="F3" s="13">
        <v>92953</v>
      </c>
      <c r="G3" s="44">
        <v>0</v>
      </c>
      <c r="H3" s="13">
        <v>0</v>
      </c>
      <c r="I3" s="16">
        <f t="shared" ref="I3:I17" si="458">F3+H3</f>
        <v>92953</v>
      </c>
      <c r="J3" s="17">
        <f t="shared" ref="J3:J17" si="459">C3-G3</f>
        <v>364914</v>
      </c>
      <c r="K3" s="18">
        <f t="shared" ref="K3:K17" si="460">+G3*D3</f>
        <v>0</v>
      </c>
      <c r="L3" s="19">
        <f t="shared" ref="L3:L11" si="461">K3/E3</f>
        <v>0</v>
      </c>
      <c r="M3" s="34">
        <v>185000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8" si="462">M3+N3+O3+P3+Q3</f>
        <v>546000</v>
      </c>
      <c r="S3" s="35">
        <f t="shared" ref="S3:S18" si="463">G3+I3+R3</f>
        <v>638953</v>
      </c>
      <c r="T3" s="35">
        <f t="shared" ref="T3:T17" si="464">S3-C3</f>
        <v>274039</v>
      </c>
      <c r="U3" s="19">
        <f t="shared" ref="U3:U17" si="465">S3/C3</f>
        <v>1.7509687213973704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57"/>
        <v>0</v>
      </c>
      <c r="F4" s="13">
        <v>159776</v>
      </c>
      <c r="G4" s="13">
        <v>0</v>
      </c>
      <c r="H4" s="13">
        <v>0</v>
      </c>
      <c r="I4" s="16">
        <f t="shared" si="458"/>
        <v>159776</v>
      </c>
      <c r="J4" s="17">
        <f t="shared" si="459"/>
        <v>0</v>
      </c>
      <c r="K4" s="18">
        <f t="shared" si="460"/>
        <v>0</v>
      </c>
      <c r="L4" s="19" t="e">
        <f t="shared" si="461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62"/>
        <v>0</v>
      </c>
      <c r="S4" s="35">
        <f t="shared" si="463"/>
        <v>159776</v>
      </c>
      <c r="T4" s="35">
        <f t="shared" si="464"/>
        <v>159776</v>
      </c>
      <c r="U4" s="19" t="e">
        <f t="shared" si="465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57"/>
        <v>0</v>
      </c>
      <c r="F5" s="13">
        <v>0</v>
      </c>
      <c r="G5" s="13">
        <v>0</v>
      </c>
      <c r="H5" s="13">
        <v>0</v>
      </c>
      <c r="I5" s="16">
        <f t="shared" si="458"/>
        <v>0</v>
      </c>
      <c r="J5" s="17">
        <f t="shared" si="459"/>
        <v>0</v>
      </c>
      <c r="K5" s="18">
        <f t="shared" si="460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62"/>
        <v>0</v>
      </c>
      <c r="S5" s="35">
        <f t="shared" si="463"/>
        <v>0</v>
      </c>
      <c r="T5" s="35">
        <f t="shared" si="464"/>
        <v>0</v>
      </c>
      <c r="U5" s="19" t="e">
        <f t="shared" si="465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57"/>
        <v>484897.64917642745</v>
      </c>
      <c r="F6" s="13">
        <v>76136</v>
      </c>
      <c r="G6" s="44">
        <v>0</v>
      </c>
      <c r="H6" s="44">
        <v>0</v>
      </c>
      <c r="I6" s="16">
        <f t="shared" si="458"/>
        <v>76136</v>
      </c>
      <c r="J6" s="17">
        <f t="shared" si="459"/>
        <v>424222</v>
      </c>
      <c r="K6" s="18">
        <f t="shared" si="460"/>
        <v>0</v>
      </c>
      <c r="L6" s="19">
        <f t="shared" si="461"/>
        <v>0</v>
      </c>
      <c r="M6" s="34">
        <v>160000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462"/>
        <v>415500</v>
      </c>
      <c r="S6" s="35">
        <f t="shared" si="463"/>
        <v>491636</v>
      </c>
      <c r="T6" s="35">
        <f t="shared" si="464"/>
        <v>67414</v>
      </c>
      <c r="U6" s="19">
        <f t="shared" si="465"/>
        <v>1.1589120790529488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57"/>
        <v>126845.61176762515</v>
      </c>
      <c r="F7" s="13">
        <v>355142</v>
      </c>
      <c r="G7" s="13">
        <v>0</v>
      </c>
      <c r="H7" s="13">
        <v>0</v>
      </c>
      <c r="I7" s="16">
        <f t="shared" si="458"/>
        <v>355142</v>
      </c>
      <c r="J7" s="17">
        <f t="shared" si="459"/>
        <v>200000</v>
      </c>
      <c r="K7" s="18">
        <f t="shared" si="460"/>
        <v>0</v>
      </c>
      <c r="L7" s="19">
        <f t="shared" si="461"/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62"/>
        <v>0</v>
      </c>
      <c r="S7" s="35">
        <f t="shared" si="463"/>
        <v>355142</v>
      </c>
      <c r="T7" s="35">
        <f t="shared" si="464"/>
        <v>155142</v>
      </c>
      <c r="U7" s="19">
        <f t="shared" si="465"/>
        <v>1.7757099999999999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57"/>
        <v>162550.62446383186</v>
      </c>
      <c r="F8" s="44">
        <v>89495</v>
      </c>
      <c r="G8" s="13">
        <v>0</v>
      </c>
      <c r="H8" s="44">
        <v>0</v>
      </c>
      <c r="I8" s="16">
        <f t="shared" si="458"/>
        <v>89495</v>
      </c>
      <c r="J8" s="17">
        <f t="shared" si="459"/>
        <v>181920</v>
      </c>
      <c r="K8" s="18">
        <f t="shared" si="460"/>
        <v>0</v>
      </c>
      <c r="L8" s="19">
        <f t="shared" si="461"/>
        <v>0</v>
      </c>
      <c r="M8" s="34">
        <v>315000</v>
      </c>
      <c r="N8" s="34">
        <v>0</v>
      </c>
      <c r="O8" s="34">
        <v>0</v>
      </c>
      <c r="P8" s="34">
        <v>0</v>
      </c>
      <c r="Q8" s="34">
        <v>0</v>
      </c>
      <c r="R8" s="34">
        <f t="shared" si="462"/>
        <v>315000</v>
      </c>
      <c r="S8" s="35">
        <f t="shared" si="463"/>
        <v>404495</v>
      </c>
      <c r="T8" s="35">
        <f t="shared" si="464"/>
        <v>222575</v>
      </c>
      <c r="U8" s="19">
        <f t="shared" si="465"/>
        <v>2.2234773526824978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57"/>
        <v>58014.486907145576</v>
      </c>
      <c r="F9" s="13">
        <v>0</v>
      </c>
      <c r="G9" s="13">
        <v>0</v>
      </c>
      <c r="H9" s="13">
        <v>0</v>
      </c>
      <c r="I9" s="16">
        <f t="shared" si="458"/>
        <v>0</v>
      </c>
      <c r="J9" s="17">
        <f t="shared" si="459"/>
        <v>54304</v>
      </c>
      <c r="K9" s="18">
        <f t="shared" si="460"/>
        <v>0</v>
      </c>
      <c r="L9" s="19">
        <f t="shared" si="461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462"/>
        <v>160000</v>
      </c>
      <c r="S9" s="35">
        <f t="shared" si="463"/>
        <v>160000</v>
      </c>
      <c r="T9" s="35">
        <f t="shared" si="464"/>
        <v>105696</v>
      </c>
      <c r="U9" s="19">
        <f t="shared" si="465"/>
        <v>2.9463759575721862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57"/>
        <v>1071387.0254542665</v>
      </c>
      <c r="F10" s="13">
        <v>94377</v>
      </c>
      <c r="G10" s="13">
        <v>0</v>
      </c>
      <c r="H10" s="13">
        <v>0</v>
      </c>
      <c r="I10" s="16">
        <f t="shared" si="458"/>
        <v>94377</v>
      </c>
      <c r="J10" s="17">
        <f t="shared" si="459"/>
        <v>493800</v>
      </c>
      <c r="K10" s="18">
        <f t="shared" si="460"/>
        <v>0</v>
      </c>
      <c r="L10" s="19">
        <f t="shared" si="461"/>
        <v>0</v>
      </c>
      <c r="M10" s="34">
        <v>240000</v>
      </c>
      <c r="N10" s="34">
        <v>120000</v>
      </c>
      <c r="O10" s="34">
        <v>200000</v>
      </c>
      <c r="P10" s="34">
        <v>0</v>
      </c>
      <c r="Q10" s="34">
        <v>0</v>
      </c>
      <c r="R10" s="34">
        <f t="shared" si="462"/>
        <v>560000</v>
      </c>
      <c r="S10" s="35">
        <f t="shared" si="463"/>
        <v>654377</v>
      </c>
      <c r="T10" s="35">
        <f t="shared" si="464"/>
        <v>160577</v>
      </c>
      <c r="U10" s="19">
        <f t="shared" si="465"/>
        <v>1.3251863102470636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57"/>
        <v>0</v>
      </c>
      <c r="F11" s="13">
        <v>0</v>
      </c>
      <c r="G11" s="13">
        <v>0</v>
      </c>
      <c r="H11" s="13">
        <v>0</v>
      </c>
      <c r="I11" s="16">
        <f t="shared" si="458"/>
        <v>0</v>
      </c>
      <c r="J11" s="17">
        <f t="shared" si="459"/>
        <v>0</v>
      </c>
      <c r="K11" s="18">
        <f t="shared" si="460"/>
        <v>0</v>
      </c>
      <c r="L11" s="19" t="e">
        <f t="shared" si="461"/>
        <v>#DIV/0!</v>
      </c>
      <c r="M11" s="34">
        <v>76000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62"/>
        <v>76000</v>
      </c>
      <c r="S11" s="35">
        <f t="shared" si="463"/>
        <v>76000</v>
      </c>
      <c r="T11" s="35">
        <f t="shared" si="464"/>
        <v>76000</v>
      </c>
      <c r="U11" s="19" t="e">
        <f t="shared" si="465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57"/>
        <v>0</v>
      </c>
      <c r="F12" s="13">
        <v>0</v>
      </c>
      <c r="G12" s="13">
        <v>0</v>
      </c>
      <c r="H12" s="13">
        <v>0</v>
      </c>
      <c r="I12" s="16">
        <f t="shared" si="458"/>
        <v>0</v>
      </c>
      <c r="J12" s="17">
        <f t="shared" si="459"/>
        <v>0</v>
      </c>
      <c r="K12" s="18">
        <f t="shared" si="460"/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62"/>
        <v>0</v>
      </c>
      <c r="S12" s="35">
        <f t="shared" si="463"/>
        <v>0</v>
      </c>
      <c r="T12" s="35">
        <f t="shared" si="464"/>
        <v>0</v>
      </c>
      <c r="U12" s="19" t="e">
        <f t="shared" si="465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57"/>
        <v>0</v>
      </c>
      <c r="F13" s="13">
        <v>0</v>
      </c>
      <c r="G13" s="13">
        <v>0</v>
      </c>
      <c r="H13" s="13">
        <v>0</v>
      </c>
      <c r="I13" s="16">
        <f t="shared" si="458"/>
        <v>0</v>
      </c>
      <c r="J13" s="17">
        <f t="shared" si="459"/>
        <v>0</v>
      </c>
      <c r="K13" s="18">
        <f t="shared" si="46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62"/>
        <v>0</v>
      </c>
      <c r="S13" s="35">
        <f t="shared" si="463"/>
        <v>0</v>
      </c>
      <c r="T13" s="35">
        <f t="shared" si="464"/>
        <v>0</v>
      </c>
      <c r="U13" s="19" t="e">
        <f t="shared" si="465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57"/>
        <v>0</v>
      </c>
      <c r="F14" s="13">
        <v>0</v>
      </c>
      <c r="G14" s="13">
        <v>0</v>
      </c>
      <c r="H14" s="13">
        <v>0</v>
      </c>
      <c r="I14" s="16">
        <f t="shared" si="458"/>
        <v>0</v>
      </c>
      <c r="J14" s="17">
        <f t="shared" si="459"/>
        <v>0</v>
      </c>
      <c r="K14" s="18">
        <f t="shared" si="46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62"/>
        <v>0</v>
      </c>
      <c r="S14" s="35">
        <f t="shared" si="463"/>
        <v>0</v>
      </c>
      <c r="T14" s="35">
        <f t="shared" si="464"/>
        <v>0</v>
      </c>
      <c r="U14" s="19" t="e">
        <f t="shared" si="465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57"/>
        <v>0</v>
      </c>
      <c r="F15" s="13">
        <v>0</v>
      </c>
      <c r="G15" s="13">
        <v>0</v>
      </c>
      <c r="H15" s="13">
        <v>0</v>
      </c>
      <c r="I15" s="16">
        <f t="shared" si="458"/>
        <v>0</v>
      </c>
      <c r="J15" s="17">
        <f t="shared" si="459"/>
        <v>0</v>
      </c>
      <c r="K15" s="18">
        <f t="shared" si="46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62"/>
        <v>0</v>
      </c>
      <c r="S15" s="35">
        <f t="shared" si="463"/>
        <v>0</v>
      </c>
      <c r="T15" s="35">
        <f t="shared" si="464"/>
        <v>0</v>
      </c>
      <c r="U15" s="19" t="e">
        <f t="shared" si="465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57"/>
        <v>0</v>
      </c>
      <c r="F16" s="13">
        <v>0</v>
      </c>
      <c r="G16" s="13">
        <v>0</v>
      </c>
      <c r="H16" s="13">
        <v>0</v>
      </c>
      <c r="I16" s="16">
        <f t="shared" si="458"/>
        <v>0</v>
      </c>
      <c r="J16" s="17">
        <f t="shared" si="459"/>
        <v>0</v>
      </c>
      <c r="K16" s="18">
        <f t="shared" si="460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62"/>
        <v>0</v>
      </c>
      <c r="S16" s="35">
        <f t="shared" si="463"/>
        <v>0</v>
      </c>
      <c r="T16" s="35">
        <f t="shared" si="464"/>
        <v>0</v>
      </c>
      <c r="U16" s="19" t="e">
        <f t="shared" si="465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57"/>
        <v>0</v>
      </c>
      <c r="F17" s="13">
        <v>0</v>
      </c>
      <c r="G17" s="13">
        <v>0</v>
      </c>
      <c r="H17" s="13">
        <v>0</v>
      </c>
      <c r="I17" s="16">
        <f t="shared" si="458"/>
        <v>0</v>
      </c>
      <c r="J17" s="17">
        <f t="shared" si="459"/>
        <v>0</v>
      </c>
      <c r="K17" s="18">
        <f t="shared" si="460"/>
        <v>0</v>
      </c>
      <c r="L17" s="19" t="e">
        <f t="shared" ref="L17:L18" si="466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62"/>
        <v>0</v>
      </c>
      <c r="S17" s="35">
        <f t="shared" si="463"/>
        <v>0</v>
      </c>
      <c r="T17" s="35">
        <f t="shared" si="464"/>
        <v>0</v>
      </c>
      <c r="U17" s="19" t="e">
        <f t="shared" si="465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67">SUM(E3:E17)</f>
        <v>2959164.6447321521</v>
      </c>
      <c r="F18" s="24">
        <f t="shared" si="467"/>
        <v>867879</v>
      </c>
      <c r="G18" s="24">
        <f t="shared" si="467"/>
        <v>0</v>
      </c>
      <c r="H18" s="24">
        <f t="shared" si="467"/>
        <v>0</v>
      </c>
      <c r="I18" s="25">
        <f t="shared" si="467"/>
        <v>867879</v>
      </c>
      <c r="J18" s="26">
        <f t="shared" si="467"/>
        <v>1719160</v>
      </c>
      <c r="K18" s="26">
        <f t="shared" si="467"/>
        <v>0</v>
      </c>
      <c r="L18" s="27">
        <f t="shared" si="466"/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62"/>
        <v>0</v>
      </c>
      <c r="S18" s="35">
        <f t="shared" si="463"/>
        <v>867879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C70068-00D7-405C-AB9A-00B2007700D1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90000C-00D3-46D7-A0FF-00AA00E200A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A7001A-00B0-4674-BECE-00060083009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B0012-00F4-4DBA-9446-007000DA000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4A008E-0099-419C-8566-003100C5006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AB00E3-00C1-4B0C-9E0C-00B50039007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A60060-006F-4B9A-9D92-005400EA004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15" activeCellId="0" sqref="F15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89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110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364914</v>
      </c>
      <c r="D3" s="51">
        <v>2.8923780588381258</v>
      </c>
      <c r="E3" s="12">
        <f t="shared" ref="E3:E17" si="468">C3*D3</f>
        <v>1055469.2469628558</v>
      </c>
      <c r="F3" s="13">
        <v>0</v>
      </c>
      <c r="G3" s="44">
        <v>92949</v>
      </c>
      <c r="H3" s="13">
        <v>92825</v>
      </c>
      <c r="I3" s="16">
        <f t="shared" ref="I3:I17" si="469">F3+H3</f>
        <v>92825</v>
      </c>
      <c r="J3" s="17">
        <f t="shared" ref="J3:J17" si="470">C3-G3</f>
        <v>271965</v>
      </c>
      <c r="K3" s="18">
        <f t="shared" ref="K3:K16" si="471">+G3*D3</f>
        <v>268843.64819094498</v>
      </c>
      <c r="L3" s="19">
        <f t="shared" ref="L3:L11" si="472">K3/E3</f>
        <v>0.2547148095167629</v>
      </c>
      <c r="M3" s="34">
        <v>185000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8" si="473">M3+N3+O3+P3+Q3</f>
        <v>546000</v>
      </c>
      <c r="S3" s="35">
        <f t="shared" ref="S3:S18" si="474">G3+I3+R3</f>
        <v>731774</v>
      </c>
      <c r="T3" s="35">
        <f t="shared" ref="T3:T17" si="475">S3-C3</f>
        <v>366860</v>
      </c>
      <c r="U3" s="19">
        <f t="shared" ref="U3:U17" si="476">S3/C3</f>
        <v>2.005332763336019</v>
      </c>
    </row>
    <row r="4">
      <c r="A4" s="9" t="s">
        <v>22</v>
      </c>
      <c r="B4" s="9" t="s">
        <v>23</v>
      </c>
      <c r="C4" s="14">
        <v>0</v>
      </c>
      <c r="D4" s="11">
        <v>1.3029343529557731</v>
      </c>
      <c r="E4" s="12">
        <f t="shared" si="468"/>
        <v>0</v>
      </c>
      <c r="F4" s="13">
        <v>0</v>
      </c>
      <c r="G4" s="13">
        <v>159776</v>
      </c>
      <c r="H4" s="13">
        <v>0</v>
      </c>
      <c r="I4" s="16">
        <f t="shared" si="469"/>
        <v>0</v>
      </c>
      <c r="J4" s="17">
        <f t="shared" si="470"/>
        <v>-159776</v>
      </c>
      <c r="K4" s="18">
        <f t="shared" si="471"/>
        <v>208177.63917786159</v>
      </c>
      <c r="L4" s="19" t="e">
        <f t="shared" si="472"/>
        <v>#DIV/0!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73"/>
        <v>0</v>
      </c>
      <c r="S4" s="35">
        <f t="shared" si="474"/>
        <v>159776</v>
      </c>
      <c r="T4" s="35">
        <f t="shared" si="475"/>
        <v>159776</v>
      </c>
      <c r="U4" s="19" t="e">
        <f t="shared" si="476"/>
        <v>#DIV/0!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68"/>
        <v>0</v>
      </c>
      <c r="F5" s="13">
        <v>0</v>
      </c>
      <c r="G5" s="13">
        <v>0</v>
      </c>
      <c r="H5" s="13">
        <v>0</v>
      </c>
      <c r="I5" s="16">
        <f t="shared" si="469"/>
        <v>0</v>
      </c>
      <c r="J5" s="17">
        <f t="shared" si="470"/>
        <v>0</v>
      </c>
      <c r="K5" s="18">
        <f t="shared" si="471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73"/>
        <v>0</v>
      </c>
      <c r="S5" s="35">
        <f t="shared" si="474"/>
        <v>0</v>
      </c>
      <c r="T5" s="35">
        <f t="shared" si="475"/>
        <v>0</v>
      </c>
      <c r="U5" s="19" t="e">
        <f t="shared" si="476"/>
        <v>#DIV/0!</v>
      </c>
    </row>
    <row r="6">
      <c r="A6" s="9" t="s">
        <v>26</v>
      </c>
      <c r="B6" s="9" t="s">
        <v>27</v>
      </c>
      <c r="C6" s="14">
        <v>424222</v>
      </c>
      <c r="D6" s="51">
        <v>1.1430280588381259</v>
      </c>
      <c r="E6" s="12">
        <f t="shared" si="468"/>
        <v>484897.64917642745</v>
      </c>
      <c r="F6" s="13">
        <v>12589</v>
      </c>
      <c r="G6" s="44">
        <v>63547</v>
      </c>
      <c r="H6" s="44">
        <v>0</v>
      </c>
      <c r="I6" s="16">
        <f t="shared" si="469"/>
        <v>12589</v>
      </c>
      <c r="J6" s="17">
        <f t="shared" si="470"/>
        <v>360675</v>
      </c>
      <c r="K6" s="18">
        <f t="shared" si="471"/>
        <v>72636.004054986377</v>
      </c>
      <c r="L6" s="19">
        <f t="shared" si="472"/>
        <v>0.14979656877766828</v>
      </c>
      <c r="M6" s="34">
        <v>160000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473"/>
        <v>415500</v>
      </c>
      <c r="S6" s="35">
        <f t="shared" si="474"/>
        <v>491636</v>
      </c>
      <c r="T6" s="35">
        <f t="shared" si="475"/>
        <v>67414</v>
      </c>
      <c r="U6" s="19">
        <f t="shared" si="476"/>
        <v>1.1589120790529488</v>
      </c>
    </row>
    <row r="7">
      <c r="A7" s="9" t="s">
        <v>28</v>
      </c>
      <c r="B7" s="9" t="s">
        <v>29</v>
      </c>
      <c r="C7" s="14">
        <v>200000</v>
      </c>
      <c r="D7" s="51">
        <v>0.63422805883812572</v>
      </c>
      <c r="E7" s="12">
        <f t="shared" si="468"/>
        <v>126845.61176762515</v>
      </c>
      <c r="F7" s="13">
        <v>206563</v>
      </c>
      <c r="G7" s="13">
        <v>0</v>
      </c>
      <c r="H7" s="13">
        <v>237600</v>
      </c>
      <c r="I7" s="16">
        <f t="shared" si="469"/>
        <v>444163</v>
      </c>
      <c r="J7" s="17">
        <f t="shared" si="470"/>
        <v>200000</v>
      </c>
      <c r="K7" s="18">
        <f t="shared" si="471"/>
        <v>0</v>
      </c>
      <c r="L7" s="19">
        <f t="shared" si="472"/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73"/>
        <v>0</v>
      </c>
      <c r="S7" s="35">
        <f t="shared" si="474"/>
        <v>444163</v>
      </c>
      <c r="T7" s="35">
        <f t="shared" si="475"/>
        <v>244163</v>
      </c>
      <c r="U7" s="19">
        <f t="shared" si="476"/>
        <v>2.220815</v>
      </c>
    </row>
    <row r="8">
      <c r="A8" s="9" t="s">
        <v>30</v>
      </c>
      <c r="B8" s="9" t="s">
        <v>31</v>
      </c>
      <c r="C8" s="14">
        <v>181920</v>
      </c>
      <c r="D8" s="11">
        <v>0.89352805883812592</v>
      </c>
      <c r="E8" s="12">
        <f t="shared" si="468"/>
        <v>162550.62446383186</v>
      </c>
      <c r="F8" s="44">
        <v>261356</v>
      </c>
      <c r="G8" s="13">
        <v>89495</v>
      </c>
      <c r="H8" s="44">
        <v>0</v>
      </c>
      <c r="I8" s="16">
        <f t="shared" si="469"/>
        <v>261356</v>
      </c>
      <c r="J8" s="17">
        <f t="shared" si="470"/>
        <v>92425</v>
      </c>
      <c r="K8" s="18">
        <f t="shared" si="471"/>
        <v>79966.293625718085</v>
      </c>
      <c r="L8" s="19">
        <f t="shared" si="472"/>
        <v>0.49194700967458227</v>
      </c>
      <c r="M8" s="34">
        <v>315000</v>
      </c>
      <c r="N8" s="34">
        <v>0</v>
      </c>
      <c r="O8" s="34">
        <v>0</v>
      </c>
      <c r="P8" s="34">
        <v>0</v>
      </c>
      <c r="Q8" s="34">
        <v>0</v>
      </c>
      <c r="R8" s="34">
        <f t="shared" si="473"/>
        <v>315000</v>
      </c>
      <c r="S8" s="35">
        <f t="shared" si="474"/>
        <v>665851</v>
      </c>
      <c r="T8" s="35">
        <f t="shared" si="475"/>
        <v>483931</v>
      </c>
      <c r="U8" s="19">
        <f t="shared" si="476"/>
        <v>3.6601308267370274</v>
      </c>
    </row>
    <row r="9">
      <c r="A9" s="9" t="s">
        <v>32</v>
      </c>
      <c r="B9" s="9" t="s">
        <v>33</v>
      </c>
      <c r="C9" s="14">
        <v>54304</v>
      </c>
      <c r="D9" s="51">
        <v>1.0683280588381256</v>
      </c>
      <c r="E9" s="12">
        <f t="shared" si="468"/>
        <v>58014.486907145576</v>
      </c>
      <c r="F9" s="13">
        <v>0</v>
      </c>
      <c r="G9" s="13">
        <v>0</v>
      </c>
      <c r="H9" s="13">
        <v>0</v>
      </c>
      <c r="I9" s="16">
        <f t="shared" si="469"/>
        <v>0</v>
      </c>
      <c r="J9" s="17">
        <f t="shared" si="470"/>
        <v>54304</v>
      </c>
      <c r="K9" s="18">
        <f t="shared" si="471"/>
        <v>0</v>
      </c>
      <c r="L9" s="19">
        <f t="shared" si="472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473"/>
        <v>160000</v>
      </c>
      <c r="S9" s="35">
        <f t="shared" si="474"/>
        <v>160000</v>
      </c>
      <c r="T9" s="35">
        <f t="shared" si="475"/>
        <v>105696</v>
      </c>
      <c r="U9" s="19">
        <f t="shared" si="476"/>
        <v>2.9463759575721862</v>
      </c>
    </row>
    <row r="10">
      <c r="A10" s="9" t="s">
        <v>34</v>
      </c>
      <c r="B10" s="9" t="s">
        <v>35</v>
      </c>
      <c r="C10" s="14">
        <v>493800</v>
      </c>
      <c r="D10" s="51">
        <v>2.1696780588381257</v>
      </c>
      <c r="E10" s="12">
        <f t="shared" si="468"/>
        <v>1071387.0254542665</v>
      </c>
      <c r="F10" s="13">
        <v>4</v>
      </c>
      <c r="G10" s="13">
        <v>94373</v>
      </c>
      <c r="H10" s="13">
        <v>0</v>
      </c>
      <c r="I10" s="16">
        <f t="shared" si="469"/>
        <v>4</v>
      </c>
      <c r="J10" s="17">
        <f t="shared" si="470"/>
        <v>399427</v>
      </c>
      <c r="K10" s="18">
        <f t="shared" si="471"/>
        <v>204759.02744673044</v>
      </c>
      <c r="L10" s="19">
        <f t="shared" si="472"/>
        <v>0.19111583637100041</v>
      </c>
      <c r="M10" s="34">
        <v>240000</v>
      </c>
      <c r="N10" s="34">
        <v>120000</v>
      </c>
      <c r="O10" s="34">
        <v>200000</v>
      </c>
      <c r="P10" s="34">
        <v>0</v>
      </c>
      <c r="Q10" s="34">
        <v>0</v>
      </c>
      <c r="R10" s="34">
        <f t="shared" si="473"/>
        <v>560000</v>
      </c>
      <c r="S10" s="35">
        <f t="shared" si="474"/>
        <v>654377</v>
      </c>
      <c r="T10" s="35">
        <f t="shared" si="475"/>
        <v>160577</v>
      </c>
      <c r="U10" s="19">
        <f t="shared" si="476"/>
        <v>1.3251863102470636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468"/>
        <v>0</v>
      </c>
      <c r="F11" s="13">
        <v>0</v>
      </c>
      <c r="G11" s="13">
        <v>0</v>
      </c>
      <c r="H11" s="13">
        <v>0</v>
      </c>
      <c r="I11" s="16">
        <f t="shared" si="469"/>
        <v>0</v>
      </c>
      <c r="J11" s="17">
        <f t="shared" si="470"/>
        <v>0</v>
      </c>
      <c r="K11" s="18">
        <f t="shared" si="471"/>
        <v>0</v>
      </c>
      <c r="L11" s="19" t="e">
        <f t="shared" si="472"/>
        <v>#DIV/0!</v>
      </c>
      <c r="M11" s="34">
        <v>76000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473"/>
        <v>76000</v>
      </c>
      <c r="S11" s="35">
        <f t="shared" si="474"/>
        <v>76000</v>
      </c>
      <c r="T11" s="35">
        <f t="shared" si="475"/>
        <v>76000</v>
      </c>
      <c r="U11" s="19" t="e">
        <f t="shared" si="476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68"/>
        <v>0</v>
      </c>
      <c r="F12" s="13">
        <v>0</v>
      </c>
      <c r="G12" s="13">
        <v>0</v>
      </c>
      <c r="H12" s="13">
        <v>0</v>
      </c>
      <c r="I12" s="16">
        <f t="shared" si="469"/>
        <v>0</v>
      </c>
      <c r="J12" s="17">
        <f t="shared" si="470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73"/>
        <v>0</v>
      </c>
      <c r="S12" s="35">
        <f t="shared" si="474"/>
        <v>0</v>
      </c>
      <c r="T12" s="35">
        <f t="shared" si="475"/>
        <v>0</v>
      </c>
      <c r="U12" s="19" t="e">
        <f t="shared" si="47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68"/>
        <v>0</v>
      </c>
      <c r="F13" s="13">
        <v>0</v>
      </c>
      <c r="G13" s="13">
        <v>0</v>
      </c>
      <c r="H13" s="13">
        <v>0</v>
      </c>
      <c r="I13" s="16">
        <f t="shared" si="469"/>
        <v>0</v>
      </c>
      <c r="J13" s="17">
        <f t="shared" si="470"/>
        <v>0</v>
      </c>
      <c r="K13" s="18">
        <f t="shared" si="47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73"/>
        <v>0</v>
      </c>
      <c r="S13" s="35">
        <f t="shared" si="474"/>
        <v>0</v>
      </c>
      <c r="T13" s="35">
        <f t="shared" si="475"/>
        <v>0</v>
      </c>
      <c r="U13" s="19" t="e">
        <f t="shared" si="47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68"/>
        <v>0</v>
      </c>
      <c r="F14" s="13">
        <v>0</v>
      </c>
      <c r="G14" s="13">
        <v>0</v>
      </c>
      <c r="H14" s="13">
        <v>0</v>
      </c>
      <c r="I14" s="16">
        <f t="shared" si="469"/>
        <v>0</v>
      </c>
      <c r="J14" s="17">
        <f t="shared" si="470"/>
        <v>0</v>
      </c>
      <c r="K14" s="18">
        <f t="shared" si="47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73"/>
        <v>0</v>
      </c>
      <c r="S14" s="35">
        <f t="shared" si="474"/>
        <v>0</v>
      </c>
      <c r="T14" s="35">
        <f t="shared" si="475"/>
        <v>0</v>
      </c>
      <c r="U14" s="19" t="e">
        <f t="shared" si="47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68"/>
        <v>0</v>
      </c>
      <c r="F15" s="13">
        <v>0</v>
      </c>
      <c r="G15" s="13">
        <v>0</v>
      </c>
      <c r="H15" s="13">
        <v>0</v>
      </c>
      <c r="I15" s="16">
        <f t="shared" si="469"/>
        <v>0</v>
      </c>
      <c r="J15" s="17">
        <f t="shared" si="470"/>
        <v>0</v>
      </c>
      <c r="K15" s="18">
        <f>+G15*D15</f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73"/>
        <v>0</v>
      </c>
      <c r="S15" s="35">
        <f t="shared" si="474"/>
        <v>0</v>
      </c>
      <c r="T15" s="35">
        <f t="shared" si="475"/>
        <v>0</v>
      </c>
      <c r="U15" s="19" t="e">
        <f t="shared" si="47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68"/>
        <v>0</v>
      </c>
      <c r="F16" s="13">
        <v>0</v>
      </c>
      <c r="G16" s="13">
        <v>0</v>
      </c>
      <c r="H16" s="13">
        <v>0</v>
      </c>
      <c r="I16" s="16">
        <f t="shared" si="469"/>
        <v>0</v>
      </c>
      <c r="J16" s="17">
        <f t="shared" si="470"/>
        <v>0</v>
      </c>
      <c r="K16" s="18">
        <f t="shared" si="471"/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73"/>
        <v>0</v>
      </c>
      <c r="S16" s="35">
        <f t="shared" si="474"/>
        <v>0</v>
      </c>
      <c r="T16" s="35">
        <f t="shared" si="475"/>
        <v>0</v>
      </c>
      <c r="U16" s="19" t="e">
        <f t="shared" si="476"/>
        <v>#DIV/0!</v>
      </c>
    </row>
    <row r="17">
      <c r="A17" s="20" t="s">
        <v>48</v>
      </c>
      <c r="B17" s="9" t="s">
        <v>49</v>
      </c>
      <c r="C17" s="14">
        <v>0</v>
      </c>
      <c r="D17" s="11">
        <v>3.0573254068481477</v>
      </c>
      <c r="E17" s="12">
        <f t="shared" si="468"/>
        <v>0</v>
      </c>
      <c r="F17" s="13">
        <v>0</v>
      </c>
      <c r="G17" s="13">
        <v>0</v>
      </c>
      <c r="H17" s="13">
        <v>0</v>
      </c>
      <c r="I17" s="16">
        <f t="shared" si="469"/>
        <v>0</v>
      </c>
      <c r="J17" s="17">
        <f t="shared" si="470"/>
        <v>0</v>
      </c>
      <c r="K17" s="18">
        <f>+G17*D17</f>
        <v>0</v>
      </c>
      <c r="L17" s="19" t="e">
        <f t="shared" ref="L17:L18" si="477">K17/E17</f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73"/>
        <v>0</v>
      </c>
      <c r="S17" s="35">
        <f t="shared" si="474"/>
        <v>0</v>
      </c>
      <c r="T17" s="35">
        <f t="shared" si="475"/>
        <v>0</v>
      </c>
      <c r="U17" s="19" t="e">
        <f t="shared" si="476"/>
        <v>#DIV/0!</v>
      </c>
    </row>
    <row r="18" ht="16.5">
      <c r="A18" s="21" t="s">
        <v>50</v>
      </c>
      <c r="B18" s="21"/>
      <c r="C18" s="36">
        <f>SUM(C3:C17)</f>
        <v>1719160</v>
      </c>
      <c r="D18" s="23"/>
      <c r="E18" s="22">
        <f t="shared" ref="E18:K18" si="478">SUM(E3:E17)</f>
        <v>2959164.6447321521</v>
      </c>
      <c r="F18" s="24">
        <f t="shared" si="478"/>
        <v>480512</v>
      </c>
      <c r="G18" s="24">
        <f t="shared" si="478"/>
        <v>500140</v>
      </c>
      <c r="H18" s="24">
        <f t="shared" si="478"/>
        <v>330425</v>
      </c>
      <c r="I18" s="25">
        <f t="shared" si="478"/>
        <v>810937</v>
      </c>
      <c r="J18" s="26">
        <f t="shared" si="478"/>
        <v>1219020</v>
      </c>
      <c r="K18" s="26">
        <f t="shared" si="478"/>
        <v>834382.61249624146</v>
      </c>
      <c r="L18" s="27">
        <f t="shared" si="477"/>
        <v>0.2819655925470701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73"/>
        <v>0</v>
      </c>
      <c r="S18" s="35">
        <f t="shared" si="474"/>
        <v>1311077</v>
      </c>
      <c r="T18" s="41"/>
    </row>
    <row r="19">
      <c r="B19" s="28"/>
      <c r="C19" s="28"/>
      <c r="D19" s="28"/>
      <c r="E19" s="28"/>
      <c r="K19" t="s">
        <v>64</v>
      </c>
    </row>
    <row r="20">
      <c r="B20" s="28"/>
      <c r="C20" s="28"/>
      <c r="D20" s="28"/>
      <c r="E20" s="28"/>
      <c r="G20" s="42" t="s">
        <v>64</v>
      </c>
    </row>
    <row r="21" ht="16.5">
      <c r="B21" s="48" t="s">
        <v>64</v>
      </c>
      <c r="C21" s="49" t="s">
        <v>64</v>
      </c>
      <c r="D21" s="28"/>
      <c r="E21" s="45"/>
      <c r="F21" s="42" t="s">
        <v>64</v>
      </c>
      <c r="G21" s="42"/>
      <c r="H21" s="52" t="s">
        <v>64</v>
      </c>
    </row>
    <row r="22" ht="16.5">
      <c r="B22" s="48" t="s">
        <v>64</v>
      </c>
      <c r="C22" s="49" t="s">
        <v>64</v>
      </c>
      <c r="D22" s="28"/>
      <c r="E22" s="45" t="s">
        <v>64</v>
      </c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91</v>
      </c>
      <c r="D23" s="28"/>
      <c r="E23" s="45" t="s">
        <v>64</v>
      </c>
      <c r="F23" s="46"/>
      <c r="G23" s="42" t="s">
        <v>64</v>
      </c>
    </row>
    <row r="24" ht="16.5">
      <c r="B24" s="48" t="s">
        <v>64</v>
      </c>
      <c r="C24" s="49" t="s">
        <v>64</v>
      </c>
      <c r="D24" s="28"/>
      <c r="E24" s="28" t="s">
        <v>64</v>
      </c>
      <c r="G24" t="s">
        <v>64</v>
      </c>
    </row>
    <row r="25" ht="16.5">
      <c r="B25" s="48" t="s">
        <v>64</v>
      </c>
      <c r="C25" s="49" t="s">
        <v>91</v>
      </c>
      <c r="D25" s="28"/>
      <c r="E25" s="28" t="s">
        <v>64</v>
      </c>
    </row>
    <row r="26" ht="16.5">
      <c r="B26" s="48" t="s">
        <v>64</v>
      </c>
      <c r="C26" s="49" t="s">
        <v>64</v>
      </c>
      <c r="D26" s="28"/>
      <c r="E26" s="28" t="s">
        <v>64</v>
      </c>
    </row>
    <row r="27" ht="16.5">
      <c r="B27" s="48" t="s">
        <v>64</v>
      </c>
      <c r="C27" s="49" t="s">
        <v>64</v>
      </c>
    </row>
    <row r="28" ht="16.5">
      <c r="B28" s="48" t="s">
        <v>64</v>
      </c>
      <c r="C28" s="49" t="s">
        <v>64</v>
      </c>
    </row>
    <row r="29">
      <c r="B29" s="28"/>
      <c r="C29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2F008E-001D-44C4-80E6-000A00D00049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6" operator="greaterThan" id="{00D300C8-0085-4858-AA64-00F700BF00E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830075-000A-4E3F-A8E5-0026007D00B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820034-009C-4A39-B7A5-003C00CA00F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3E005F-0013-465C-A30A-0085003F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9A00FD-0085-4CDC-B37F-00BC005600D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2200C5-00DA-472E-ADD7-00650024000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D14" activeCellId="0" sqref="D14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112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479">C3*D3</f>
        <v>1044055.9231426805</v>
      </c>
      <c r="F3" s="13">
        <v>74266</v>
      </c>
      <c r="G3" s="44">
        <v>185774</v>
      </c>
      <c r="H3" s="13">
        <v>0</v>
      </c>
      <c r="I3" s="16">
        <f t="shared" ref="I3:I18" si="480">F3+H3</f>
        <v>74266</v>
      </c>
      <c r="J3" s="17">
        <f t="shared" ref="J3:J18" si="481">C3-G3</f>
        <v>175194</v>
      </c>
      <c r="K3" s="18">
        <f t="shared" ref="K3:K17" si="482">+G3*D3</f>
        <v>537328.64150259399</v>
      </c>
      <c r="L3" s="19">
        <f t="shared" ref="L3:L11" si="483">K3/E3</f>
        <v>0.51465503867378826</v>
      </c>
      <c r="M3" s="34">
        <v>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9" si="484">M3+N3+O3+P3+Q3</f>
        <v>361000</v>
      </c>
      <c r="S3" s="35">
        <f t="shared" ref="S3:S19" si="485">G3+I3+R3</f>
        <v>621040</v>
      </c>
      <c r="T3" s="35">
        <f t="shared" ref="T3:T18" si="486">S3-C3</f>
        <v>260072</v>
      </c>
      <c r="U3" s="19">
        <f t="shared" ref="U3:U18" si="487">S3/C3</f>
        <v>1.7204849183307107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479"/>
        <v>826416.08085231704</v>
      </c>
      <c r="F4" s="13">
        <v>405531</v>
      </c>
      <c r="G4" s="13">
        <v>159776</v>
      </c>
      <c r="H4" s="13">
        <v>0</v>
      </c>
      <c r="I4" s="16">
        <f t="shared" si="480"/>
        <v>405531</v>
      </c>
      <c r="J4" s="17">
        <f t="shared" si="481"/>
        <v>474497</v>
      </c>
      <c r="K4" s="18">
        <f t="shared" si="482"/>
        <v>208177.63917786159</v>
      </c>
      <c r="L4" s="19">
        <f t="shared" si="483"/>
        <v>0.25190414852910342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84"/>
        <v>0</v>
      </c>
      <c r="S4" s="35">
        <f t="shared" si="485"/>
        <v>565307</v>
      </c>
      <c r="T4" s="35">
        <f t="shared" si="486"/>
        <v>-68966</v>
      </c>
      <c r="U4" s="19">
        <f t="shared" si="487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79"/>
        <v>0</v>
      </c>
      <c r="F5" s="13">
        <v>0</v>
      </c>
      <c r="G5" s="13">
        <v>0</v>
      </c>
      <c r="H5" s="13">
        <v>0</v>
      </c>
      <c r="I5" s="16">
        <f t="shared" si="480"/>
        <v>0</v>
      </c>
      <c r="J5" s="17">
        <f t="shared" si="481"/>
        <v>0</v>
      </c>
      <c r="K5" s="18">
        <f t="shared" si="482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84"/>
        <v>0</v>
      </c>
      <c r="S5" s="35">
        <f t="shared" si="485"/>
        <v>0</v>
      </c>
      <c r="T5" s="35">
        <f t="shared" si="486"/>
        <v>0</v>
      </c>
      <c r="U5" s="19" t="e">
        <f t="shared" si="487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479"/>
        <v>534559.93227682635</v>
      </c>
      <c r="F6" s="13">
        <v>171188</v>
      </c>
      <c r="G6" s="44">
        <v>63547</v>
      </c>
      <c r="H6" s="44">
        <v>0</v>
      </c>
      <c r="I6" s="16">
        <f t="shared" si="480"/>
        <v>171188</v>
      </c>
      <c r="J6" s="17">
        <f t="shared" si="481"/>
        <v>404123</v>
      </c>
      <c r="K6" s="18">
        <f t="shared" si="482"/>
        <v>72636.004054986377</v>
      </c>
      <c r="L6" s="19">
        <f t="shared" si="483"/>
        <v>0.13588000085530394</v>
      </c>
      <c r="M6" s="34">
        <v>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484"/>
        <v>255500</v>
      </c>
      <c r="S6" s="35">
        <f t="shared" si="485"/>
        <v>490235</v>
      </c>
      <c r="T6" s="35">
        <f t="shared" si="486"/>
        <v>22565</v>
      </c>
      <c r="U6" s="19">
        <f t="shared" si="487"/>
        <v>1.048249834284859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479"/>
        <v>225239.75281577196</v>
      </c>
      <c r="F7" s="13">
        <v>206563</v>
      </c>
      <c r="G7" s="13">
        <v>59400</v>
      </c>
      <c r="H7" s="13">
        <v>178200</v>
      </c>
      <c r="I7" s="16">
        <f t="shared" si="480"/>
        <v>384763</v>
      </c>
      <c r="J7" s="17">
        <f t="shared" si="481"/>
        <v>295740</v>
      </c>
      <c r="K7" s="18">
        <f t="shared" si="482"/>
        <v>37673.146694984665</v>
      </c>
      <c r="L7" s="19">
        <f t="shared" si="483"/>
        <v>0.16725798276735934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84"/>
        <v>0</v>
      </c>
      <c r="S7" s="35">
        <f t="shared" si="485"/>
        <v>444163</v>
      </c>
      <c r="T7" s="35">
        <f t="shared" si="486"/>
        <v>89023</v>
      </c>
      <c r="U7" s="19">
        <f t="shared" si="487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479"/>
        <v>352983.79200370744</v>
      </c>
      <c r="F8" s="44">
        <v>305708</v>
      </c>
      <c r="G8" s="13">
        <v>89495</v>
      </c>
      <c r="H8" s="44">
        <v>0</v>
      </c>
      <c r="I8" s="16">
        <f t="shared" si="480"/>
        <v>305708</v>
      </c>
      <c r="J8" s="17">
        <f t="shared" si="481"/>
        <v>305550</v>
      </c>
      <c r="K8" s="18">
        <f t="shared" si="482"/>
        <v>79966.293625718085</v>
      </c>
      <c r="L8" s="19">
        <f t="shared" si="483"/>
        <v>0.22654381146451671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484"/>
        <v>0</v>
      </c>
      <c r="S8" s="35">
        <f t="shared" si="485"/>
        <v>395203</v>
      </c>
      <c r="T8" s="35">
        <f t="shared" si="486"/>
        <v>158</v>
      </c>
      <c r="U8" s="19">
        <f t="shared" si="487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479"/>
        <v>165804.5147316771</v>
      </c>
      <c r="F9" s="13">
        <v>0</v>
      </c>
      <c r="G9" s="13">
        <v>0</v>
      </c>
      <c r="H9" s="13">
        <v>0</v>
      </c>
      <c r="I9" s="16">
        <f t="shared" si="480"/>
        <v>0</v>
      </c>
      <c r="J9" s="17">
        <f t="shared" si="481"/>
        <v>155200</v>
      </c>
      <c r="K9" s="18">
        <f t="shared" si="482"/>
        <v>0</v>
      </c>
      <c r="L9" s="19">
        <f t="shared" si="483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484"/>
        <v>160000</v>
      </c>
      <c r="S9" s="35">
        <f t="shared" si="485"/>
        <v>160000</v>
      </c>
      <c r="T9" s="35">
        <f t="shared" si="486"/>
        <v>4800</v>
      </c>
      <c r="U9" s="19">
        <f t="shared" si="487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479"/>
        <v>1084839.0294190629</v>
      </c>
      <c r="F10" s="13">
        <v>4</v>
      </c>
      <c r="G10" s="13">
        <v>94373</v>
      </c>
      <c r="H10" s="13">
        <v>0</v>
      </c>
      <c r="I10" s="16">
        <f t="shared" si="480"/>
        <v>4</v>
      </c>
      <c r="J10" s="17">
        <f t="shared" si="481"/>
        <v>405627</v>
      </c>
      <c r="K10" s="18">
        <f t="shared" si="482"/>
        <v>204759.02744673044</v>
      </c>
      <c r="L10" s="19">
        <f t="shared" si="483"/>
        <v>0.188746</v>
      </c>
      <c r="M10" s="34">
        <v>0</v>
      </c>
      <c r="N10" s="34">
        <v>240000</v>
      </c>
      <c r="O10" s="34">
        <v>240000</v>
      </c>
      <c r="P10" s="34">
        <v>80000</v>
      </c>
      <c r="Q10" s="34">
        <v>0</v>
      </c>
      <c r="R10" s="34">
        <f t="shared" si="484"/>
        <v>560000</v>
      </c>
      <c r="S10" s="35">
        <f t="shared" si="485"/>
        <v>654377</v>
      </c>
      <c r="T10" s="35">
        <f t="shared" si="486"/>
        <v>154377</v>
      </c>
      <c r="U10" s="19">
        <f t="shared" si="487"/>
        <v>1.308754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479"/>
        <v>172214.50222855783</v>
      </c>
      <c r="F11" s="13">
        <v>0</v>
      </c>
      <c r="G11" s="13">
        <v>0</v>
      </c>
      <c r="H11" s="13">
        <v>0</v>
      </c>
      <c r="I11" s="16">
        <f t="shared" si="480"/>
        <v>0</v>
      </c>
      <c r="J11" s="17">
        <f t="shared" si="481"/>
        <v>110754</v>
      </c>
      <c r="K11" s="18">
        <f t="shared" si="482"/>
        <v>0</v>
      </c>
      <c r="L11" s="19">
        <f t="shared" si="483"/>
        <v>0</v>
      </c>
      <c r="M11" s="34">
        <v>0</v>
      </c>
      <c r="N11" s="34">
        <v>76000</v>
      </c>
      <c r="O11" s="34">
        <v>0</v>
      </c>
      <c r="P11" s="34">
        <v>38000</v>
      </c>
      <c r="Q11" s="34">
        <v>0</v>
      </c>
      <c r="R11" s="34">
        <f t="shared" si="484"/>
        <v>114000</v>
      </c>
      <c r="S11" s="35">
        <f t="shared" si="485"/>
        <v>114000</v>
      </c>
      <c r="T11" s="35">
        <f t="shared" si="486"/>
        <v>3246</v>
      </c>
      <c r="U11" s="19">
        <f t="shared" si="487"/>
        <v>1.0293081965436914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79"/>
        <v>0</v>
      </c>
      <c r="F12" s="13">
        <v>0</v>
      </c>
      <c r="G12" s="13">
        <v>0</v>
      </c>
      <c r="H12" s="13">
        <v>0</v>
      </c>
      <c r="I12" s="16">
        <f t="shared" si="480"/>
        <v>0</v>
      </c>
      <c r="J12" s="17">
        <f t="shared" si="48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84"/>
        <v>0</v>
      </c>
      <c r="S12" s="35">
        <f t="shared" si="485"/>
        <v>0</v>
      </c>
      <c r="T12" s="35">
        <f t="shared" si="486"/>
        <v>0</v>
      </c>
      <c r="U12" s="19" t="e">
        <f t="shared" si="48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79"/>
        <v>0</v>
      </c>
      <c r="F13" s="13">
        <v>3464</v>
      </c>
      <c r="G13" s="13">
        <v>0</v>
      </c>
      <c r="H13" s="13">
        <v>0</v>
      </c>
      <c r="I13" s="16">
        <f t="shared" si="480"/>
        <v>3464</v>
      </c>
      <c r="J13" s="17">
        <f t="shared" si="481"/>
        <v>0</v>
      </c>
      <c r="K13" s="18">
        <f t="shared" si="48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84"/>
        <v>0</v>
      </c>
      <c r="S13" s="35">
        <f t="shared" si="485"/>
        <v>3464</v>
      </c>
      <c r="T13" s="35">
        <f t="shared" si="486"/>
        <v>3464</v>
      </c>
      <c r="U13" s="19" t="e">
        <f t="shared" si="487"/>
        <v>#DIV/0!</v>
      </c>
    </row>
    <row r="14">
      <c r="A14" s="9" t="s">
        <v>42</v>
      </c>
      <c r="B14" s="9" t="s">
        <v>113</v>
      </c>
      <c r="C14" s="14">
        <v>15000</v>
      </c>
      <c r="D14" s="11">
        <v>9.2599999999999998</v>
      </c>
      <c r="E14" s="12">
        <f>C14*D14</f>
        <v>138900</v>
      </c>
      <c r="F14" s="13">
        <v>0</v>
      </c>
      <c r="G14" s="13">
        <v>0</v>
      </c>
      <c r="H14" s="13">
        <v>0</v>
      </c>
      <c r="I14" s="16">
        <f>F14+H14</f>
        <v>0</v>
      </c>
      <c r="J14" s="17">
        <f>C14-G14</f>
        <v>15000</v>
      </c>
      <c r="K14" s="18">
        <f>+G14*D14</f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>M14+N14+O14+P14+Q14</f>
        <v>0</v>
      </c>
      <c r="S14" s="35">
        <f>G14+I14+R14</f>
        <v>0</v>
      </c>
      <c r="T14" s="35">
        <f>S14-C14</f>
        <v>-15000</v>
      </c>
      <c r="U14" s="19">
        <f>S14/C14</f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479"/>
        <v>89388.782058969489</v>
      </c>
      <c r="F15" s="13">
        <v>0</v>
      </c>
      <c r="G15" s="13">
        <v>0</v>
      </c>
      <c r="H15" s="13">
        <v>0</v>
      </c>
      <c r="I15" s="16">
        <f t="shared" si="480"/>
        <v>0</v>
      </c>
      <c r="J15" s="17">
        <f t="shared" si="481"/>
        <v>10000</v>
      </c>
      <c r="K15" s="18">
        <f t="shared" si="48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84"/>
        <v>0</v>
      </c>
      <c r="S15" s="35">
        <f t="shared" si="485"/>
        <v>0</v>
      </c>
      <c r="T15" s="35">
        <f t="shared" si="486"/>
        <v>-10000</v>
      </c>
      <c r="U15" s="19">
        <f t="shared" si="487"/>
        <v>0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479"/>
        <v>0</v>
      </c>
      <c r="F16" s="13">
        <v>0</v>
      </c>
      <c r="G16" s="13">
        <v>0</v>
      </c>
      <c r="H16" s="13">
        <v>0</v>
      </c>
      <c r="I16" s="16">
        <f t="shared" si="480"/>
        <v>0</v>
      </c>
      <c r="J16" s="17">
        <f t="shared" si="481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84"/>
        <v>0</v>
      </c>
      <c r="S16" s="35">
        <f t="shared" si="485"/>
        <v>0</v>
      </c>
      <c r="T16" s="35">
        <f t="shared" si="486"/>
        <v>0</v>
      </c>
      <c r="U16" s="19" t="e">
        <f t="shared" si="487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479"/>
        <v>0</v>
      </c>
      <c r="F17" s="13">
        <v>0</v>
      </c>
      <c r="G17" s="13">
        <v>0</v>
      </c>
      <c r="H17" s="13">
        <v>0</v>
      </c>
      <c r="I17" s="16">
        <f t="shared" si="480"/>
        <v>0</v>
      </c>
      <c r="J17" s="17">
        <f t="shared" si="481"/>
        <v>0</v>
      </c>
      <c r="K17" s="18">
        <f t="shared" si="482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84"/>
        <v>0</v>
      </c>
      <c r="S17" s="35">
        <f t="shared" si="485"/>
        <v>0</v>
      </c>
      <c r="T17" s="35">
        <f t="shared" si="486"/>
        <v>0</v>
      </c>
      <c r="U17" s="19" t="e">
        <f t="shared" si="487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479"/>
        <v>0</v>
      </c>
      <c r="F18" s="13">
        <v>0</v>
      </c>
      <c r="G18" s="13">
        <v>0</v>
      </c>
      <c r="H18" s="13">
        <v>0</v>
      </c>
      <c r="I18" s="16">
        <f t="shared" si="480"/>
        <v>0</v>
      </c>
      <c r="J18" s="17">
        <f t="shared" si="481"/>
        <v>0</v>
      </c>
      <c r="K18" s="18">
        <f>+G18*D18</f>
        <v>0</v>
      </c>
      <c r="L18" s="19" t="e">
        <f t="shared" ref="L18:L19" si="488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84"/>
        <v>0</v>
      </c>
      <c r="S18" s="35">
        <f t="shared" si="485"/>
        <v>0</v>
      </c>
      <c r="T18" s="35">
        <f t="shared" si="486"/>
        <v>0</v>
      </c>
      <c r="U18" s="19" t="e">
        <f t="shared" si="487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489">SUM(E3:E18)</f>
        <v>4634402.3095295709</v>
      </c>
      <c r="F19" s="24">
        <f t="shared" si="489"/>
        <v>1166724</v>
      </c>
      <c r="G19" s="24">
        <f t="shared" si="489"/>
        <v>652365</v>
      </c>
      <c r="H19" s="24">
        <f t="shared" si="489"/>
        <v>178200</v>
      </c>
      <c r="I19" s="25">
        <f t="shared" si="489"/>
        <v>1344924</v>
      </c>
      <c r="J19" s="26">
        <f t="shared" si="489"/>
        <v>2351685</v>
      </c>
      <c r="K19" s="26">
        <f t="shared" si="489"/>
        <v>1140540.7525028752</v>
      </c>
      <c r="L19" s="27">
        <f t="shared" si="488"/>
        <v>0.24610309514079481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484"/>
        <v>0</v>
      </c>
      <c r="S19" s="35">
        <f t="shared" si="485"/>
        <v>1997289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G21" s="42" t="s">
        <v>64</v>
      </c>
    </row>
    <row r="22" ht="16.5">
      <c r="B22" s="48" t="s">
        <v>64</v>
      </c>
      <c r="C22" s="49" t="s">
        <v>64</v>
      </c>
      <c r="D22" s="28"/>
      <c r="E22" s="45"/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64</v>
      </c>
      <c r="D23" s="28"/>
      <c r="E23" s="45" t="s">
        <v>64</v>
      </c>
      <c r="F23" s="42" t="s">
        <v>64</v>
      </c>
      <c r="G23" s="42"/>
      <c r="H23" s="52" t="s">
        <v>64</v>
      </c>
    </row>
    <row r="24" ht="16.5">
      <c r="B24" s="48" t="s">
        <v>64</v>
      </c>
      <c r="C24" s="49" t="s">
        <v>91</v>
      </c>
      <c r="D24" s="28"/>
      <c r="E24" s="45" t="s">
        <v>64</v>
      </c>
      <c r="F24" s="46"/>
      <c r="G24" s="42" t="s">
        <v>64</v>
      </c>
    </row>
    <row r="25" ht="16.5">
      <c r="B25" s="48" t="s">
        <v>64</v>
      </c>
      <c r="C25" s="49" t="s">
        <v>64</v>
      </c>
      <c r="D25" s="28"/>
      <c r="E25" s="28" t="s">
        <v>64</v>
      </c>
      <c r="G25" t="s">
        <v>64</v>
      </c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09005F-00E4-4F9D-B739-00B0000100A4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C900BD-0098-4DF7-A451-003900E4002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010065-00F1-43FF-B433-00F3007A00E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490065-0008-42A5-BD45-004300CA001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1D00AF-0086-4EF9-BBB3-00270015000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6F002C-005A-4B80-936E-009C00E8006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2500D4-00A0-4410-93A5-003A001F00D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280059-00CD-491F-BE6A-00680017006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7100F9-007D-4606-8574-00CE008000E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C30055-0000-44EF-AE97-00D40095006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9A0055-006B-4230-BD0E-00960090001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E00CA-0003-4D8B-A7A0-00AA00BE008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7C00FB-0043-4116-AF28-004A0099008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D15" activeCellId="0" sqref="D15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114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490">C3*D3</f>
        <v>1044055.9231426805</v>
      </c>
      <c r="F3" s="13">
        <v>0</v>
      </c>
      <c r="G3" s="44">
        <v>185774</v>
      </c>
      <c r="H3" s="13">
        <v>74266</v>
      </c>
      <c r="I3" s="16">
        <f t="shared" ref="I3:I18" si="491">F3+H3</f>
        <v>74266</v>
      </c>
      <c r="J3" s="17">
        <f t="shared" ref="J3:J18" si="492">C3-G3</f>
        <v>175194</v>
      </c>
      <c r="K3" s="18">
        <f t="shared" ref="K3:K17" si="493">+G3*D3</f>
        <v>537328.64150259399</v>
      </c>
      <c r="L3" s="19">
        <f t="shared" ref="L3:L11" si="494">K3/E3</f>
        <v>0.51465503867378826</v>
      </c>
      <c r="M3" s="34">
        <v>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9" si="495">M3+N3+O3+P3+Q3</f>
        <v>361000</v>
      </c>
      <c r="S3" s="35">
        <f t="shared" ref="S3:S19" si="496">G3+I3+R3</f>
        <v>621040</v>
      </c>
      <c r="T3" s="35">
        <f t="shared" ref="T3:T18" si="497">S3-C3</f>
        <v>260072</v>
      </c>
      <c r="U3" s="19">
        <f t="shared" ref="U3:U18" si="498">S3/C3</f>
        <v>1.7204849183307107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490"/>
        <v>826416.08085231704</v>
      </c>
      <c r="F4" s="13">
        <v>405531</v>
      </c>
      <c r="G4" s="13">
        <v>159776</v>
      </c>
      <c r="H4" s="13">
        <v>0</v>
      </c>
      <c r="I4" s="16">
        <f t="shared" si="491"/>
        <v>405531</v>
      </c>
      <c r="J4" s="17">
        <f t="shared" si="492"/>
        <v>474497</v>
      </c>
      <c r="K4" s="18">
        <f t="shared" si="493"/>
        <v>208177.63917786159</v>
      </c>
      <c r="L4" s="19">
        <f t="shared" si="494"/>
        <v>0.25190414852910342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495"/>
        <v>0</v>
      </c>
      <c r="S4" s="35">
        <f t="shared" si="496"/>
        <v>565307</v>
      </c>
      <c r="T4" s="35">
        <f t="shared" si="497"/>
        <v>-68966</v>
      </c>
      <c r="U4" s="19">
        <f t="shared" si="498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90"/>
        <v>0</v>
      </c>
      <c r="F5" s="13">
        <v>0</v>
      </c>
      <c r="G5" s="13">
        <v>0</v>
      </c>
      <c r="H5" s="13">
        <v>0</v>
      </c>
      <c r="I5" s="16">
        <f t="shared" si="491"/>
        <v>0</v>
      </c>
      <c r="J5" s="17">
        <f t="shared" si="492"/>
        <v>0</v>
      </c>
      <c r="K5" s="18">
        <f t="shared" si="493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495"/>
        <v>0</v>
      </c>
      <c r="S5" s="35">
        <f t="shared" si="496"/>
        <v>0</v>
      </c>
      <c r="T5" s="35">
        <f t="shared" si="497"/>
        <v>0</v>
      </c>
      <c r="U5" s="19" t="e">
        <f t="shared" si="498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490"/>
        <v>534559.93227682635</v>
      </c>
      <c r="F6" s="13">
        <v>0</v>
      </c>
      <c r="G6" s="44">
        <v>63547</v>
      </c>
      <c r="H6" s="44">
        <v>171188</v>
      </c>
      <c r="I6" s="16">
        <f t="shared" si="491"/>
        <v>171188</v>
      </c>
      <c r="J6" s="17">
        <f t="shared" si="492"/>
        <v>404123</v>
      </c>
      <c r="K6" s="18">
        <f t="shared" si="493"/>
        <v>72636.004054986377</v>
      </c>
      <c r="L6" s="19">
        <f t="shared" si="494"/>
        <v>0.13588000085530394</v>
      </c>
      <c r="M6" s="34">
        <v>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495"/>
        <v>255500</v>
      </c>
      <c r="S6" s="35">
        <f t="shared" si="496"/>
        <v>490235</v>
      </c>
      <c r="T6" s="35">
        <f t="shared" si="497"/>
        <v>22565</v>
      </c>
      <c r="U6" s="19">
        <f t="shared" si="498"/>
        <v>1.048249834284859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490"/>
        <v>225239.75281577196</v>
      </c>
      <c r="F7" s="13">
        <v>89023</v>
      </c>
      <c r="G7" s="13">
        <v>178200</v>
      </c>
      <c r="H7" s="13">
        <v>176940</v>
      </c>
      <c r="I7" s="16">
        <f t="shared" si="491"/>
        <v>265963</v>
      </c>
      <c r="J7" s="17">
        <f t="shared" si="492"/>
        <v>176940</v>
      </c>
      <c r="K7" s="18">
        <f t="shared" si="493"/>
        <v>113019.440084954</v>
      </c>
      <c r="L7" s="19">
        <f t="shared" si="494"/>
        <v>0.501773948302078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495"/>
        <v>0</v>
      </c>
      <c r="S7" s="35">
        <f t="shared" si="496"/>
        <v>444163</v>
      </c>
      <c r="T7" s="35">
        <f t="shared" si="497"/>
        <v>89023</v>
      </c>
      <c r="U7" s="19">
        <f t="shared" si="498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490"/>
        <v>352983.79200370744</v>
      </c>
      <c r="F8" s="44">
        <v>0</v>
      </c>
      <c r="G8" s="13">
        <v>89495</v>
      </c>
      <c r="H8" s="44">
        <v>305708</v>
      </c>
      <c r="I8" s="16">
        <f t="shared" si="491"/>
        <v>305708</v>
      </c>
      <c r="J8" s="17">
        <f t="shared" si="492"/>
        <v>305550</v>
      </c>
      <c r="K8" s="18">
        <f t="shared" si="493"/>
        <v>79966.293625718085</v>
      </c>
      <c r="L8" s="19">
        <f t="shared" si="494"/>
        <v>0.22654381146451671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495"/>
        <v>0</v>
      </c>
      <c r="S8" s="35">
        <f t="shared" si="496"/>
        <v>395203</v>
      </c>
      <c r="T8" s="35">
        <f t="shared" si="497"/>
        <v>158</v>
      </c>
      <c r="U8" s="19">
        <f t="shared" si="498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490"/>
        <v>165804.5147316771</v>
      </c>
      <c r="F9" s="13">
        <v>0</v>
      </c>
      <c r="G9" s="13">
        <v>0</v>
      </c>
      <c r="H9" s="13">
        <v>0</v>
      </c>
      <c r="I9" s="16">
        <f t="shared" si="491"/>
        <v>0</v>
      </c>
      <c r="J9" s="17">
        <f t="shared" si="492"/>
        <v>155200</v>
      </c>
      <c r="K9" s="18">
        <f t="shared" si="493"/>
        <v>0</v>
      </c>
      <c r="L9" s="19">
        <f t="shared" si="494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495"/>
        <v>160000</v>
      </c>
      <c r="S9" s="35">
        <f t="shared" si="496"/>
        <v>160000</v>
      </c>
      <c r="T9" s="35">
        <f t="shared" si="497"/>
        <v>4800</v>
      </c>
      <c r="U9" s="19">
        <f t="shared" si="498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490"/>
        <v>1084839.0294190629</v>
      </c>
      <c r="F10" s="13">
        <v>4</v>
      </c>
      <c r="G10" s="13">
        <v>94373</v>
      </c>
      <c r="H10" s="13">
        <v>0</v>
      </c>
      <c r="I10" s="16">
        <f t="shared" si="491"/>
        <v>4</v>
      </c>
      <c r="J10" s="17">
        <f t="shared" si="492"/>
        <v>405627</v>
      </c>
      <c r="K10" s="18">
        <f t="shared" si="493"/>
        <v>204759.02744673044</v>
      </c>
      <c r="L10" s="19">
        <f t="shared" si="494"/>
        <v>0.188746</v>
      </c>
      <c r="M10" s="34">
        <v>0</v>
      </c>
      <c r="N10" s="34">
        <v>240000</v>
      </c>
      <c r="O10" s="34">
        <v>240000</v>
      </c>
      <c r="P10" s="34">
        <v>80000</v>
      </c>
      <c r="Q10" s="34">
        <v>0</v>
      </c>
      <c r="R10" s="34">
        <f t="shared" si="495"/>
        <v>560000</v>
      </c>
      <c r="S10" s="35">
        <f t="shared" si="496"/>
        <v>654377</v>
      </c>
      <c r="T10" s="35">
        <f t="shared" si="497"/>
        <v>154377</v>
      </c>
      <c r="U10" s="19">
        <f t="shared" si="498"/>
        <v>1.308754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490"/>
        <v>172214.50222855783</v>
      </c>
      <c r="F11" s="13">
        <v>0</v>
      </c>
      <c r="G11" s="13">
        <v>0</v>
      </c>
      <c r="H11" s="13">
        <v>0</v>
      </c>
      <c r="I11" s="16">
        <f t="shared" si="491"/>
        <v>0</v>
      </c>
      <c r="J11" s="17">
        <f t="shared" si="492"/>
        <v>110754</v>
      </c>
      <c r="K11" s="18">
        <f t="shared" si="493"/>
        <v>0</v>
      </c>
      <c r="L11" s="19">
        <f t="shared" si="494"/>
        <v>0</v>
      </c>
      <c r="M11" s="34">
        <v>0</v>
      </c>
      <c r="N11" s="34">
        <v>76000</v>
      </c>
      <c r="O11" s="34">
        <v>0</v>
      </c>
      <c r="P11" s="34">
        <v>38000</v>
      </c>
      <c r="Q11" s="34">
        <v>0</v>
      </c>
      <c r="R11" s="34">
        <f t="shared" si="495"/>
        <v>114000</v>
      </c>
      <c r="S11" s="35">
        <f t="shared" si="496"/>
        <v>114000</v>
      </c>
      <c r="T11" s="35">
        <f t="shared" si="497"/>
        <v>3246</v>
      </c>
      <c r="U11" s="19">
        <f t="shared" si="498"/>
        <v>1.0293081965436914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90"/>
        <v>0</v>
      </c>
      <c r="F12" s="13">
        <v>0</v>
      </c>
      <c r="G12" s="13">
        <v>0</v>
      </c>
      <c r="H12" s="13">
        <v>0</v>
      </c>
      <c r="I12" s="16">
        <f t="shared" si="491"/>
        <v>0</v>
      </c>
      <c r="J12" s="17">
        <f t="shared" si="492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495"/>
        <v>0</v>
      </c>
      <c r="S12" s="35">
        <f t="shared" si="496"/>
        <v>0</v>
      </c>
      <c r="T12" s="35">
        <f t="shared" si="497"/>
        <v>0</v>
      </c>
      <c r="U12" s="19" t="e">
        <f t="shared" si="49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90"/>
        <v>0</v>
      </c>
      <c r="F13" s="13">
        <v>3464</v>
      </c>
      <c r="G13" s="13">
        <v>0</v>
      </c>
      <c r="H13" s="13">
        <v>0</v>
      </c>
      <c r="I13" s="16">
        <f t="shared" si="491"/>
        <v>3464</v>
      </c>
      <c r="J13" s="17">
        <f t="shared" si="492"/>
        <v>0</v>
      </c>
      <c r="K13" s="18">
        <f t="shared" si="49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495"/>
        <v>0</v>
      </c>
      <c r="S13" s="35">
        <f t="shared" si="496"/>
        <v>3464</v>
      </c>
      <c r="T13" s="35">
        <f t="shared" si="497"/>
        <v>3464</v>
      </c>
      <c r="U13" s="19" t="e">
        <f t="shared" si="498"/>
        <v>#DIV/0!</v>
      </c>
    </row>
    <row r="14">
      <c r="A14" s="9" t="s">
        <v>42</v>
      </c>
      <c r="B14" s="9" t="s">
        <v>113</v>
      </c>
      <c r="C14" s="14">
        <v>15000</v>
      </c>
      <c r="D14" s="11">
        <v>9.2599999999999998</v>
      </c>
      <c r="E14" s="12">
        <f t="shared" si="490"/>
        <v>138900</v>
      </c>
      <c r="F14" s="13">
        <v>0</v>
      </c>
      <c r="G14" s="13">
        <v>0</v>
      </c>
      <c r="H14" s="13">
        <v>0</v>
      </c>
      <c r="I14" s="16">
        <f t="shared" si="491"/>
        <v>0</v>
      </c>
      <c r="J14" s="17">
        <f t="shared" si="492"/>
        <v>15000</v>
      </c>
      <c r="K14" s="18">
        <f t="shared" si="49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495"/>
        <v>0</v>
      </c>
      <c r="S14" s="35">
        <f t="shared" si="496"/>
        <v>0</v>
      </c>
      <c r="T14" s="35">
        <f t="shared" si="497"/>
        <v>-15000</v>
      </c>
      <c r="U14" s="19">
        <f t="shared" si="498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490"/>
        <v>89388.782058969489</v>
      </c>
      <c r="F15" s="13">
        <v>0</v>
      </c>
      <c r="G15" s="13">
        <v>0</v>
      </c>
      <c r="H15" s="13">
        <v>0</v>
      </c>
      <c r="I15" s="16">
        <f t="shared" si="491"/>
        <v>0</v>
      </c>
      <c r="J15" s="17">
        <f t="shared" si="492"/>
        <v>10000</v>
      </c>
      <c r="K15" s="18">
        <f t="shared" si="49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495"/>
        <v>0</v>
      </c>
      <c r="S15" s="35">
        <f t="shared" si="496"/>
        <v>0</v>
      </c>
      <c r="T15" s="35">
        <f t="shared" si="497"/>
        <v>-10000</v>
      </c>
      <c r="U15" s="19">
        <f t="shared" si="498"/>
        <v>0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490"/>
        <v>0</v>
      </c>
      <c r="F16" s="13">
        <v>0</v>
      </c>
      <c r="G16" s="13">
        <v>0</v>
      </c>
      <c r="H16" s="13">
        <v>0</v>
      </c>
      <c r="I16" s="16">
        <f t="shared" si="491"/>
        <v>0</v>
      </c>
      <c r="J16" s="17">
        <f t="shared" si="492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495"/>
        <v>0</v>
      </c>
      <c r="S16" s="35">
        <f t="shared" si="496"/>
        <v>0</v>
      </c>
      <c r="T16" s="35">
        <f t="shared" si="497"/>
        <v>0</v>
      </c>
      <c r="U16" s="19" t="e">
        <f t="shared" si="498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490"/>
        <v>0</v>
      </c>
      <c r="F17" s="13">
        <v>0</v>
      </c>
      <c r="G17" s="13">
        <v>0</v>
      </c>
      <c r="H17" s="13">
        <v>0</v>
      </c>
      <c r="I17" s="16">
        <f t="shared" si="491"/>
        <v>0</v>
      </c>
      <c r="J17" s="17">
        <f t="shared" si="492"/>
        <v>0</v>
      </c>
      <c r="K17" s="18">
        <f t="shared" si="493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495"/>
        <v>0</v>
      </c>
      <c r="S17" s="35">
        <f t="shared" si="496"/>
        <v>0</v>
      </c>
      <c r="T17" s="35">
        <f t="shared" si="497"/>
        <v>0</v>
      </c>
      <c r="U17" s="19" t="e">
        <f t="shared" si="498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490"/>
        <v>0</v>
      </c>
      <c r="F18" s="13">
        <v>0</v>
      </c>
      <c r="G18" s="13">
        <v>0</v>
      </c>
      <c r="H18" s="13">
        <v>0</v>
      </c>
      <c r="I18" s="16">
        <f t="shared" si="491"/>
        <v>0</v>
      </c>
      <c r="J18" s="17">
        <f t="shared" si="492"/>
        <v>0</v>
      </c>
      <c r="K18" s="18">
        <f>+G18*D18</f>
        <v>0</v>
      </c>
      <c r="L18" s="19" t="e">
        <f t="shared" ref="L18:L19" si="499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495"/>
        <v>0</v>
      </c>
      <c r="S18" s="35">
        <f t="shared" si="496"/>
        <v>0</v>
      </c>
      <c r="T18" s="35">
        <f t="shared" si="497"/>
        <v>0</v>
      </c>
      <c r="U18" s="19" t="e">
        <f t="shared" si="498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00">SUM(E3:E18)</f>
        <v>4634402.3095295709</v>
      </c>
      <c r="F19" s="24">
        <f t="shared" si="500"/>
        <v>498022</v>
      </c>
      <c r="G19" s="24">
        <f t="shared" si="500"/>
        <v>771165</v>
      </c>
      <c r="H19" s="24">
        <f t="shared" si="500"/>
        <v>728102</v>
      </c>
      <c r="I19" s="25">
        <f t="shared" si="500"/>
        <v>1226124</v>
      </c>
      <c r="J19" s="26">
        <f t="shared" si="500"/>
        <v>2232885</v>
      </c>
      <c r="K19" s="26">
        <f t="shared" si="500"/>
        <v>1215887.0458928447</v>
      </c>
      <c r="L19" s="27">
        <f t="shared" si="499"/>
        <v>0.26236113411920575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495"/>
        <v>0</v>
      </c>
      <c r="S19" s="35">
        <f t="shared" si="496"/>
        <v>1997289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G21" s="42" t="s">
        <v>64</v>
      </c>
    </row>
    <row r="22" ht="16.5">
      <c r="B22" s="48" t="s">
        <v>64</v>
      </c>
      <c r="C22" s="49" t="s">
        <v>64</v>
      </c>
      <c r="D22" s="28"/>
      <c r="E22" s="45"/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64</v>
      </c>
      <c r="D23" s="28"/>
      <c r="E23" s="45" t="s">
        <v>64</v>
      </c>
      <c r="F23" s="42" t="s">
        <v>64</v>
      </c>
      <c r="G23" s="42"/>
      <c r="H23" s="52" t="s">
        <v>64</v>
      </c>
    </row>
    <row r="24" ht="16.5">
      <c r="B24" s="48" t="s">
        <v>64</v>
      </c>
      <c r="C24" s="49" t="s">
        <v>91</v>
      </c>
      <c r="D24" s="28"/>
      <c r="E24" s="45" t="s">
        <v>64</v>
      </c>
      <c r="F24" s="46"/>
      <c r="G24" s="42" t="s">
        <v>64</v>
      </c>
    </row>
    <row r="25" ht="16.5">
      <c r="B25" s="48" t="s">
        <v>64</v>
      </c>
      <c r="C25" s="49" t="s">
        <v>64</v>
      </c>
      <c r="D25" s="28"/>
      <c r="E25" s="28" t="s">
        <v>64</v>
      </c>
      <c r="G25" t="s">
        <v>64</v>
      </c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EE008B-00B7-45CF-856F-006200CF00D8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0F0012-0074-4A8D-AA80-001E0022004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42002B-007C-48BF-8A57-00B100BC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9100A7-00C6-46B8-BB46-00CB0075001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080053-00E4-45C1-B8BB-00590009009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1700A3-0092-48E5-8E41-00800071000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E5004F-0000-45D0-9C4B-00D50054004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7600BF-00B8-47E1-A810-0011001A007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03008B-002E-41FD-9DF4-00DB001800C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EB009C-003A-4D9D-9257-0097000B009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E80044-0047-4B72-9D49-00F80071008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D000B9-00D6-4C0E-A9CE-00160055006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200EF-00DE-4CC2-8E77-0053009400E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E15" activeCellId="0" sqref="E15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115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01">C3*D3</f>
        <v>1044055.9231426805</v>
      </c>
      <c r="F3" s="13">
        <v>37417</v>
      </c>
      <c r="G3" s="44">
        <v>185774</v>
      </c>
      <c r="H3" s="13">
        <v>74266</v>
      </c>
      <c r="I3" s="16">
        <f t="shared" ref="I3:I18" si="502">F3+H3</f>
        <v>111683</v>
      </c>
      <c r="J3" s="17">
        <f t="shared" ref="J3:J18" si="503">C3-G3</f>
        <v>175194</v>
      </c>
      <c r="K3" s="18">
        <f t="shared" ref="K3:K17" si="504">+G3*D3</f>
        <v>537328.64150259399</v>
      </c>
      <c r="L3" s="19">
        <f t="shared" ref="L3:L11" si="505">K3/E3</f>
        <v>0.51465503867378826</v>
      </c>
      <c r="M3" s="34">
        <v>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9" si="506">M3+N3+O3+P3+Q3</f>
        <v>361000</v>
      </c>
      <c r="S3" s="35">
        <f t="shared" ref="S3:S19" si="507">G3+I3+R3</f>
        <v>658457</v>
      </c>
      <c r="T3" s="35">
        <f t="shared" ref="T3:T18" si="508">S3-C3</f>
        <v>297489</v>
      </c>
      <c r="U3" s="19">
        <f t="shared" ref="U3:U18" si="509">S3/C3</f>
        <v>1.8241423062432127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01"/>
        <v>826416.08085231704</v>
      </c>
      <c r="F4" s="13">
        <v>405531</v>
      </c>
      <c r="G4" s="13">
        <v>159776</v>
      </c>
      <c r="H4" s="13">
        <v>0</v>
      </c>
      <c r="I4" s="16">
        <f t="shared" si="502"/>
        <v>405531</v>
      </c>
      <c r="J4" s="17">
        <f t="shared" si="503"/>
        <v>474497</v>
      </c>
      <c r="K4" s="18">
        <f t="shared" si="504"/>
        <v>208177.63917786159</v>
      </c>
      <c r="L4" s="19">
        <f t="shared" si="505"/>
        <v>0.25190414852910342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06"/>
        <v>0</v>
      </c>
      <c r="S4" s="35">
        <f t="shared" si="507"/>
        <v>565307</v>
      </c>
      <c r="T4" s="35">
        <f t="shared" si="508"/>
        <v>-68966</v>
      </c>
      <c r="U4" s="19">
        <f t="shared" si="509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01"/>
        <v>0</v>
      </c>
      <c r="F5" s="13">
        <v>0</v>
      </c>
      <c r="G5" s="13">
        <v>0</v>
      </c>
      <c r="H5" s="13">
        <v>0</v>
      </c>
      <c r="I5" s="16">
        <f t="shared" si="502"/>
        <v>0</v>
      </c>
      <c r="J5" s="17">
        <f t="shared" si="503"/>
        <v>0</v>
      </c>
      <c r="K5" s="18">
        <f t="shared" si="504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06"/>
        <v>0</v>
      </c>
      <c r="S5" s="35">
        <f t="shared" si="507"/>
        <v>0</v>
      </c>
      <c r="T5" s="35">
        <f t="shared" si="508"/>
        <v>0</v>
      </c>
      <c r="U5" s="19" t="e">
        <f t="shared" si="509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01"/>
        <v>534559.93227682635</v>
      </c>
      <c r="F6" s="13">
        <v>0</v>
      </c>
      <c r="G6" s="44">
        <v>63547</v>
      </c>
      <c r="H6" s="44">
        <v>171188</v>
      </c>
      <c r="I6" s="16">
        <f t="shared" si="502"/>
        <v>171188</v>
      </c>
      <c r="J6" s="17">
        <f t="shared" si="503"/>
        <v>404123</v>
      </c>
      <c r="K6" s="18">
        <f t="shared" si="504"/>
        <v>72636.004054986377</v>
      </c>
      <c r="L6" s="19">
        <f t="shared" si="505"/>
        <v>0.13588000085530394</v>
      </c>
      <c r="M6" s="34">
        <v>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506"/>
        <v>255500</v>
      </c>
      <c r="S6" s="35">
        <f t="shared" si="507"/>
        <v>490235</v>
      </c>
      <c r="T6" s="35">
        <f t="shared" si="508"/>
        <v>22565</v>
      </c>
      <c r="U6" s="19">
        <f t="shared" si="509"/>
        <v>1.048249834284859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01"/>
        <v>225239.75281577196</v>
      </c>
      <c r="F7" s="13">
        <v>89023</v>
      </c>
      <c r="G7" s="13">
        <v>237600</v>
      </c>
      <c r="H7" s="13">
        <v>117540</v>
      </c>
      <c r="I7" s="16">
        <f t="shared" si="502"/>
        <v>206563</v>
      </c>
      <c r="J7" s="17">
        <f t="shared" si="503"/>
        <v>117540</v>
      </c>
      <c r="K7" s="18">
        <f t="shared" si="504"/>
        <v>150692.58677993866</v>
      </c>
      <c r="L7" s="19">
        <f t="shared" si="505"/>
        <v>0.66903193106943737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06"/>
        <v>0</v>
      </c>
      <c r="S7" s="35">
        <f t="shared" si="507"/>
        <v>444163</v>
      </c>
      <c r="T7" s="35">
        <f t="shared" si="508"/>
        <v>89023</v>
      </c>
      <c r="U7" s="19">
        <f t="shared" si="509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01"/>
        <v>352983.79200370744</v>
      </c>
      <c r="F8" s="44">
        <v>0</v>
      </c>
      <c r="G8" s="13">
        <v>233203</v>
      </c>
      <c r="H8" s="44">
        <v>162000</v>
      </c>
      <c r="I8" s="16">
        <f t="shared" si="502"/>
        <v>162000</v>
      </c>
      <c r="J8" s="17">
        <f t="shared" si="503"/>
        <v>161842</v>
      </c>
      <c r="K8" s="18">
        <f t="shared" si="504"/>
        <v>208373.42390522748</v>
      </c>
      <c r="L8" s="19">
        <f t="shared" si="505"/>
        <v>0.59032009011631592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06"/>
        <v>0</v>
      </c>
      <c r="S8" s="35">
        <f t="shared" si="507"/>
        <v>395203</v>
      </c>
      <c r="T8" s="35">
        <f t="shared" si="508"/>
        <v>158</v>
      </c>
      <c r="U8" s="19">
        <f t="shared" si="509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01"/>
        <v>165804.5147316771</v>
      </c>
      <c r="F9" s="13">
        <v>0</v>
      </c>
      <c r="G9" s="13">
        <v>0</v>
      </c>
      <c r="H9" s="13">
        <v>0</v>
      </c>
      <c r="I9" s="16">
        <f t="shared" si="502"/>
        <v>0</v>
      </c>
      <c r="J9" s="17">
        <f t="shared" si="503"/>
        <v>155200</v>
      </c>
      <c r="K9" s="18">
        <f t="shared" si="504"/>
        <v>0</v>
      </c>
      <c r="L9" s="19">
        <f t="shared" si="505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06"/>
        <v>160000</v>
      </c>
      <c r="S9" s="35">
        <f t="shared" si="507"/>
        <v>160000</v>
      </c>
      <c r="T9" s="35">
        <f t="shared" si="508"/>
        <v>4800</v>
      </c>
      <c r="U9" s="19">
        <f t="shared" si="509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01"/>
        <v>1084839.0294190629</v>
      </c>
      <c r="F10" s="13">
        <v>4</v>
      </c>
      <c r="G10" s="13">
        <v>94373</v>
      </c>
      <c r="H10" s="13">
        <v>0</v>
      </c>
      <c r="I10" s="16">
        <f t="shared" si="502"/>
        <v>4</v>
      </c>
      <c r="J10" s="17">
        <f t="shared" si="503"/>
        <v>405627</v>
      </c>
      <c r="K10" s="18">
        <f t="shared" si="504"/>
        <v>204759.02744673044</v>
      </c>
      <c r="L10" s="19">
        <f t="shared" si="505"/>
        <v>0.188746</v>
      </c>
      <c r="M10" s="34">
        <v>0</v>
      </c>
      <c r="N10" s="34">
        <v>240000</v>
      </c>
      <c r="O10" s="34">
        <v>240000</v>
      </c>
      <c r="P10" s="34">
        <v>80000</v>
      </c>
      <c r="Q10" s="34">
        <v>0</v>
      </c>
      <c r="R10" s="34">
        <f t="shared" si="506"/>
        <v>560000</v>
      </c>
      <c r="S10" s="35">
        <f t="shared" si="507"/>
        <v>654377</v>
      </c>
      <c r="T10" s="35">
        <f t="shared" si="508"/>
        <v>154377</v>
      </c>
      <c r="U10" s="19">
        <f t="shared" si="509"/>
        <v>1.308754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01"/>
        <v>172214.50222855783</v>
      </c>
      <c r="F11" s="13">
        <v>74005</v>
      </c>
      <c r="G11" s="13">
        <v>0</v>
      </c>
      <c r="H11" s="13">
        <v>0</v>
      </c>
      <c r="I11" s="16">
        <f t="shared" si="502"/>
        <v>74005</v>
      </c>
      <c r="J11" s="17">
        <f t="shared" si="503"/>
        <v>110754</v>
      </c>
      <c r="K11" s="18">
        <f t="shared" si="504"/>
        <v>0</v>
      </c>
      <c r="L11" s="19">
        <f t="shared" si="505"/>
        <v>0</v>
      </c>
      <c r="M11" s="34">
        <v>0</v>
      </c>
      <c r="N11" s="34">
        <v>76000</v>
      </c>
      <c r="O11" s="34">
        <v>0</v>
      </c>
      <c r="P11" s="34">
        <v>38000</v>
      </c>
      <c r="Q11" s="34">
        <v>0</v>
      </c>
      <c r="R11" s="34">
        <f t="shared" si="506"/>
        <v>114000</v>
      </c>
      <c r="S11" s="35">
        <f t="shared" si="507"/>
        <v>188005</v>
      </c>
      <c r="T11" s="35">
        <f t="shared" si="508"/>
        <v>77251</v>
      </c>
      <c r="U11" s="19">
        <f t="shared" si="509"/>
        <v>1.6975007674666378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01"/>
        <v>0</v>
      </c>
      <c r="F12" s="13">
        <v>0</v>
      </c>
      <c r="G12" s="13">
        <v>0</v>
      </c>
      <c r="H12" s="13">
        <v>0</v>
      </c>
      <c r="I12" s="16">
        <f t="shared" si="502"/>
        <v>0</v>
      </c>
      <c r="J12" s="17">
        <f t="shared" si="50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06"/>
        <v>0</v>
      </c>
      <c r="S12" s="35">
        <f t="shared" si="507"/>
        <v>0</v>
      </c>
      <c r="T12" s="35">
        <f t="shared" si="508"/>
        <v>0</v>
      </c>
      <c r="U12" s="19" t="e">
        <f t="shared" si="50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01"/>
        <v>0</v>
      </c>
      <c r="F13" s="13">
        <v>3464</v>
      </c>
      <c r="G13" s="13">
        <v>0</v>
      </c>
      <c r="H13" s="13">
        <v>0</v>
      </c>
      <c r="I13" s="16">
        <f t="shared" si="502"/>
        <v>3464</v>
      </c>
      <c r="J13" s="17">
        <f t="shared" si="503"/>
        <v>0</v>
      </c>
      <c r="K13" s="18">
        <f t="shared" si="50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06"/>
        <v>0</v>
      </c>
      <c r="S13" s="35">
        <f t="shared" si="507"/>
        <v>3464</v>
      </c>
      <c r="T13" s="35">
        <f t="shared" si="508"/>
        <v>3464</v>
      </c>
      <c r="U13" s="19" t="e">
        <f t="shared" si="509"/>
        <v>#DIV/0!</v>
      </c>
    </row>
    <row r="14">
      <c r="A14" s="9" t="s">
        <v>42</v>
      </c>
      <c r="B14" s="9" t="s">
        <v>113</v>
      </c>
      <c r="C14" s="14">
        <v>15000</v>
      </c>
      <c r="D14" s="11">
        <v>9.2599999999999998</v>
      </c>
      <c r="E14" s="12">
        <f t="shared" si="501"/>
        <v>138900</v>
      </c>
      <c r="F14" s="13">
        <v>0</v>
      </c>
      <c r="G14" s="13">
        <v>0</v>
      </c>
      <c r="H14" s="13">
        <v>0</v>
      </c>
      <c r="I14" s="16">
        <f t="shared" si="502"/>
        <v>0</v>
      </c>
      <c r="J14" s="17">
        <f t="shared" si="503"/>
        <v>15000</v>
      </c>
      <c r="K14" s="18">
        <f t="shared" si="50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06"/>
        <v>0</v>
      </c>
      <c r="S14" s="35">
        <f t="shared" si="507"/>
        <v>0</v>
      </c>
      <c r="T14" s="35">
        <f t="shared" si="508"/>
        <v>-15000</v>
      </c>
      <c r="U14" s="19">
        <f t="shared" si="509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01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03"/>
        <v>10000</v>
      </c>
      <c r="K15" s="18">
        <f t="shared" si="50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06"/>
        <v>0</v>
      </c>
      <c r="S15" s="35">
        <f t="shared" si="507"/>
        <v>34</v>
      </c>
      <c r="T15" s="35">
        <f t="shared" si="508"/>
        <v>-9966</v>
      </c>
      <c r="U15" s="19">
        <f t="shared" si="509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01"/>
        <v>0</v>
      </c>
      <c r="F16" s="13">
        <v>0</v>
      </c>
      <c r="G16" s="13">
        <v>0</v>
      </c>
      <c r="H16" s="13">
        <v>0</v>
      </c>
      <c r="I16" s="16">
        <f t="shared" si="502"/>
        <v>0</v>
      </c>
      <c r="J16" s="17">
        <f t="shared" si="503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06"/>
        <v>0</v>
      </c>
      <c r="S16" s="35">
        <f t="shared" si="507"/>
        <v>0</v>
      </c>
      <c r="T16" s="35">
        <f t="shared" si="508"/>
        <v>0</v>
      </c>
      <c r="U16" s="19" t="e">
        <f t="shared" si="509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01"/>
        <v>0</v>
      </c>
      <c r="F17" s="13">
        <v>0</v>
      </c>
      <c r="G17" s="13">
        <v>0</v>
      </c>
      <c r="H17" s="13">
        <v>0</v>
      </c>
      <c r="I17" s="16">
        <f t="shared" si="502"/>
        <v>0</v>
      </c>
      <c r="J17" s="17">
        <f t="shared" si="503"/>
        <v>0</v>
      </c>
      <c r="K17" s="18">
        <f t="shared" si="504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06"/>
        <v>0</v>
      </c>
      <c r="S17" s="35">
        <f t="shared" si="507"/>
        <v>0</v>
      </c>
      <c r="T17" s="35">
        <f t="shared" si="508"/>
        <v>0</v>
      </c>
      <c r="U17" s="19" t="e">
        <f t="shared" si="509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01"/>
        <v>0</v>
      </c>
      <c r="F18" s="13">
        <v>0</v>
      </c>
      <c r="G18" s="13">
        <v>0</v>
      </c>
      <c r="H18" s="13">
        <v>0</v>
      </c>
      <c r="I18" s="16">
        <f t="shared" si="502"/>
        <v>0</v>
      </c>
      <c r="J18" s="17">
        <f t="shared" si="503"/>
        <v>0</v>
      </c>
      <c r="K18" s="18">
        <f>+G18*D18</f>
        <v>0</v>
      </c>
      <c r="L18" s="19" t="e">
        <f t="shared" ref="L18:L19" si="510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06"/>
        <v>0</v>
      </c>
      <c r="S18" s="35">
        <f t="shared" si="507"/>
        <v>0</v>
      </c>
      <c r="T18" s="35">
        <f t="shared" si="508"/>
        <v>0</v>
      </c>
      <c r="U18" s="19" t="e">
        <f t="shared" si="509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11">SUM(E3:E18)</f>
        <v>4634402.3095295709</v>
      </c>
      <c r="F19" s="24">
        <f t="shared" si="511"/>
        <v>609444</v>
      </c>
      <c r="G19" s="24">
        <f t="shared" si="511"/>
        <v>974273</v>
      </c>
      <c r="H19" s="24">
        <f t="shared" si="511"/>
        <v>524994</v>
      </c>
      <c r="I19" s="25">
        <f t="shared" si="511"/>
        <v>1134472</v>
      </c>
      <c r="J19" s="26">
        <f t="shared" si="511"/>
        <v>2029777</v>
      </c>
      <c r="K19" s="26">
        <f t="shared" si="511"/>
        <v>1381967.3228673388</v>
      </c>
      <c r="L19" s="27">
        <f t="shared" si="510"/>
        <v>0.29819753024584084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06"/>
        <v>0</v>
      </c>
      <c r="S19" s="35">
        <f t="shared" si="507"/>
        <v>2108745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G21" s="42" t="s">
        <v>64</v>
      </c>
    </row>
    <row r="22" ht="16.5">
      <c r="B22" s="48" t="s">
        <v>64</v>
      </c>
      <c r="C22" s="49" t="s">
        <v>64</v>
      </c>
      <c r="D22" s="28"/>
      <c r="E22" s="45"/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64</v>
      </c>
      <c r="D23" s="28"/>
      <c r="E23" s="45" t="s">
        <v>64</v>
      </c>
      <c r="F23" s="42" t="s">
        <v>64</v>
      </c>
      <c r="G23" s="42"/>
      <c r="H23" s="52" t="s">
        <v>64</v>
      </c>
    </row>
    <row r="24" ht="16.5">
      <c r="B24" s="48" t="s">
        <v>64</v>
      </c>
      <c r="C24" s="49" t="s">
        <v>91</v>
      </c>
      <c r="D24" s="28"/>
      <c r="E24" s="45" t="s">
        <v>64</v>
      </c>
      <c r="F24" s="46"/>
      <c r="G24" s="42" t="s">
        <v>64</v>
      </c>
    </row>
    <row r="25" ht="16.5">
      <c r="B25" s="48" t="s">
        <v>64</v>
      </c>
      <c r="C25" s="49" t="s">
        <v>64</v>
      </c>
      <c r="D25" s="28"/>
      <c r="E25" s="28" t="s">
        <v>64</v>
      </c>
      <c r="G25" t="s">
        <v>64</v>
      </c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4E0073-0083-40C0-A355-00E7008600EA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15004F-00F2-44B3-9D24-00AD006B00F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2A0025-0011-463B-BBB5-00580065004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4100CA-0004-4D57-86F4-0015007800A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2A0099-003B-4C35-A250-00C800B1008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80006F-00E0-4D38-BD33-0091004600A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7E00AB-00FB-45D8-B353-00D500C7004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4F000B-00B1-48C5-9793-00E700C0007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B600C2-0033-410F-BDA4-009A00D4006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780032-007F-4E33-A8F4-00100053007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76009D-00A4-4A02-827F-00F90007004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990079-004C-4F36-8587-00400084006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C000E6-00F3-4C46-9973-00310013002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D15" activeCellId="0" sqref="D15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116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12">C3*D3</f>
        <v>1044055.9231426805</v>
      </c>
      <c r="F3" s="13">
        <v>74550</v>
      </c>
      <c r="G3" s="44">
        <v>260040</v>
      </c>
      <c r="H3" s="13">
        <v>0</v>
      </c>
      <c r="I3" s="16">
        <f t="shared" ref="I3:I18" si="513">F3+H3</f>
        <v>74550</v>
      </c>
      <c r="J3" s="17">
        <f t="shared" ref="J3:J18" si="514">C3-G3</f>
        <v>100928</v>
      </c>
      <c r="K3" s="18">
        <f t="shared" ref="K3:K17" si="515">+G3*D3</f>
        <v>752133.99042026629</v>
      </c>
      <c r="L3" s="19">
        <f t="shared" ref="L3:L11" si="516">K3/E3</f>
        <v>0.72039626781321342</v>
      </c>
      <c r="M3" s="34">
        <v>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9" si="517">M3+N3+O3+P3+Q3</f>
        <v>361000</v>
      </c>
      <c r="S3" s="35">
        <f t="shared" ref="S3:S19" si="518">G3+I3+R3</f>
        <v>695590</v>
      </c>
      <c r="T3" s="35">
        <f t="shared" ref="T3:T18" si="519">S3-C3</f>
        <v>334622</v>
      </c>
      <c r="U3" s="19">
        <f t="shared" ref="U3:U18" si="520">S3/C3</f>
        <v>1.9270129208129252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12"/>
        <v>826416.08085231704</v>
      </c>
      <c r="F4" s="13">
        <v>405531</v>
      </c>
      <c r="G4" s="13">
        <v>159776</v>
      </c>
      <c r="H4" s="13">
        <v>0</v>
      </c>
      <c r="I4" s="16">
        <f t="shared" si="513"/>
        <v>405531</v>
      </c>
      <c r="J4" s="17">
        <f t="shared" si="514"/>
        <v>474497</v>
      </c>
      <c r="K4" s="18">
        <f t="shared" si="515"/>
        <v>208177.63917786159</v>
      </c>
      <c r="L4" s="19">
        <f t="shared" si="516"/>
        <v>0.25190414852910342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17"/>
        <v>0</v>
      </c>
      <c r="S4" s="35">
        <f t="shared" si="518"/>
        <v>565307</v>
      </c>
      <c r="T4" s="35">
        <f t="shared" si="519"/>
        <v>-68966</v>
      </c>
      <c r="U4" s="19">
        <f t="shared" si="520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12"/>
        <v>0</v>
      </c>
      <c r="F5" s="13">
        <v>0</v>
      </c>
      <c r="G5" s="13">
        <v>0</v>
      </c>
      <c r="H5" s="13">
        <v>0</v>
      </c>
      <c r="I5" s="16">
        <f t="shared" si="513"/>
        <v>0</v>
      </c>
      <c r="J5" s="17">
        <f t="shared" si="514"/>
        <v>0</v>
      </c>
      <c r="K5" s="18">
        <f t="shared" si="515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17"/>
        <v>0</v>
      </c>
      <c r="S5" s="35">
        <f t="shared" si="518"/>
        <v>0</v>
      </c>
      <c r="T5" s="35">
        <f t="shared" si="519"/>
        <v>0</v>
      </c>
      <c r="U5" s="19" t="e">
        <f t="shared" si="520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12"/>
        <v>534559.93227682635</v>
      </c>
      <c r="F6" s="13">
        <v>0</v>
      </c>
      <c r="G6" s="44">
        <v>63547</v>
      </c>
      <c r="H6" s="44">
        <v>171188</v>
      </c>
      <c r="I6" s="16">
        <f t="shared" si="513"/>
        <v>171188</v>
      </c>
      <c r="J6" s="17">
        <f t="shared" si="514"/>
        <v>404123</v>
      </c>
      <c r="K6" s="18">
        <f t="shared" si="515"/>
        <v>72636.004054986377</v>
      </c>
      <c r="L6" s="19">
        <f t="shared" si="516"/>
        <v>0.13588000085530394</v>
      </c>
      <c r="M6" s="34">
        <v>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517"/>
        <v>255500</v>
      </c>
      <c r="S6" s="35">
        <f t="shared" si="518"/>
        <v>490235</v>
      </c>
      <c r="T6" s="35">
        <f t="shared" si="519"/>
        <v>22565</v>
      </c>
      <c r="U6" s="19">
        <f t="shared" si="520"/>
        <v>1.048249834284859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12"/>
        <v>225239.75281577196</v>
      </c>
      <c r="F7" s="13">
        <v>89023</v>
      </c>
      <c r="G7" s="13">
        <v>237600</v>
      </c>
      <c r="H7" s="13">
        <v>117540</v>
      </c>
      <c r="I7" s="16">
        <f t="shared" si="513"/>
        <v>206563</v>
      </c>
      <c r="J7" s="17">
        <f t="shared" si="514"/>
        <v>117540</v>
      </c>
      <c r="K7" s="18">
        <f t="shared" si="515"/>
        <v>150692.58677993866</v>
      </c>
      <c r="L7" s="19">
        <f t="shared" si="516"/>
        <v>0.66903193106943737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17"/>
        <v>0</v>
      </c>
      <c r="S7" s="35">
        <f t="shared" si="518"/>
        <v>444163</v>
      </c>
      <c r="T7" s="35">
        <f t="shared" si="519"/>
        <v>89023</v>
      </c>
      <c r="U7" s="19">
        <f t="shared" si="520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12"/>
        <v>352983.79200370744</v>
      </c>
      <c r="F8" s="44">
        <v>0</v>
      </c>
      <c r="G8" s="13">
        <v>395203</v>
      </c>
      <c r="H8" s="44">
        <v>0</v>
      </c>
      <c r="I8" s="16">
        <f t="shared" si="513"/>
        <v>0</v>
      </c>
      <c r="J8" s="17">
        <f t="shared" si="514"/>
        <v>-158</v>
      </c>
      <c r="K8" s="18">
        <f t="shared" si="515"/>
        <v>353124.96943700389</v>
      </c>
      <c r="L8" s="19">
        <f t="shared" si="516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17"/>
        <v>0</v>
      </c>
      <c r="S8" s="35">
        <f t="shared" si="518"/>
        <v>395203</v>
      </c>
      <c r="T8" s="35">
        <f t="shared" si="519"/>
        <v>158</v>
      </c>
      <c r="U8" s="19">
        <f t="shared" si="520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12"/>
        <v>165804.5147316771</v>
      </c>
      <c r="F9" s="13">
        <v>0</v>
      </c>
      <c r="G9" s="13">
        <v>0</v>
      </c>
      <c r="H9" s="13">
        <v>0</v>
      </c>
      <c r="I9" s="16">
        <f t="shared" si="513"/>
        <v>0</v>
      </c>
      <c r="J9" s="17">
        <f t="shared" si="514"/>
        <v>155200</v>
      </c>
      <c r="K9" s="18">
        <f t="shared" si="515"/>
        <v>0</v>
      </c>
      <c r="L9" s="19">
        <f t="shared" si="516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17"/>
        <v>160000</v>
      </c>
      <c r="S9" s="35">
        <f t="shared" si="518"/>
        <v>160000</v>
      </c>
      <c r="T9" s="35">
        <f t="shared" si="519"/>
        <v>4800</v>
      </c>
      <c r="U9" s="19">
        <f t="shared" si="520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12"/>
        <v>1084839.0294190629</v>
      </c>
      <c r="F10" s="13">
        <v>4</v>
      </c>
      <c r="G10" s="13">
        <v>94373</v>
      </c>
      <c r="H10" s="13">
        <v>0</v>
      </c>
      <c r="I10" s="16">
        <f t="shared" si="513"/>
        <v>4</v>
      </c>
      <c r="J10" s="17">
        <f t="shared" si="514"/>
        <v>405627</v>
      </c>
      <c r="K10" s="18">
        <f t="shared" si="515"/>
        <v>204759.02744673044</v>
      </c>
      <c r="L10" s="19">
        <f t="shared" si="516"/>
        <v>0.188746</v>
      </c>
      <c r="M10" s="34">
        <v>0</v>
      </c>
      <c r="N10" s="34">
        <v>240000</v>
      </c>
      <c r="O10" s="34">
        <v>240000</v>
      </c>
      <c r="P10" s="34">
        <v>80000</v>
      </c>
      <c r="Q10" s="34">
        <v>0</v>
      </c>
      <c r="R10" s="34">
        <f t="shared" si="517"/>
        <v>560000</v>
      </c>
      <c r="S10" s="35">
        <f t="shared" si="518"/>
        <v>654377</v>
      </c>
      <c r="T10" s="35">
        <f t="shared" si="519"/>
        <v>154377</v>
      </c>
      <c r="U10" s="19">
        <f t="shared" si="520"/>
        <v>1.308754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12"/>
        <v>172214.50222855783</v>
      </c>
      <c r="F11" s="13">
        <v>74005</v>
      </c>
      <c r="G11" s="13">
        <v>0</v>
      </c>
      <c r="H11" s="13">
        <v>0</v>
      </c>
      <c r="I11" s="16">
        <f t="shared" si="513"/>
        <v>74005</v>
      </c>
      <c r="J11" s="17">
        <f t="shared" si="514"/>
        <v>110754</v>
      </c>
      <c r="K11" s="18">
        <f t="shared" si="515"/>
        <v>0</v>
      </c>
      <c r="L11" s="19">
        <f t="shared" si="516"/>
        <v>0</v>
      </c>
      <c r="M11" s="34">
        <v>0</v>
      </c>
      <c r="N11" s="34">
        <v>76000</v>
      </c>
      <c r="O11" s="34">
        <v>0</v>
      </c>
      <c r="P11" s="34">
        <v>38000</v>
      </c>
      <c r="Q11" s="34">
        <v>0</v>
      </c>
      <c r="R11" s="34">
        <f t="shared" si="517"/>
        <v>114000</v>
      </c>
      <c r="S11" s="35">
        <f t="shared" si="518"/>
        <v>188005</v>
      </c>
      <c r="T11" s="35">
        <f t="shared" si="519"/>
        <v>77251</v>
      </c>
      <c r="U11" s="19">
        <f t="shared" si="520"/>
        <v>1.6975007674666378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12"/>
        <v>0</v>
      </c>
      <c r="F12" s="13">
        <v>0</v>
      </c>
      <c r="G12" s="13">
        <v>0</v>
      </c>
      <c r="H12" s="13">
        <v>0</v>
      </c>
      <c r="I12" s="16">
        <f t="shared" si="513"/>
        <v>0</v>
      </c>
      <c r="J12" s="17">
        <f t="shared" si="514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17"/>
        <v>0</v>
      </c>
      <c r="S12" s="35">
        <f t="shared" si="518"/>
        <v>0</v>
      </c>
      <c r="T12" s="35">
        <f t="shared" si="519"/>
        <v>0</v>
      </c>
      <c r="U12" s="19" t="e">
        <f t="shared" si="52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12"/>
        <v>0</v>
      </c>
      <c r="F13" s="13">
        <v>3464</v>
      </c>
      <c r="G13" s="13">
        <v>0</v>
      </c>
      <c r="H13" s="13">
        <v>0</v>
      </c>
      <c r="I13" s="16">
        <f t="shared" si="513"/>
        <v>3464</v>
      </c>
      <c r="J13" s="17">
        <f t="shared" si="514"/>
        <v>0</v>
      </c>
      <c r="K13" s="18">
        <f t="shared" si="51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17"/>
        <v>0</v>
      </c>
      <c r="S13" s="35">
        <f t="shared" si="518"/>
        <v>3464</v>
      </c>
      <c r="T13" s="35">
        <f t="shared" si="519"/>
        <v>3464</v>
      </c>
      <c r="U13" s="19" t="e">
        <f t="shared" si="520"/>
        <v>#DIV/0!</v>
      </c>
    </row>
    <row r="14">
      <c r="A14" s="9" t="s">
        <v>42</v>
      </c>
      <c r="B14" s="9" t="s">
        <v>113</v>
      </c>
      <c r="C14" s="14">
        <v>15000</v>
      </c>
      <c r="D14" s="11">
        <v>9.2599999999999998</v>
      </c>
      <c r="E14" s="12">
        <f t="shared" si="512"/>
        <v>138900</v>
      </c>
      <c r="F14" s="13">
        <v>0</v>
      </c>
      <c r="G14" s="13">
        <v>0</v>
      </c>
      <c r="H14" s="13">
        <v>0</v>
      </c>
      <c r="I14" s="16">
        <f t="shared" si="513"/>
        <v>0</v>
      </c>
      <c r="J14" s="17">
        <f t="shared" si="514"/>
        <v>15000</v>
      </c>
      <c r="K14" s="18">
        <f t="shared" si="51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17"/>
        <v>0</v>
      </c>
      <c r="S14" s="35">
        <f t="shared" si="518"/>
        <v>0</v>
      </c>
      <c r="T14" s="35">
        <f t="shared" si="519"/>
        <v>-15000</v>
      </c>
      <c r="U14" s="19">
        <f t="shared" si="520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12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14"/>
        <v>10000</v>
      </c>
      <c r="K15" s="18">
        <f t="shared" si="51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17"/>
        <v>0</v>
      </c>
      <c r="S15" s="35">
        <f t="shared" si="518"/>
        <v>34</v>
      </c>
      <c r="T15" s="35">
        <f t="shared" si="519"/>
        <v>-9966</v>
      </c>
      <c r="U15" s="19">
        <f t="shared" si="520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12"/>
        <v>0</v>
      </c>
      <c r="F16" s="13">
        <v>0</v>
      </c>
      <c r="G16" s="13">
        <v>0</v>
      </c>
      <c r="H16" s="13">
        <v>0</v>
      </c>
      <c r="I16" s="16">
        <f t="shared" si="513"/>
        <v>0</v>
      </c>
      <c r="J16" s="17">
        <f t="shared" si="514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17"/>
        <v>0</v>
      </c>
      <c r="S16" s="35">
        <f t="shared" si="518"/>
        <v>0</v>
      </c>
      <c r="T16" s="35">
        <f t="shared" si="519"/>
        <v>0</v>
      </c>
      <c r="U16" s="19" t="e">
        <f t="shared" si="520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12"/>
        <v>0</v>
      </c>
      <c r="F17" s="13">
        <v>0</v>
      </c>
      <c r="G17" s="13">
        <v>0</v>
      </c>
      <c r="H17" s="13">
        <v>0</v>
      </c>
      <c r="I17" s="16">
        <f t="shared" si="513"/>
        <v>0</v>
      </c>
      <c r="J17" s="17">
        <f t="shared" si="514"/>
        <v>0</v>
      </c>
      <c r="K17" s="18">
        <f t="shared" si="515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17"/>
        <v>0</v>
      </c>
      <c r="S17" s="35">
        <f t="shared" si="518"/>
        <v>0</v>
      </c>
      <c r="T17" s="35">
        <f t="shared" si="519"/>
        <v>0</v>
      </c>
      <c r="U17" s="19" t="e">
        <f t="shared" si="520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12"/>
        <v>0</v>
      </c>
      <c r="F18" s="13">
        <v>0</v>
      </c>
      <c r="G18" s="13">
        <v>0</v>
      </c>
      <c r="H18" s="13">
        <v>0</v>
      </c>
      <c r="I18" s="16">
        <f t="shared" si="513"/>
        <v>0</v>
      </c>
      <c r="J18" s="17">
        <f t="shared" si="514"/>
        <v>0</v>
      </c>
      <c r="K18" s="18">
        <f>+G18*D18</f>
        <v>0</v>
      </c>
      <c r="L18" s="19" t="e">
        <f t="shared" ref="L18:L19" si="521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17"/>
        <v>0</v>
      </c>
      <c r="S18" s="35">
        <f t="shared" si="518"/>
        <v>0</v>
      </c>
      <c r="T18" s="35">
        <f t="shared" si="519"/>
        <v>0</v>
      </c>
      <c r="U18" s="19" t="e">
        <f t="shared" si="520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22">SUM(E3:E18)</f>
        <v>4634402.3095295709</v>
      </c>
      <c r="F19" s="24">
        <f t="shared" si="522"/>
        <v>646577</v>
      </c>
      <c r="G19" s="24">
        <f t="shared" si="522"/>
        <v>1210539</v>
      </c>
      <c r="H19" s="24">
        <f t="shared" si="522"/>
        <v>288728</v>
      </c>
      <c r="I19" s="25">
        <f t="shared" si="522"/>
        <v>935339</v>
      </c>
      <c r="J19" s="26">
        <f t="shared" si="522"/>
        <v>1793511</v>
      </c>
      <c r="K19" s="26">
        <f t="shared" si="522"/>
        <v>1741524.2173167875</v>
      </c>
      <c r="L19" s="27">
        <f t="shared" si="521"/>
        <v>0.37578183787276037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17"/>
        <v>0</v>
      </c>
      <c r="S19" s="35">
        <f t="shared" si="518"/>
        <v>2145878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G21" s="42" t="s">
        <v>64</v>
      </c>
    </row>
    <row r="22" ht="16.5">
      <c r="B22" s="48" t="s">
        <v>64</v>
      </c>
      <c r="C22" s="49" t="s">
        <v>64</v>
      </c>
      <c r="D22" s="28"/>
      <c r="E22" s="45"/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64</v>
      </c>
      <c r="D23" s="28"/>
      <c r="E23" s="45" t="s">
        <v>64</v>
      </c>
      <c r="F23" s="42" t="s">
        <v>64</v>
      </c>
      <c r="G23" s="42"/>
      <c r="H23" s="52" t="s">
        <v>64</v>
      </c>
    </row>
    <row r="24" ht="16.5">
      <c r="B24" s="48" t="s">
        <v>64</v>
      </c>
      <c r="C24" s="49" t="s">
        <v>91</v>
      </c>
      <c r="D24" s="28"/>
      <c r="E24" s="45" t="s">
        <v>64</v>
      </c>
      <c r="F24" s="46"/>
      <c r="G24" s="42" t="s">
        <v>64</v>
      </c>
    </row>
    <row r="25" ht="16.5">
      <c r="B25" s="48" t="s">
        <v>64</v>
      </c>
      <c r="C25" s="49" t="s">
        <v>64</v>
      </c>
      <c r="D25" s="28"/>
      <c r="E25" s="28" t="s">
        <v>64</v>
      </c>
      <c r="G25" t="s">
        <v>64</v>
      </c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BC00F1-00A4-4776-86B9-007200F60046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F40024-0079-408F-9296-00DB00EB00A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D000CC-0098-45B0-851E-001E006400F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3600B2-00E6-41F0-BD42-000000FD00A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73000F-00A1-47C8-BB24-00AF002400D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610010-0045-4E63-B2C6-002100EA008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72002B-0061-4BC6-837F-0094002E00A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ED0085-0016-4811-B173-0064002B005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20075-004F-44D6-A247-00400035003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8600FE-008D-4DDC-8B6D-007D0097003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5200F4-000C-4FF3-A12B-00E1009200B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A80035-0026-4A6E-9BB4-00A10058003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E0093-0020-4EC4-9D96-00AA0075005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20" activeCellId="0" sqref="B20:F20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5546875"/>
    <col bestFit="1" customWidth="1" min="10" max="10" width="18.44140625"/>
    <col customWidth="1" min="11" max="11" width="16"/>
    <col customWidth="1" min="12" max="12" width="12.88671875"/>
    <col customWidth="1" min="13" max="14" width="16.6640625"/>
    <col customWidth="1" min="15" max="15" width="15.44140625"/>
  </cols>
  <sheetData>
    <row r="1" ht="16.5">
      <c r="J1" s="29"/>
      <c r="K1" s="29"/>
      <c r="L1" s="30"/>
      <c r="P1" s="31" t="s">
        <v>0</v>
      </c>
      <c r="Q1" s="31" t="s">
        <v>1</v>
      </c>
      <c r="R1" s="31" t="s">
        <v>2</v>
      </c>
      <c r="S1" s="31" t="s">
        <v>3</v>
      </c>
      <c r="T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5" t="s">
        <v>56</v>
      </c>
      <c r="K2" s="6" t="s">
        <v>15</v>
      </c>
      <c r="L2" s="6" t="s">
        <v>16</v>
      </c>
      <c r="M2" s="7" t="s">
        <v>17</v>
      </c>
      <c r="N2" s="7" t="s">
        <v>18</v>
      </c>
      <c r="O2" s="7" t="s">
        <v>19</v>
      </c>
      <c r="P2" s="31" t="s">
        <v>0</v>
      </c>
      <c r="Q2" s="31" t="s">
        <v>1</v>
      </c>
      <c r="R2" s="31" t="s">
        <v>2</v>
      </c>
      <c r="S2" s="31" t="s">
        <v>3</v>
      </c>
      <c r="T2" s="31" t="s">
        <v>51</v>
      </c>
      <c r="U2" s="32" t="s">
        <v>53</v>
      </c>
      <c r="V2" s="32" t="s">
        <v>54</v>
      </c>
      <c r="W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36">C3*D3</f>
        <v>1870761.2046759115</v>
      </c>
      <c r="F3" s="13"/>
      <c r="G3" s="13">
        <v>243380</v>
      </c>
      <c r="H3" s="13">
        <v>0</v>
      </c>
      <c r="I3" s="13">
        <f t="shared" ref="I3:I17" si="37">F3-(G3+H3)</f>
        <v>-243380</v>
      </c>
      <c r="J3" s="16">
        <v>74470</v>
      </c>
      <c r="K3" s="14">
        <f t="shared" ref="K3:K9" si="38">G3+H3+J3</f>
        <v>317850</v>
      </c>
      <c r="L3" s="14">
        <f t="shared" ref="L3:L17" si="39">K3-F3</f>
        <v>317850</v>
      </c>
      <c r="M3" s="17">
        <f t="shared" ref="M3:M17" si="40">C3-G3</f>
        <v>403410</v>
      </c>
      <c r="N3" s="18">
        <f t="shared" ref="N3:N17" si="41">+G3*D3</f>
        <v>703946.97196002305</v>
      </c>
      <c r="O3" s="19">
        <f t="shared" ref="O3:O11" si="42">N3/E3</f>
        <v>0.37628905827239134</v>
      </c>
      <c r="P3" s="33"/>
      <c r="Q3" s="33">
        <v>149828</v>
      </c>
      <c r="R3" s="33">
        <f>8*18500</f>
        <v>148000</v>
      </c>
      <c r="S3" s="33">
        <f>8*18500</f>
        <v>148000</v>
      </c>
      <c r="T3" s="33">
        <f>7*18500</f>
        <v>129500</v>
      </c>
      <c r="U3" s="34">
        <f t="shared" ref="U3:U17" si="43">SUM(Q3:T3)</f>
        <v>575328</v>
      </c>
      <c r="V3" s="35">
        <f t="shared" ref="V3:V18" si="44">+U3-C3</f>
        <v>-71462</v>
      </c>
      <c r="W3" s="19">
        <f t="shared" ref="W3:W17" si="45">+U3/C3</f>
        <v>0.88951282487360661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36"/>
        <v>390880.30588673195</v>
      </c>
      <c r="F4" s="13"/>
      <c r="G4" s="13">
        <v>0</v>
      </c>
      <c r="H4" s="13">
        <v>6080</v>
      </c>
      <c r="I4" s="13">
        <f t="shared" si="37"/>
        <v>-6080</v>
      </c>
      <c r="J4" s="16">
        <v>442871</v>
      </c>
      <c r="K4" s="14">
        <f t="shared" si="38"/>
        <v>448951</v>
      </c>
      <c r="L4" s="14">
        <f t="shared" si="39"/>
        <v>448951</v>
      </c>
      <c r="M4" s="17">
        <f t="shared" si="40"/>
        <v>300000</v>
      </c>
      <c r="N4" s="18">
        <f t="shared" si="41"/>
        <v>0</v>
      </c>
      <c r="O4" s="19">
        <f t="shared" si="42"/>
        <v>0</v>
      </c>
      <c r="P4" s="33"/>
      <c r="Q4" s="33">
        <v>442871</v>
      </c>
      <c r="R4" s="33"/>
      <c r="S4" s="33"/>
      <c r="T4" s="33"/>
      <c r="U4" s="34">
        <f t="shared" si="43"/>
        <v>442871</v>
      </c>
      <c r="V4" s="35">
        <f t="shared" si="44"/>
        <v>142871</v>
      </c>
      <c r="W4" s="19">
        <f t="shared" si="45"/>
        <v>1.4762366666666666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36"/>
        <v>0</v>
      </c>
      <c r="F5" s="13"/>
      <c r="G5" s="13">
        <v>0</v>
      </c>
      <c r="H5" s="13">
        <v>0</v>
      </c>
      <c r="I5" s="13">
        <f t="shared" si="37"/>
        <v>0</v>
      </c>
      <c r="J5" s="16">
        <v>0</v>
      </c>
      <c r="K5" s="14">
        <f t="shared" si="38"/>
        <v>0</v>
      </c>
      <c r="L5" s="14">
        <f t="shared" si="39"/>
        <v>0</v>
      </c>
      <c r="M5" s="17">
        <f t="shared" si="40"/>
        <v>0</v>
      </c>
      <c r="N5" s="18">
        <f t="shared" si="41"/>
        <v>0</v>
      </c>
      <c r="O5" s="19">
        <v>0</v>
      </c>
      <c r="P5" s="33"/>
      <c r="Q5" s="33">
        <v>0</v>
      </c>
      <c r="R5" s="33"/>
      <c r="S5" s="33"/>
      <c r="T5" s="33"/>
      <c r="U5" s="34">
        <f t="shared" si="43"/>
        <v>0</v>
      </c>
      <c r="V5" s="35">
        <f t="shared" si="44"/>
        <v>0</v>
      </c>
      <c r="W5" s="19">
        <v>0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36"/>
        <v>644777.55587835144</v>
      </c>
      <c r="F6" s="13"/>
      <c r="G6" s="13">
        <v>94823</v>
      </c>
      <c r="H6" s="13">
        <v>63500</v>
      </c>
      <c r="I6" s="13">
        <f t="shared" si="37"/>
        <v>-158323</v>
      </c>
      <c r="J6" s="16">
        <v>316015</v>
      </c>
      <c r="K6" s="14">
        <f t="shared" si="38"/>
        <v>474338</v>
      </c>
      <c r="L6" s="14">
        <f t="shared" si="39"/>
        <v>474338</v>
      </c>
      <c r="M6" s="17">
        <f t="shared" si="40"/>
        <v>469273</v>
      </c>
      <c r="N6" s="18">
        <f t="shared" si="41"/>
        <v>108385.34962320761</v>
      </c>
      <c r="O6" s="19">
        <f t="shared" si="42"/>
        <v>0.16809727422282733</v>
      </c>
      <c r="P6" s="33"/>
      <c r="Q6" s="33">
        <v>94823</v>
      </c>
      <c r="R6" s="33">
        <v>220500</v>
      </c>
      <c r="S6" s="33">
        <f>5*31500</f>
        <v>157500</v>
      </c>
      <c r="T6" s="33">
        <v>93500</v>
      </c>
      <c r="U6" s="34">
        <f t="shared" si="43"/>
        <v>566323</v>
      </c>
      <c r="V6" s="35">
        <f t="shared" si="44"/>
        <v>2227</v>
      </c>
      <c r="W6" s="19">
        <f t="shared" si="45"/>
        <v>1.0039479095756751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36"/>
        <v>221472.43814627349</v>
      </c>
      <c r="F7" s="13"/>
      <c r="G7" s="13">
        <v>0</v>
      </c>
      <c r="H7" s="13">
        <v>0</v>
      </c>
      <c r="I7" s="13">
        <f t="shared" si="37"/>
        <v>0</v>
      </c>
      <c r="J7" s="16">
        <v>90</v>
      </c>
      <c r="K7" s="14">
        <f t="shared" si="38"/>
        <v>90</v>
      </c>
      <c r="L7" s="14">
        <f t="shared" si="39"/>
        <v>90</v>
      </c>
      <c r="M7" s="17">
        <f t="shared" si="40"/>
        <v>349200</v>
      </c>
      <c r="N7" s="18">
        <f t="shared" si="41"/>
        <v>0</v>
      </c>
      <c r="O7" s="19">
        <f t="shared" si="42"/>
        <v>0</v>
      </c>
      <c r="P7" s="33"/>
      <c r="Q7" s="33">
        <v>0</v>
      </c>
      <c r="R7" s="33"/>
      <c r="S7" s="33">
        <f>3*87000</f>
        <v>261000</v>
      </c>
      <c r="T7" s="33">
        <v>87000</v>
      </c>
      <c r="U7" s="34">
        <f t="shared" si="43"/>
        <v>348000</v>
      </c>
      <c r="V7" s="35">
        <f t="shared" si="44"/>
        <v>-1200</v>
      </c>
      <c r="W7" s="19">
        <f t="shared" si="45"/>
        <v>0.99656357388316152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36"/>
        <v>585037.49652426294</v>
      </c>
      <c r="F8" s="13"/>
      <c r="G8" s="13">
        <v>370545</v>
      </c>
      <c r="H8" s="13">
        <v>0</v>
      </c>
      <c r="I8" s="13">
        <f t="shared" si="37"/>
        <v>-370545</v>
      </c>
      <c r="J8" s="16">
        <v>110990</v>
      </c>
      <c r="K8" s="14">
        <f t="shared" si="38"/>
        <v>481535</v>
      </c>
      <c r="L8" s="14">
        <f t="shared" si="39"/>
        <v>481535</v>
      </c>
      <c r="M8" s="17">
        <f t="shared" si="40"/>
        <v>284205</v>
      </c>
      <c r="N8" s="18">
        <f t="shared" si="41"/>
        <v>331092.35456217336</v>
      </c>
      <c r="O8" s="19">
        <f t="shared" si="42"/>
        <v>0.56593356242840775</v>
      </c>
      <c r="P8" s="33"/>
      <c r="Q8" s="33">
        <v>44215</v>
      </c>
      <c r="R8" s="33">
        <f>5*43500</f>
        <v>217500</v>
      </c>
      <c r="S8" s="33">
        <f>2*43500</f>
        <v>87000</v>
      </c>
      <c r="T8" s="33">
        <f>6*43500</f>
        <v>261000</v>
      </c>
      <c r="U8" s="34">
        <f t="shared" si="43"/>
        <v>609715</v>
      </c>
      <c r="V8" s="35">
        <f t="shared" si="44"/>
        <v>-45035</v>
      </c>
      <c r="W8" s="19">
        <f t="shared" si="45"/>
        <v>0.93121802214585725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36"/>
        <v>216656.93033237188</v>
      </c>
      <c r="F9" s="13"/>
      <c r="G9" s="13">
        <v>0</v>
      </c>
      <c r="H9" s="13">
        <v>0</v>
      </c>
      <c r="I9" s="13">
        <f t="shared" si="37"/>
        <v>0</v>
      </c>
      <c r="J9" s="16">
        <v>0</v>
      </c>
      <c r="K9" s="14">
        <f t="shared" si="38"/>
        <v>0</v>
      </c>
      <c r="L9" s="14">
        <f t="shared" si="39"/>
        <v>0</v>
      </c>
      <c r="M9" s="17">
        <f t="shared" si="40"/>
        <v>202800</v>
      </c>
      <c r="N9" s="18">
        <f t="shared" si="41"/>
        <v>0</v>
      </c>
      <c r="O9" s="19">
        <f t="shared" si="42"/>
        <v>0</v>
      </c>
      <c r="P9" s="33"/>
      <c r="Q9" s="33">
        <v>0</v>
      </c>
      <c r="R9" s="33"/>
      <c r="S9" s="33">
        <v>234000</v>
      </c>
      <c r="T9" s="33"/>
      <c r="U9" s="34">
        <f t="shared" si="43"/>
        <v>234000</v>
      </c>
      <c r="V9" s="35">
        <f t="shared" si="44"/>
        <v>31200</v>
      </c>
      <c r="W9" s="19">
        <f t="shared" si="45"/>
        <v>1.1538461538461537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36"/>
        <v>505114.07016586867</v>
      </c>
      <c r="F10" s="13"/>
      <c r="G10" s="13">
        <v>0</v>
      </c>
      <c r="H10" s="13">
        <v>0</v>
      </c>
      <c r="I10" s="13">
        <f t="shared" si="37"/>
        <v>0</v>
      </c>
      <c r="J10" s="16">
        <v>233352</v>
      </c>
      <c r="K10" s="14">
        <f>G10+H8+J10</f>
        <v>233352</v>
      </c>
      <c r="L10" s="14">
        <f t="shared" si="39"/>
        <v>233352</v>
      </c>
      <c r="M10" s="17">
        <f t="shared" si="40"/>
        <v>232806</v>
      </c>
      <c r="N10" s="18">
        <f t="shared" si="41"/>
        <v>0</v>
      </c>
      <c r="O10" s="19">
        <f t="shared" si="42"/>
        <v>0</v>
      </c>
      <c r="P10" s="33"/>
      <c r="Q10" s="33">
        <v>6</v>
      </c>
      <c r="R10" s="33">
        <f>6*38500</f>
        <v>231000</v>
      </c>
      <c r="S10" s="33"/>
      <c r="T10" s="33"/>
      <c r="U10" s="34">
        <f t="shared" si="43"/>
        <v>231006</v>
      </c>
      <c r="V10" s="35">
        <f t="shared" si="44"/>
        <v>-1800</v>
      </c>
      <c r="W10" s="19">
        <f t="shared" si="45"/>
        <v>0.99226824050926521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36"/>
        <v>58121.655911310321</v>
      </c>
      <c r="F11" s="13"/>
      <c r="G11" s="13">
        <v>37379</v>
      </c>
      <c r="H11" s="13">
        <v>0</v>
      </c>
      <c r="I11" s="13">
        <f t="shared" si="37"/>
        <v>-37379</v>
      </c>
      <c r="J11" s="16">
        <v>0</v>
      </c>
      <c r="K11" s="14">
        <f t="shared" ref="K11:K17" si="46">G11+H11+J11</f>
        <v>37379</v>
      </c>
      <c r="L11" s="14">
        <f t="shared" si="39"/>
        <v>37379</v>
      </c>
      <c r="M11" s="17">
        <f t="shared" si="40"/>
        <v>0</v>
      </c>
      <c r="N11" s="18">
        <f t="shared" si="41"/>
        <v>58121.655911310321</v>
      </c>
      <c r="O11" s="19">
        <f t="shared" si="42"/>
        <v>1</v>
      </c>
      <c r="P11" s="33"/>
      <c r="Q11" s="33">
        <v>0</v>
      </c>
      <c r="R11" s="33"/>
      <c r="S11" s="33"/>
      <c r="T11" s="33"/>
      <c r="U11" s="34">
        <f t="shared" si="43"/>
        <v>0</v>
      </c>
      <c r="V11" s="35">
        <f t="shared" si="44"/>
        <v>-37379</v>
      </c>
      <c r="W11" s="19">
        <f t="shared" si="45"/>
        <v>0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36"/>
        <v>0</v>
      </c>
      <c r="F12" s="13"/>
      <c r="G12" s="13">
        <v>0</v>
      </c>
      <c r="H12" s="13">
        <v>0</v>
      </c>
      <c r="I12" s="13">
        <f t="shared" si="37"/>
        <v>0</v>
      </c>
      <c r="J12" s="16">
        <v>0</v>
      </c>
      <c r="K12" s="14">
        <f t="shared" si="46"/>
        <v>0</v>
      </c>
      <c r="L12" s="14">
        <f t="shared" si="39"/>
        <v>0</v>
      </c>
      <c r="M12" s="17">
        <f t="shared" si="40"/>
        <v>0</v>
      </c>
      <c r="N12" s="18">
        <f t="shared" si="41"/>
        <v>0</v>
      </c>
      <c r="O12" s="19">
        <v>0</v>
      </c>
      <c r="P12" s="33"/>
      <c r="Q12" s="33">
        <v>0</v>
      </c>
      <c r="R12" s="33"/>
      <c r="S12" s="33"/>
      <c r="T12" s="33"/>
      <c r="U12" s="34">
        <f t="shared" si="43"/>
        <v>0</v>
      </c>
      <c r="V12" s="35">
        <f t="shared" si="44"/>
        <v>0</v>
      </c>
      <c r="W12" s="19">
        <v>0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36"/>
        <v>0</v>
      </c>
      <c r="F13" s="13"/>
      <c r="G13" s="13">
        <v>0</v>
      </c>
      <c r="H13" s="13">
        <v>0</v>
      </c>
      <c r="I13" s="13">
        <f t="shared" si="37"/>
        <v>0</v>
      </c>
      <c r="J13" s="16">
        <v>0</v>
      </c>
      <c r="K13" s="14">
        <f t="shared" si="46"/>
        <v>0</v>
      </c>
      <c r="L13" s="14">
        <f t="shared" si="39"/>
        <v>0</v>
      </c>
      <c r="M13" s="17">
        <f t="shared" si="40"/>
        <v>0</v>
      </c>
      <c r="N13" s="18">
        <f t="shared" si="41"/>
        <v>0</v>
      </c>
      <c r="O13" s="19">
        <v>0</v>
      </c>
      <c r="P13" s="33"/>
      <c r="Q13" s="33">
        <v>0</v>
      </c>
      <c r="R13" s="33"/>
      <c r="S13" s="33"/>
      <c r="T13" s="33"/>
      <c r="U13" s="34">
        <f t="shared" si="43"/>
        <v>0</v>
      </c>
      <c r="V13" s="35">
        <f t="shared" si="44"/>
        <v>0</v>
      </c>
      <c r="W13" s="19">
        <v>0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36"/>
        <v>0</v>
      </c>
      <c r="F14" s="13"/>
      <c r="G14" s="13">
        <v>0</v>
      </c>
      <c r="H14" s="13">
        <v>0</v>
      </c>
      <c r="I14" s="13">
        <f t="shared" si="37"/>
        <v>0</v>
      </c>
      <c r="J14" s="16">
        <v>0</v>
      </c>
      <c r="K14" s="14">
        <f t="shared" si="46"/>
        <v>0</v>
      </c>
      <c r="L14" s="14">
        <f t="shared" si="39"/>
        <v>0</v>
      </c>
      <c r="M14" s="17">
        <f t="shared" si="40"/>
        <v>0</v>
      </c>
      <c r="N14" s="18">
        <f t="shared" si="41"/>
        <v>0</v>
      </c>
      <c r="O14" s="19">
        <v>0</v>
      </c>
      <c r="P14" s="33"/>
      <c r="Q14" s="33">
        <v>0</v>
      </c>
      <c r="R14" s="33"/>
      <c r="S14" s="33"/>
      <c r="T14" s="33"/>
      <c r="U14" s="34">
        <f t="shared" si="43"/>
        <v>0</v>
      </c>
      <c r="V14" s="35">
        <f t="shared" si="44"/>
        <v>0</v>
      </c>
      <c r="W14" s="19">
        <v>0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36"/>
        <v>0</v>
      </c>
      <c r="F15" s="13"/>
      <c r="G15" s="13">
        <v>0</v>
      </c>
      <c r="H15" s="13">
        <v>0</v>
      </c>
      <c r="I15" s="13">
        <f t="shared" si="37"/>
        <v>0</v>
      </c>
      <c r="J15" s="16">
        <v>0</v>
      </c>
      <c r="K15" s="14">
        <f t="shared" si="46"/>
        <v>0</v>
      </c>
      <c r="L15" s="14">
        <f t="shared" si="39"/>
        <v>0</v>
      </c>
      <c r="M15" s="17">
        <f t="shared" si="40"/>
        <v>0</v>
      </c>
      <c r="N15" s="18">
        <f t="shared" si="41"/>
        <v>0</v>
      </c>
      <c r="O15" s="19">
        <v>0</v>
      </c>
      <c r="P15" s="33"/>
      <c r="Q15" s="33">
        <v>0</v>
      </c>
      <c r="R15" s="33"/>
      <c r="S15" s="33"/>
      <c r="T15" s="33"/>
      <c r="U15" s="34">
        <f t="shared" si="43"/>
        <v>0</v>
      </c>
      <c r="V15" s="35">
        <f t="shared" si="44"/>
        <v>0</v>
      </c>
      <c r="W15" s="19">
        <v>0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36"/>
        <v>0</v>
      </c>
      <c r="F16" s="13"/>
      <c r="G16" s="13">
        <v>0</v>
      </c>
      <c r="H16" s="13">
        <v>0</v>
      </c>
      <c r="I16" s="13">
        <f t="shared" si="37"/>
        <v>0</v>
      </c>
      <c r="J16" s="16">
        <v>0</v>
      </c>
      <c r="K16" s="14">
        <f t="shared" si="46"/>
        <v>0</v>
      </c>
      <c r="L16" s="14">
        <f t="shared" si="39"/>
        <v>0</v>
      </c>
      <c r="M16" s="17">
        <f t="shared" si="40"/>
        <v>0</v>
      </c>
      <c r="N16" s="18">
        <f t="shared" si="41"/>
        <v>0</v>
      </c>
      <c r="O16" s="19">
        <v>0</v>
      </c>
      <c r="P16" s="33"/>
      <c r="Q16" s="33">
        <v>0</v>
      </c>
      <c r="R16" s="33"/>
      <c r="S16" s="33"/>
      <c r="T16" s="33"/>
      <c r="U16" s="34">
        <f t="shared" si="43"/>
        <v>0</v>
      </c>
      <c r="V16" s="35">
        <f t="shared" si="44"/>
        <v>0</v>
      </c>
      <c r="W16" s="19">
        <v>0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36"/>
        <v>3629.0452579287512</v>
      </c>
      <c r="F17" s="13"/>
      <c r="G17" s="13">
        <v>0</v>
      </c>
      <c r="H17" s="13">
        <v>787</v>
      </c>
      <c r="I17" s="13">
        <f t="shared" si="37"/>
        <v>-787</v>
      </c>
      <c r="J17" s="16">
        <v>74976</v>
      </c>
      <c r="K17" s="14">
        <f t="shared" si="46"/>
        <v>75763</v>
      </c>
      <c r="L17" s="14">
        <f t="shared" si="39"/>
        <v>75763</v>
      </c>
      <c r="M17" s="17">
        <f t="shared" si="40"/>
        <v>1187</v>
      </c>
      <c r="N17" s="18">
        <f t="shared" si="41"/>
        <v>0</v>
      </c>
      <c r="O17" s="19">
        <f t="shared" ref="O17:O18" si="47">N17/E17</f>
        <v>0</v>
      </c>
      <c r="P17" s="33"/>
      <c r="Q17" s="33">
        <v>1187</v>
      </c>
      <c r="R17" s="33"/>
      <c r="S17" s="33"/>
      <c r="T17" s="33"/>
      <c r="U17" s="34">
        <f t="shared" si="43"/>
        <v>1187</v>
      </c>
      <c r="V17" s="35">
        <f t="shared" si="44"/>
        <v>0</v>
      </c>
      <c r="W17" s="19">
        <f t="shared" si="45"/>
        <v>1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746127</v>
      </c>
      <c r="H18" s="24">
        <f>SUM(H3:H17)</f>
        <v>70367</v>
      </c>
      <c r="I18" s="21"/>
      <c r="J18" s="25">
        <f>SUM(J3:J17)</f>
        <v>1252764</v>
      </c>
      <c r="K18" s="21"/>
      <c r="L18" s="21"/>
      <c r="M18" s="26">
        <f>SUM(M3:M17)</f>
        <v>2242881</v>
      </c>
      <c r="N18" s="26">
        <f>SUM(N3:N17)</f>
        <v>1201546.3320567145</v>
      </c>
      <c r="O18" s="27">
        <f t="shared" si="47"/>
        <v>0.26722106200655193</v>
      </c>
      <c r="P18" s="33"/>
      <c r="Q18" s="33"/>
      <c r="R18" s="33"/>
      <c r="S18" s="33"/>
      <c r="T18" s="33"/>
      <c r="U18" s="34">
        <f>+R18+Q18+G18+S18+T18</f>
        <v>746127</v>
      </c>
      <c r="V18" s="35">
        <f t="shared" si="44"/>
        <v>-2242881</v>
      </c>
    </row>
    <row r="19">
      <c r="B19" s="28"/>
      <c r="C19" s="28"/>
      <c r="D19" s="28"/>
      <c r="E19" s="28"/>
    </row>
    <row r="20">
      <c r="B20" s="28"/>
      <c r="C20" s="28"/>
      <c r="D20" s="28"/>
      <c r="E20" s="28"/>
    </row>
    <row r="21">
      <c r="B21" s="28"/>
      <c r="C21" s="28"/>
      <c r="D21" s="28"/>
      <c r="E21" s="28"/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W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E000F-00E2-45AB-954D-00B000BA0032}">
            <xm:f>$TO20&gt;41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6C002B-0054-42E0-96F1-009C006B00C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5" operator="lessThan" id="{008600E0-009D-43C1-86E4-00F9009A00C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4" operator="between" id="{0056002B-004E-4C24-84FC-00C40035009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O3:O18</xm:sqref>
        </x14:conditionalFormatting>
        <x14:conditionalFormatting xmlns:xm="http://schemas.microsoft.com/office/excel/2006/main">
          <x14:cfRule type="cellIs" priority="3" operator="greaterThan" id="{00810031-001C-40BE-9D4A-000C00DB000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2" operator="lessThan" id="{00E300D3-004A-4021-867A-001E00CD008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W3:W17</xm:sqref>
        </x14:conditionalFormatting>
        <x14:conditionalFormatting xmlns:xm="http://schemas.microsoft.com/office/excel/2006/main">
          <x14:cfRule type="cellIs" priority="1" operator="between" id="{0001002C-008E-446A-B452-00AE00CD00E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W3:W17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D15" activeCellId="0" sqref="D15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117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23">C3*D3</f>
        <v>1044055.9231426805</v>
      </c>
      <c r="F3" s="13">
        <v>0</v>
      </c>
      <c r="G3" s="44">
        <v>260040</v>
      </c>
      <c r="H3" s="13">
        <v>74550</v>
      </c>
      <c r="I3" s="16">
        <f t="shared" ref="I3:I18" si="524">F3+H3</f>
        <v>74550</v>
      </c>
      <c r="J3" s="17">
        <f t="shared" ref="J3:J18" si="525">C3-G3</f>
        <v>100928</v>
      </c>
      <c r="K3" s="18">
        <f t="shared" ref="K3:K17" si="526">+G3*D3</f>
        <v>752133.99042026629</v>
      </c>
      <c r="L3" s="19">
        <f t="shared" ref="L3:L11" si="527">K3/E3</f>
        <v>0.72039626781321342</v>
      </c>
      <c r="M3" s="34">
        <v>0</v>
      </c>
      <c r="N3" s="34">
        <v>95000</v>
      </c>
      <c r="O3" s="34">
        <v>133000</v>
      </c>
      <c r="P3" s="34">
        <v>133000</v>
      </c>
      <c r="Q3" s="34">
        <v>0</v>
      </c>
      <c r="R3" s="34">
        <f t="shared" ref="R3:R19" si="528">M3+N3+O3+P3+Q3</f>
        <v>361000</v>
      </c>
      <c r="S3" s="35">
        <f t="shared" ref="S3:S19" si="529">G3+I3+R3</f>
        <v>695590</v>
      </c>
      <c r="T3" s="35">
        <f t="shared" ref="T3:T18" si="530">S3-C3</f>
        <v>334622</v>
      </c>
      <c r="U3" s="19">
        <f t="shared" ref="U3:U18" si="531">S3/C3</f>
        <v>1.9270129208129252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23"/>
        <v>826416.08085231704</v>
      </c>
      <c r="F4" s="13">
        <v>295070</v>
      </c>
      <c r="G4" s="13">
        <v>270237</v>
      </c>
      <c r="H4" s="13">
        <v>0</v>
      </c>
      <c r="I4" s="16">
        <f t="shared" si="524"/>
        <v>295070</v>
      </c>
      <c r="J4" s="17">
        <f t="shared" si="525"/>
        <v>364036</v>
      </c>
      <c r="K4" s="18">
        <f t="shared" si="526"/>
        <v>352101.07073970925</v>
      </c>
      <c r="L4" s="19">
        <f t="shared" si="527"/>
        <v>0.4260578646734135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28"/>
        <v>0</v>
      </c>
      <c r="S4" s="35">
        <f t="shared" si="529"/>
        <v>565307</v>
      </c>
      <c r="T4" s="35">
        <f t="shared" si="530"/>
        <v>-68966</v>
      </c>
      <c r="U4" s="19">
        <f t="shared" si="531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23"/>
        <v>0</v>
      </c>
      <c r="F5" s="13">
        <v>0</v>
      </c>
      <c r="G5" s="13">
        <v>0</v>
      </c>
      <c r="H5" s="13">
        <v>0</v>
      </c>
      <c r="I5" s="16">
        <f t="shared" si="524"/>
        <v>0</v>
      </c>
      <c r="J5" s="17">
        <f t="shared" si="525"/>
        <v>0</v>
      </c>
      <c r="K5" s="18">
        <f t="shared" si="526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28"/>
        <v>0</v>
      </c>
      <c r="S5" s="35">
        <f t="shared" si="529"/>
        <v>0</v>
      </c>
      <c r="T5" s="35">
        <f t="shared" si="530"/>
        <v>0</v>
      </c>
      <c r="U5" s="19" t="e">
        <f t="shared" si="531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23"/>
        <v>534559.93227682635</v>
      </c>
      <c r="F6" s="13">
        <v>0</v>
      </c>
      <c r="G6" s="44">
        <v>234735</v>
      </c>
      <c r="H6" s="44">
        <v>0</v>
      </c>
      <c r="I6" s="16">
        <f t="shared" si="524"/>
        <v>0</v>
      </c>
      <c r="J6" s="17">
        <f t="shared" si="525"/>
        <v>232935</v>
      </c>
      <c r="K6" s="18">
        <f t="shared" si="526"/>
        <v>268308.69139136747</v>
      </c>
      <c r="L6" s="19">
        <f t="shared" si="527"/>
        <v>0.50192443389569563</v>
      </c>
      <c r="M6" s="34">
        <v>0</v>
      </c>
      <c r="N6" s="34">
        <v>31500</v>
      </c>
      <c r="O6" s="34">
        <v>160000</v>
      </c>
      <c r="P6" s="34">
        <v>64000</v>
      </c>
      <c r="Q6" s="34">
        <v>0</v>
      </c>
      <c r="R6" s="34">
        <f t="shared" si="528"/>
        <v>255500</v>
      </c>
      <c r="S6" s="35">
        <f t="shared" si="529"/>
        <v>490235</v>
      </c>
      <c r="T6" s="35">
        <f t="shared" si="530"/>
        <v>22565</v>
      </c>
      <c r="U6" s="19">
        <f t="shared" si="531"/>
        <v>1.048249834284859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23"/>
        <v>225239.75281577196</v>
      </c>
      <c r="F7" s="13">
        <v>89023</v>
      </c>
      <c r="G7" s="13">
        <v>237600</v>
      </c>
      <c r="H7" s="13">
        <v>117540</v>
      </c>
      <c r="I7" s="16">
        <f t="shared" si="524"/>
        <v>206563</v>
      </c>
      <c r="J7" s="17">
        <f t="shared" si="525"/>
        <v>117540</v>
      </c>
      <c r="K7" s="18">
        <f t="shared" si="526"/>
        <v>150692.58677993866</v>
      </c>
      <c r="L7" s="19">
        <f t="shared" si="527"/>
        <v>0.66903193106943737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28"/>
        <v>0</v>
      </c>
      <c r="S7" s="35">
        <f t="shared" si="529"/>
        <v>444163</v>
      </c>
      <c r="T7" s="35">
        <f t="shared" si="530"/>
        <v>89023</v>
      </c>
      <c r="U7" s="19">
        <f t="shared" si="531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23"/>
        <v>352983.79200370744</v>
      </c>
      <c r="F8" s="44">
        <v>0</v>
      </c>
      <c r="G8" s="13">
        <v>395203</v>
      </c>
      <c r="H8" s="44">
        <v>0</v>
      </c>
      <c r="I8" s="16">
        <f t="shared" si="524"/>
        <v>0</v>
      </c>
      <c r="J8" s="17">
        <f t="shared" si="525"/>
        <v>-158</v>
      </c>
      <c r="K8" s="18">
        <f t="shared" si="526"/>
        <v>353124.96943700389</v>
      </c>
      <c r="L8" s="19">
        <f t="shared" si="527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28"/>
        <v>0</v>
      </c>
      <c r="S8" s="35">
        <f t="shared" si="529"/>
        <v>395203</v>
      </c>
      <c r="T8" s="35">
        <f t="shared" si="530"/>
        <v>158</v>
      </c>
      <c r="U8" s="19">
        <f t="shared" si="531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23"/>
        <v>165804.5147316771</v>
      </c>
      <c r="F9" s="13">
        <v>0</v>
      </c>
      <c r="G9" s="13">
        <v>0</v>
      </c>
      <c r="H9" s="13">
        <v>0</v>
      </c>
      <c r="I9" s="16">
        <f t="shared" si="524"/>
        <v>0</v>
      </c>
      <c r="J9" s="17">
        <f t="shared" si="525"/>
        <v>155200</v>
      </c>
      <c r="K9" s="18">
        <f t="shared" si="526"/>
        <v>0</v>
      </c>
      <c r="L9" s="19">
        <f t="shared" si="527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28"/>
        <v>160000</v>
      </c>
      <c r="S9" s="35">
        <f t="shared" si="529"/>
        <v>160000</v>
      </c>
      <c r="T9" s="35">
        <f t="shared" si="530"/>
        <v>4800</v>
      </c>
      <c r="U9" s="19">
        <f t="shared" si="531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23"/>
        <v>1084839.0294190629</v>
      </c>
      <c r="F10" s="13">
        <v>4</v>
      </c>
      <c r="G10" s="13">
        <v>94373</v>
      </c>
      <c r="H10" s="13">
        <v>0</v>
      </c>
      <c r="I10" s="16">
        <f t="shared" si="524"/>
        <v>4</v>
      </c>
      <c r="J10" s="17">
        <f t="shared" si="525"/>
        <v>405627</v>
      </c>
      <c r="K10" s="18">
        <f t="shared" si="526"/>
        <v>204759.02744673044</v>
      </c>
      <c r="L10" s="19">
        <f t="shared" si="527"/>
        <v>0.188746</v>
      </c>
      <c r="M10" s="34">
        <v>0</v>
      </c>
      <c r="N10" s="34">
        <v>240000</v>
      </c>
      <c r="O10" s="34">
        <v>240000</v>
      </c>
      <c r="P10" s="34">
        <v>80000</v>
      </c>
      <c r="Q10" s="34">
        <v>0</v>
      </c>
      <c r="R10" s="34">
        <f t="shared" si="528"/>
        <v>560000</v>
      </c>
      <c r="S10" s="35">
        <f t="shared" si="529"/>
        <v>654377</v>
      </c>
      <c r="T10" s="35">
        <f t="shared" si="530"/>
        <v>154377</v>
      </c>
      <c r="U10" s="19">
        <f t="shared" si="531"/>
        <v>1.308754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23"/>
        <v>172214.50222855783</v>
      </c>
      <c r="F11" s="13">
        <v>0</v>
      </c>
      <c r="G11" s="13">
        <v>0</v>
      </c>
      <c r="H11" s="13">
        <v>74005</v>
      </c>
      <c r="I11" s="16">
        <f t="shared" si="524"/>
        <v>74005</v>
      </c>
      <c r="J11" s="17">
        <f t="shared" si="525"/>
        <v>110754</v>
      </c>
      <c r="K11" s="18">
        <f t="shared" si="526"/>
        <v>0</v>
      </c>
      <c r="L11" s="19">
        <f t="shared" si="527"/>
        <v>0</v>
      </c>
      <c r="M11" s="34">
        <v>0</v>
      </c>
      <c r="N11" s="34">
        <v>76000</v>
      </c>
      <c r="O11" s="34">
        <v>0</v>
      </c>
      <c r="P11" s="34">
        <v>38000</v>
      </c>
      <c r="Q11" s="34">
        <v>0</v>
      </c>
      <c r="R11" s="34">
        <f t="shared" si="528"/>
        <v>114000</v>
      </c>
      <c r="S11" s="35">
        <f t="shared" si="529"/>
        <v>188005</v>
      </c>
      <c r="T11" s="35">
        <f t="shared" si="530"/>
        <v>77251</v>
      </c>
      <c r="U11" s="19">
        <f t="shared" si="531"/>
        <v>1.6975007674666378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23"/>
        <v>0</v>
      </c>
      <c r="F12" s="13">
        <v>0</v>
      </c>
      <c r="G12" s="13">
        <v>0</v>
      </c>
      <c r="H12" s="13">
        <v>0</v>
      </c>
      <c r="I12" s="16">
        <f t="shared" si="524"/>
        <v>0</v>
      </c>
      <c r="J12" s="17">
        <f t="shared" si="52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28"/>
        <v>0</v>
      </c>
      <c r="S12" s="35">
        <f t="shared" si="529"/>
        <v>0</v>
      </c>
      <c r="T12" s="35">
        <f t="shared" si="530"/>
        <v>0</v>
      </c>
      <c r="U12" s="19" t="e">
        <f t="shared" si="53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23"/>
        <v>0</v>
      </c>
      <c r="F13" s="13">
        <v>3464</v>
      </c>
      <c r="G13" s="13">
        <v>0</v>
      </c>
      <c r="H13" s="13">
        <v>0</v>
      </c>
      <c r="I13" s="16">
        <f t="shared" si="524"/>
        <v>3464</v>
      </c>
      <c r="J13" s="17">
        <f t="shared" si="525"/>
        <v>0</v>
      </c>
      <c r="K13" s="18">
        <f t="shared" si="52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28"/>
        <v>0</v>
      </c>
      <c r="S13" s="35">
        <f t="shared" si="529"/>
        <v>3464</v>
      </c>
      <c r="T13" s="35">
        <f t="shared" si="530"/>
        <v>3464</v>
      </c>
      <c r="U13" s="19" t="e">
        <f t="shared" si="531"/>
        <v>#DIV/0!</v>
      </c>
    </row>
    <row r="14">
      <c r="A14" s="9" t="s">
        <v>42</v>
      </c>
      <c r="B14" s="9" t="s">
        <v>113</v>
      </c>
      <c r="C14" s="14">
        <v>15000</v>
      </c>
      <c r="D14" s="11">
        <v>9.2599999999999998</v>
      </c>
      <c r="E14" s="12">
        <f t="shared" si="523"/>
        <v>138900</v>
      </c>
      <c r="F14" s="13">
        <v>0</v>
      </c>
      <c r="G14" s="13">
        <v>0</v>
      </c>
      <c r="H14" s="13">
        <v>0</v>
      </c>
      <c r="I14" s="16">
        <f t="shared" si="524"/>
        <v>0</v>
      </c>
      <c r="J14" s="17">
        <f t="shared" si="525"/>
        <v>15000</v>
      </c>
      <c r="K14" s="18">
        <f t="shared" si="52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28"/>
        <v>0</v>
      </c>
      <c r="S14" s="35">
        <f t="shared" si="529"/>
        <v>0</v>
      </c>
      <c r="T14" s="35">
        <f t="shared" si="530"/>
        <v>-15000</v>
      </c>
      <c r="U14" s="19">
        <f t="shared" si="531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23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25"/>
        <v>10000</v>
      </c>
      <c r="K15" s="18">
        <f t="shared" si="52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28"/>
        <v>0</v>
      </c>
      <c r="S15" s="35">
        <f t="shared" si="529"/>
        <v>34</v>
      </c>
      <c r="T15" s="35">
        <f t="shared" si="530"/>
        <v>-9966</v>
      </c>
      <c r="U15" s="19">
        <f t="shared" si="531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23"/>
        <v>0</v>
      </c>
      <c r="F16" s="13">
        <v>0</v>
      </c>
      <c r="G16" s="13">
        <v>0</v>
      </c>
      <c r="H16" s="13">
        <v>0</v>
      </c>
      <c r="I16" s="16">
        <f t="shared" si="524"/>
        <v>0</v>
      </c>
      <c r="J16" s="17">
        <f t="shared" si="525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28"/>
        <v>0</v>
      </c>
      <c r="S16" s="35">
        <f t="shared" si="529"/>
        <v>0</v>
      </c>
      <c r="T16" s="35">
        <f t="shared" si="530"/>
        <v>0</v>
      </c>
      <c r="U16" s="19" t="e">
        <f t="shared" si="531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23"/>
        <v>0</v>
      </c>
      <c r="F17" s="13">
        <v>0</v>
      </c>
      <c r="G17" s="13">
        <v>0</v>
      </c>
      <c r="H17" s="13">
        <v>0</v>
      </c>
      <c r="I17" s="16">
        <f t="shared" si="524"/>
        <v>0</v>
      </c>
      <c r="J17" s="17">
        <f t="shared" si="525"/>
        <v>0</v>
      </c>
      <c r="K17" s="18">
        <f t="shared" si="526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28"/>
        <v>0</v>
      </c>
      <c r="S17" s="35">
        <f t="shared" si="529"/>
        <v>0</v>
      </c>
      <c r="T17" s="35">
        <f t="shared" si="530"/>
        <v>0</v>
      </c>
      <c r="U17" s="19" t="e">
        <f t="shared" si="531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23"/>
        <v>0</v>
      </c>
      <c r="F18" s="13">
        <v>0</v>
      </c>
      <c r="G18" s="13">
        <v>0</v>
      </c>
      <c r="H18" s="13">
        <v>0</v>
      </c>
      <c r="I18" s="16">
        <f t="shared" si="524"/>
        <v>0</v>
      </c>
      <c r="J18" s="17">
        <f t="shared" si="525"/>
        <v>0</v>
      </c>
      <c r="K18" s="18">
        <f>+G18*D18</f>
        <v>0</v>
      </c>
      <c r="L18" s="19" t="e">
        <f t="shared" ref="L18:L19" si="532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28"/>
        <v>0</v>
      </c>
      <c r="S18" s="35">
        <f t="shared" si="529"/>
        <v>0</v>
      </c>
      <c r="T18" s="35">
        <f t="shared" si="530"/>
        <v>0</v>
      </c>
      <c r="U18" s="19" t="e">
        <f t="shared" si="531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33">SUM(E3:E18)</f>
        <v>4634402.3095295709</v>
      </c>
      <c r="F19" s="24">
        <f t="shared" si="533"/>
        <v>387561</v>
      </c>
      <c r="G19" s="24">
        <f t="shared" si="533"/>
        <v>1492188</v>
      </c>
      <c r="H19" s="24">
        <f t="shared" si="533"/>
        <v>266095</v>
      </c>
      <c r="I19" s="25">
        <f t="shared" si="533"/>
        <v>653690</v>
      </c>
      <c r="J19" s="26">
        <f t="shared" si="533"/>
        <v>1511862</v>
      </c>
      <c r="K19" s="26">
        <f t="shared" si="533"/>
        <v>2081120.3362150162</v>
      </c>
      <c r="L19" s="27">
        <f t="shared" si="532"/>
        <v>0.44905905815204605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28"/>
        <v>0</v>
      </c>
      <c r="S19" s="35">
        <f t="shared" si="529"/>
        <v>2145878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G21" s="42" t="s">
        <v>64</v>
      </c>
    </row>
    <row r="22" ht="16.5">
      <c r="B22" s="48" t="s">
        <v>64</v>
      </c>
      <c r="C22" s="49" t="s">
        <v>64</v>
      </c>
      <c r="D22" s="28"/>
      <c r="E22" s="45"/>
      <c r="F22" s="42" t="s">
        <v>64</v>
      </c>
      <c r="G22" s="42"/>
      <c r="H22" s="52" t="s">
        <v>64</v>
      </c>
    </row>
    <row r="23" ht="16.5">
      <c r="B23" s="48" t="s">
        <v>64</v>
      </c>
      <c r="C23" s="49" t="s">
        <v>64</v>
      </c>
      <c r="D23" s="28"/>
      <c r="E23" s="45" t="s">
        <v>64</v>
      </c>
      <c r="F23" s="42" t="s">
        <v>64</v>
      </c>
      <c r="G23" s="42"/>
      <c r="H23" s="52" t="s">
        <v>64</v>
      </c>
    </row>
    <row r="24" ht="16.5">
      <c r="B24" s="48" t="s">
        <v>64</v>
      </c>
      <c r="C24" s="49" t="s">
        <v>91</v>
      </c>
      <c r="D24" s="28"/>
      <c r="E24" s="45" t="s">
        <v>64</v>
      </c>
      <c r="F24" s="46"/>
      <c r="G24" s="42" t="s">
        <v>64</v>
      </c>
    </row>
    <row r="25" ht="16.5">
      <c r="B25" s="48" t="s">
        <v>64</v>
      </c>
      <c r="C25" s="49" t="s">
        <v>64</v>
      </c>
      <c r="D25" s="28"/>
      <c r="E25" s="28" t="s">
        <v>64</v>
      </c>
      <c r="G25" t="s">
        <v>64</v>
      </c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5A001A-0099-419E-B784-009B001100B7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3E0071-00D1-4C07-B8B3-00DD00FB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940041-00BB-4A38-BAD0-00860012002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C200F3-0059-450B-AE0B-00C500EB003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530063-0070-4727-9EED-0056008E006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3B00B0-00E3-4311-BE16-00720040006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2200C1-0015-40F1-96C4-00D4003600F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4A00CE-000B-48E0-8A73-00180087000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F0014-00B5-4494-BA70-00520024009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5E0042-0021-4469-9DD1-0071008600F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2C006B-004D-412B-A6FA-008C0016005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900FE-0006-4A8F-BB5D-0038008300D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C00BF-00FF-4306-9D2F-00EA0051002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E22" activeCellId="0" sqref="E22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118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34">C3*D3</f>
        <v>1044055.9231426805</v>
      </c>
      <c r="F3" s="13">
        <v>0</v>
      </c>
      <c r="G3" s="44">
        <v>260040</v>
      </c>
      <c r="H3" s="13">
        <v>74550</v>
      </c>
      <c r="I3" s="16">
        <f t="shared" ref="I3:I18" si="535">F3+H3</f>
        <v>74550</v>
      </c>
      <c r="J3" s="17">
        <f t="shared" ref="J3:J18" si="536">C3-G3</f>
        <v>100928</v>
      </c>
      <c r="K3" s="18">
        <f t="shared" ref="K3:K17" si="537">+G3*D3</f>
        <v>752133.99042026629</v>
      </c>
      <c r="L3" s="19">
        <f t="shared" ref="L3:L11" si="538">K3/E3</f>
        <v>0.72039626781321342</v>
      </c>
      <c r="M3" s="34">
        <v>0</v>
      </c>
      <c r="N3" s="34">
        <v>0</v>
      </c>
      <c r="O3" s="34">
        <v>133000</v>
      </c>
      <c r="P3" s="34">
        <v>133000</v>
      </c>
      <c r="Q3" s="34">
        <v>0</v>
      </c>
      <c r="R3" s="34">
        <f t="shared" ref="R3:R19" si="539">M3+N3+O3+P3+Q3</f>
        <v>266000</v>
      </c>
      <c r="S3" s="35">
        <f t="shared" ref="S3:S19" si="540">G3+I3+R3</f>
        <v>600590</v>
      </c>
      <c r="T3" s="35">
        <f t="shared" ref="T3:T18" si="541">S3-C3</f>
        <v>239622</v>
      </c>
      <c r="U3" s="19">
        <f t="shared" ref="U3:U18" si="542">S3/C3</f>
        <v>1.6638316969925311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34"/>
        <v>826416.08085231704</v>
      </c>
      <c r="F4" s="13">
        <v>49489</v>
      </c>
      <c r="G4" s="13">
        <v>515818</v>
      </c>
      <c r="H4" s="13">
        <v>0</v>
      </c>
      <c r="I4" s="16">
        <f t="shared" si="535"/>
        <v>49489</v>
      </c>
      <c r="J4" s="17">
        <f t="shared" si="536"/>
        <v>118455</v>
      </c>
      <c r="K4" s="18">
        <f t="shared" si="537"/>
        <v>672076.99207294092</v>
      </c>
      <c r="L4" s="19">
        <f t="shared" si="538"/>
        <v>0.81324287806669993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39"/>
        <v>0</v>
      </c>
      <c r="S4" s="35">
        <f t="shared" si="540"/>
        <v>565307</v>
      </c>
      <c r="T4" s="35">
        <f t="shared" si="541"/>
        <v>-68966</v>
      </c>
      <c r="U4" s="19">
        <f t="shared" si="542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34"/>
        <v>0</v>
      </c>
      <c r="F5" s="13">
        <v>0</v>
      </c>
      <c r="G5" s="13">
        <v>0</v>
      </c>
      <c r="H5" s="13">
        <v>0</v>
      </c>
      <c r="I5" s="16">
        <f t="shared" si="535"/>
        <v>0</v>
      </c>
      <c r="J5" s="17">
        <f t="shared" si="536"/>
        <v>0</v>
      </c>
      <c r="K5" s="18">
        <f t="shared" si="537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39"/>
        <v>0</v>
      </c>
      <c r="S5" s="35">
        <f t="shared" si="540"/>
        <v>0</v>
      </c>
      <c r="T5" s="35">
        <f t="shared" si="541"/>
        <v>0</v>
      </c>
      <c r="U5" s="19" t="e">
        <f t="shared" si="542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34"/>
        <v>534559.93227682635</v>
      </c>
      <c r="F6" s="13">
        <v>126923</v>
      </c>
      <c r="G6" s="44">
        <v>234735</v>
      </c>
      <c r="H6" s="44">
        <v>0</v>
      </c>
      <c r="I6" s="16">
        <f t="shared" si="535"/>
        <v>126923</v>
      </c>
      <c r="J6" s="17">
        <f t="shared" si="536"/>
        <v>232935</v>
      </c>
      <c r="K6" s="18">
        <f t="shared" si="537"/>
        <v>268308.69139136747</v>
      </c>
      <c r="L6" s="19">
        <f t="shared" si="538"/>
        <v>0.50192443389569563</v>
      </c>
      <c r="M6" s="34">
        <v>0</v>
      </c>
      <c r="N6" s="34">
        <v>0</v>
      </c>
      <c r="O6" s="34">
        <v>160000</v>
      </c>
      <c r="P6" s="34">
        <v>64000</v>
      </c>
      <c r="Q6" s="34">
        <v>0</v>
      </c>
      <c r="R6" s="34">
        <f t="shared" si="539"/>
        <v>224000</v>
      </c>
      <c r="S6" s="35">
        <f t="shared" si="540"/>
        <v>585658</v>
      </c>
      <c r="T6" s="35">
        <f t="shared" si="541"/>
        <v>117988</v>
      </c>
      <c r="U6" s="19">
        <f t="shared" si="542"/>
        <v>1.2522890072059358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34"/>
        <v>225239.75281577196</v>
      </c>
      <c r="F7" s="13">
        <v>89023</v>
      </c>
      <c r="G7" s="13">
        <v>237600</v>
      </c>
      <c r="H7" s="13">
        <v>117540</v>
      </c>
      <c r="I7" s="16">
        <f t="shared" si="535"/>
        <v>206563</v>
      </c>
      <c r="J7" s="17">
        <f t="shared" si="536"/>
        <v>117540</v>
      </c>
      <c r="K7" s="18">
        <f t="shared" si="537"/>
        <v>150692.58677993866</v>
      </c>
      <c r="L7" s="19">
        <f t="shared" si="538"/>
        <v>0.66903193106943737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39"/>
        <v>0</v>
      </c>
      <c r="S7" s="35">
        <f t="shared" si="540"/>
        <v>444163</v>
      </c>
      <c r="T7" s="35">
        <f t="shared" si="541"/>
        <v>89023</v>
      </c>
      <c r="U7" s="19">
        <f t="shared" si="542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34"/>
        <v>352983.79200370744</v>
      </c>
      <c r="F8" s="44">
        <v>0</v>
      </c>
      <c r="G8" s="13">
        <v>395203</v>
      </c>
      <c r="H8" s="44">
        <v>0</v>
      </c>
      <c r="I8" s="16">
        <f t="shared" si="535"/>
        <v>0</v>
      </c>
      <c r="J8" s="17">
        <f t="shared" si="536"/>
        <v>-158</v>
      </c>
      <c r="K8" s="18">
        <f t="shared" si="537"/>
        <v>353124.96943700389</v>
      </c>
      <c r="L8" s="19">
        <f t="shared" si="538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39"/>
        <v>0</v>
      </c>
      <c r="S8" s="35">
        <f t="shared" si="540"/>
        <v>395203</v>
      </c>
      <c r="T8" s="35">
        <f t="shared" si="541"/>
        <v>158</v>
      </c>
      <c r="U8" s="19">
        <f t="shared" si="542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34"/>
        <v>165804.5147316771</v>
      </c>
      <c r="F9" s="13">
        <v>0</v>
      </c>
      <c r="G9" s="13">
        <v>0</v>
      </c>
      <c r="H9" s="13">
        <v>0</v>
      </c>
      <c r="I9" s="16">
        <f t="shared" si="535"/>
        <v>0</v>
      </c>
      <c r="J9" s="17">
        <f t="shared" si="536"/>
        <v>155200</v>
      </c>
      <c r="K9" s="18">
        <f t="shared" si="537"/>
        <v>0</v>
      </c>
      <c r="L9" s="19">
        <f t="shared" si="538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39"/>
        <v>160000</v>
      </c>
      <c r="S9" s="35">
        <f t="shared" si="540"/>
        <v>160000</v>
      </c>
      <c r="T9" s="35">
        <f t="shared" si="541"/>
        <v>4800</v>
      </c>
      <c r="U9" s="19">
        <f t="shared" si="542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34"/>
        <v>1084839.0294190629</v>
      </c>
      <c r="F10" s="13">
        <v>193976</v>
      </c>
      <c r="G10" s="13">
        <v>94373</v>
      </c>
      <c r="H10" s="13">
        <v>0</v>
      </c>
      <c r="I10" s="16">
        <f t="shared" si="535"/>
        <v>193976</v>
      </c>
      <c r="J10" s="17">
        <f t="shared" si="536"/>
        <v>405627</v>
      </c>
      <c r="K10" s="18">
        <f t="shared" si="537"/>
        <v>204759.02744673044</v>
      </c>
      <c r="L10" s="19">
        <f t="shared" si="538"/>
        <v>0.188746</v>
      </c>
      <c r="M10" s="34">
        <v>0</v>
      </c>
      <c r="N10" s="34">
        <v>0</v>
      </c>
      <c r="O10" s="34">
        <v>240000</v>
      </c>
      <c r="P10" s="34">
        <v>80000</v>
      </c>
      <c r="Q10" s="34">
        <v>0</v>
      </c>
      <c r="R10" s="34">
        <f t="shared" si="539"/>
        <v>320000</v>
      </c>
      <c r="S10" s="35">
        <f t="shared" si="540"/>
        <v>608349</v>
      </c>
      <c r="T10" s="35">
        <f t="shared" si="541"/>
        <v>108349</v>
      </c>
      <c r="U10" s="19">
        <f t="shared" si="542"/>
        <v>1.2166980000000001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34"/>
        <v>172214.50222855783</v>
      </c>
      <c r="F11" s="13">
        <v>0</v>
      </c>
      <c r="G11" s="13">
        <v>74005</v>
      </c>
      <c r="H11" s="13">
        <v>0</v>
      </c>
      <c r="I11" s="16">
        <f t="shared" si="535"/>
        <v>0</v>
      </c>
      <c r="J11" s="17">
        <f t="shared" si="536"/>
        <v>36749</v>
      </c>
      <c r="K11" s="18">
        <f t="shared" si="537"/>
        <v>115072.45099431553</v>
      </c>
      <c r="L11" s="19">
        <f t="shared" si="538"/>
        <v>0.66819257092294637</v>
      </c>
      <c r="M11" s="34">
        <v>0</v>
      </c>
      <c r="N11" s="34">
        <v>0</v>
      </c>
      <c r="O11" s="34">
        <v>0</v>
      </c>
      <c r="P11" s="34">
        <v>38000</v>
      </c>
      <c r="Q11" s="34">
        <v>0</v>
      </c>
      <c r="R11" s="34">
        <f t="shared" si="539"/>
        <v>38000</v>
      </c>
      <c r="S11" s="35">
        <f t="shared" si="540"/>
        <v>112005</v>
      </c>
      <c r="T11" s="35">
        <f t="shared" si="541"/>
        <v>1251</v>
      </c>
      <c r="U11" s="19">
        <f t="shared" si="542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34"/>
        <v>0</v>
      </c>
      <c r="F12" s="13">
        <v>0</v>
      </c>
      <c r="G12" s="13">
        <v>0</v>
      </c>
      <c r="H12" s="13">
        <v>0</v>
      </c>
      <c r="I12" s="16">
        <f t="shared" si="535"/>
        <v>0</v>
      </c>
      <c r="J12" s="17">
        <f t="shared" si="536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39"/>
        <v>0</v>
      </c>
      <c r="S12" s="35">
        <f t="shared" si="540"/>
        <v>0</v>
      </c>
      <c r="T12" s="35">
        <f t="shared" si="541"/>
        <v>0</v>
      </c>
      <c r="U12" s="19" t="e">
        <f t="shared" si="542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34"/>
        <v>0</v>
      </c>
      <c r="F13" s="13">
        <v>3464</v>
      </c>
      <c r="G13" s="13">
        <v>0</v>
      </c>
      <c r="H13" s="13">
        <v>0</v>
      </c>
      <c r="I13" s="16">
        <f t="shared" si="535"/>
        <v>3464</v>
      </c>
      <c r="J13" s="17">
        <f t="shared" si="536"/>
        <v>0</v>
      </c>
      <c r="K13" s="18">
        <f t="shared" si="53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39"/>
        <v>0</v>
      </c>
      <c r="S13" s="35">
        <f t="shared" si="540"/>
        <v>3464</v>
      </c>
      <c r="T13" s="35">
        <f t="shared" si="541"/>
        <v>3464</v>
      </c>
      <c r="U13" s="19" t="e">
        <f t="shared" si="542"/>
        <v>#DIV/0!</v>
      </c>
    </row>
    <row r="14">
      <c r="A14" s="9" t="s">
        <v>42</v>
      </c>
      <c r="B14" s="9" t="s">
        <v>113</v>
      </c>
      <c r="C14" s="14">
        <v>15000</v>
      </c>
      <c r="D14" s="11">
        <v>9.2599999999999998</v>
      </c>
      <c r="E14" s="12">
        <f t="shared" si="534"/>
        <v>138900</v>
      </c>
      <c r="F14" s="13">
        <v>0</v>
      </c>
      <c r="G14" s="13">
        <v>0</v>
      </c>
      <c r="H14" s="13">
        <v>0</v>
      </c>
      <c r="I14" s="16">
        <f t="shared" si="535"/>
        <v>0</v>
      </c>
      <c r="J14" s="17">
        <f t="shared" si="536"/>
        <v>15000</v>
      </c>
      <c r="K14" s="18">
        <f t="shared" si="53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39"/>
        <v>0</v>
      </c>
      <c r="S14" s="35">
        <f t="shared" si="540"/>
        <v>0</v>
      </c>
      <c r="T14" s="35">
        <f t="shared" si="541"/>
        <v>-15000</v>
      </c>
      <c r="U14" s="19">
        <f t="shared" si="542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34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36"/>
        <v>10000</v>
      </c>
      <c r="K15" s="18">
        <f t="shared" si="53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39"/>
        <v>0</v>
      </c>
      <c r="S15" s="35">
        <f t="shared" si="540"/>
        <v>34</v>
      </c>
      <c r="T15" s="35">
        <f t="shared" si="541"/>
        <v>-9966</v>
      </c>
      <c r="U15" s="19">
        <f t="shared" si="542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34"/>
        <v>0</v>
      </c>
      <c r="F16" s="13">
        <v>0</v>
      </c>
      <c r="G16" s="13">
        <v>0</v>
      </c>
      <c r="H16" s="13">
        <v>0</v>
      </c>
      <c r="I16" s="16">
        <f t="shared" si="535"/>
        <v>0</v>
      </c>
      <c r="J16" s="17">
        <f t="shared" si="536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39"/>
        <v>0</v>
      </c>
      <c r="S16" s="35">
        <f t="shared" si="540"/>
        <v>0</v>
      </c>
      <c r="T16" s="35">
        <f t="shared" si="541"/>
        <v>0</v>
      </c>
      <c r="U16" s="19" t="e">
        <f t="shared" si="542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34"/>
        <v>0</v>
      </c>
      <c r="F17" s="13">
        <v>0</v>
      </c>
      <c r="G17" s="13">
        <v>0</v>
      </c>
      <c r="H17" s="13">
        <v>0</v>
      </c>
      <c r="I17" s="16">
        <f t="shared" si="535"/>
        <v>0</v>
      </c>
      <c r="J17" s="17">
        <f t="shared" si="536"/>
        <v>0</v>
      </c>
      <c r="K17" s="18">
        <f t="shared" si="537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39"/>
        <v>0</v>
      </c>
      <c r="S17" s="35">
        <f t="shared" si="540"/>
        <v>0</v>
      </c>
      <c r="T17" s="35">
        <f t="shared" si="541"/>
        <v>0</v>
      </c>
      <c r="U17" s="19" t="e">
        <f t="shared" si="542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34"/>
        <v>0</v>
      </c>
      <c r="F18" s="13">
        <v>0</v>
      </c>
      <c r="G18" s="13">
        <v>0</v>
      </c>
      <c r="H18" s="13">
        <v>0</v>
      </c>
      <c r="I18" s="16">
        <f t="shared" si="535"/>
        <v>0</v>
      </c>
      <c r="J18" s="17">
        <f t="shared" si="536"/>
        <v>0</v>
      </c>
      <c r="K18" s="18">
        <f>+G18*D18</f>
        <v>0</v>
      </c>
      <c r="L18" s="19" t="e">
        <f t="shared" ref="L18:L19" si="543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39"/>
        <v>0</v>
      </c>
      <c r="S18" s="35">
        <f t="shared" si="540"/>
        <v>0</v>
      </c>
      <c r="T18" s="35">
        <f t="shared" si="541"/>
        <v>0</v>
      </c>
      <c r="U18" s="19" t="e">
        <f t="shared" si="542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44">SUM(E3:E18)</f>
        <v>4634402.3095295709</v>
      </c>
      <c r="F19" s="24">
        <f t="shared" si="544"/>
        <v>462875</v>
      </c>
      <c r="G19" s="24">
        <f t="shared" si="544"/>
        <v>1811774</v>
      </c>
      <c r="H19" s="24">
        <f t="shared" si="544"/>
        <v>192090</v>
      </c>
      <c r="I19" s="25">
        <f t="shared" si="544"/>
        <v>654999</v>
      </c>
      <c r="J19" s="26">
        <f t="shared" si="544"/>
        <v>1192276</v>
      </c>
      <c r="K19" s="26">
        <f t="shared" si="544"/>
        <v>2516168.7085425635</v>
      </c>
      <c r="L19" s="27">
        <f t="shared" si="543"/>
        <v>0.54293273231127293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39"/>
        <v>0</v>
      </c>
      <c r="S19" s="35">
        <f t="shared" si="540"/>
        <v>2466773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/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/>
      <c r="E23" s="42"/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/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A9004D-0045-4F52-B59D-000300300085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FB00B3-005E-4927-BF5D-00F200D9005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1D0099-00AE-41F2-88DE-00B000EB00E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080002-009B-4783-98A1-00DC008400F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A600C7-0045-4D4A-8857-00F7000500C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F90041-00E1-4118-9707-002E00BA001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9F00DC-0003-409F-9A41-006A00F100C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200013-00A7-4954-B27F-00A500B8008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E009D-0005-434F-8EFB-003E000A00A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7900D1-00F4-48AC-A0AC-00B300CB00B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C60024-0014-423E-B44B-0038003B00E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1C0041-00E3-4670-B0E1-00D000C900C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4400AB-00AF-4984-AB67-0012007F00E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10" activeCellId="0" sqref="F10:G10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119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45">C3*D3</f>
        <v>1044055.9231426805</v>
      </c>
      <c r="F3" s="13">
        <v>0</v>
      </c>
      <c r="G3" s="44">
        <v>260040</v>
      </c>
      <c r="H3" s="13">
        <v>74550</v>
      </c>
      <c r="I3" s="16">
        <f t="shared" ref="I3:I18" si="546">F3+H3</f>
        <v>74550</v>
      </c>
      <c r="J3" s="17">
        <f t="shared" ref="J3:J18" si="547">C3-G3</f>
        <v>100928</v>
      </c>
      <c r="K3" s="18">
        <f t="shared" ref="K3:K17" si="548">+G3*D3</f>
        <v>752133.99042026629</v>
      </c>
      <c r="L3" s="19">
        <f t="shared" ref="L3:L11" si="549">K3/E3</f>
        <v>0.72039626781321342</v>
      </c>
      <c r="M3" s="34">
        <v>0</v>
      </c>
      <c r="N3" s="34">
        <v>0</v>
      </c>
      <c r="O3" s="34">
        <v>133000</v>
      </c>
      <c r="P3" s="34">
        <v>133000</v>
      </c>
      <c r="Q3" s="34">
        <v>0</v>
      </c>
      <c r="R3" s="34">
        <f t="shared" ref="R3:R19" si="550">M3+N3+O3+P3+Q3</f>
        <v>266000</v>
      </c>
      <c r="S3" s="35">
        <f t="shared" ref="S3:S19" si="551">G3+I3+R3</f>
        <v>600590</v>
      </c>
      <c r="T3" s="35">
        <f t="shared" ref="T3:T18" si="552">S3-C3</f>
        <v>239622</v>
      </c>
      <c r="U3" s="19">
        <f t="shared" ref="U3:U18" si="553">S3/C3</f>
        <v>1.6638316969925311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45"/>
        <v>826416.08085231704</v>
      </c>
      <c r="F4" s="13">
        <v>49489</v>
      </c>
      <c r="G4" s="13">
        <v>515818</v>
      </c>
      <c r="H4" s="13">
        <v>0</v>
      </c>
      <c r="I4" s="16">
        <f t="shared" si="546"/>
        <v>49489</v>
      </c>
      <c r="J4" s="17">
        <f t="shared" si="547"/>
        <v>118455</v>
      </c>
      <c r="K4" s="18">
        <f t="shared" si="548"/>
        <v>672076.99207294092</v>
      </c>
      <c r="L4" s="19">
        <f t="shared" si="549"/>
        <v>0.81324287806669993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50"/>
        <v>0</v>
      </c>
      <c r="S4" s="35">
        <f t="shared" si="551"/>
        <v>565307</v>
      </c>
      <c r="T4" s="35">
        <f t="shared" si="552"/>
        <v>-68966</v>
      </c>
      <c r="U4" s="19">
        <f t="shared" si="553"/>
        <v>0.89126764027477123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45"/>
        <v>0</v>
      </c>
      <c r="F5" s="13">
        <v>0</v>
      </c>
      <c r="G5" s="13">
        <v>0</v>
      </c>
      <c r="H5" s="13">
        <v>0</v>
      </c>
      <c r="I5" s="16">
        <f t="shared" si="546"/>
        <v>0</v>
      </c>
      <c r="J5" s="17">
        <f t="shared" si="547"/>
        <v>0</v>
      </c>
      <c r="K5" s="18">
        <f t="shared" si="548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50"/>
        <v>0</v>
      </c>
      <c r="S5" s="35">
        <f t="shared" si="551"/>
        <v>0</v>
      </c>
      <c r="T5" s="35">
        <f t="shared" si="552"/>
        <v>0</v>
      </c>
      <c r="U5" s="19" t="e">
        <f t="shared" si="553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45"/>
        <v>534559.93227682635</v>
      </c>
      <c r="F6" s="13">
        <v>126923</v>
      </c>
      <c r="G6" s="44">
        <v>234735</v>
      </c>
      <c r="H6" s="44">
        <v>0</v>
      </c>
      <c r="I6" s="16">
        <f t="shared" si="546"/>
        <v>126923</v>
      </c>
      <c r="J6" s="17">
        <f t="shared" si="547"/>
        <v>232935</v>
      </c>
      <c r="K6" s="18">
        <f t="shared" si="548"/>
        <v>268308.69139136747</v>
      </c>
      <c r="L6" s="19">
        <f t="shared" si="549"/>
        <v>0.50192443389569563</v>
      </c>
      <c r="M6" s="34">
        <v>0</v>
      </c>
      <c r="N6" s="34">
        <v>0</v>
      </c>
      <c r="O6" s="34">
        <v>160000</v>
      </c>
      <c r="P6" s="34">
        <v>64000</v>
      </c>
      <c r="Q6" s="34">
        <v>0</v>
      </c>
      <c r="R6" s="34">
        <f t="shared" si="550"/>
        <v>224000</v>
      </c>
      <c r="S6" s="35">
        <f t="shared" si="551"/>
        <v>585658</v>
      </c>
      <c r="T6" s="35">
        <f t="shared" si="552"/>
        <v>117988</v>
      </c>
      <c r="U6" s="19">
        <f t="shared" si="553"/>
        <v>1.2522890072059358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45"/>
        <v>225239.75281577196</v>
      </c>
      <c r="F7" s="13">
        <v>89023</v>
      </c>
      <c r="G7" s="13">
        <v>237600</v>
      </c>
      <c r="H7" s="13">
        <v>117540</v>
      </c>
      <c r="I7" s="16">
        <f t="shared" si="546"/>
        <v>206563</v>
      </c>
      <c r="J7" s="17">
        <f t="shared" si="547"/>
        <v>117540</v>
      </c>
      <c r="K7" s="18">
        <f t="shared" si="548"/>
        <v>150692.58677993866</v>
      </c>
      <c r="L7" s="19">
        <f t="shared" si="549"/>
        <v>0.66903193106943737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50"/>
        <v>0</v>
      </c>
      <c r="S7" s="35">
        <f t="shared" si="551"/>
        <v>444163</v>
      </c>
      <c r="T7" s="35">
        <f t="shared" si="552"/>
        <v>89023</v>
      </c>
      <c r="U7" s="19">
        <f t="shared" si="553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45"/>
        <v>352983.79200370744</v>
      </c>
      <c r="F8" s="44">
        <v>0</v>
      </c>
      <c r="G8" s="13">
        <v>395203</v>
      </c>
      <c r="H8" s="44">
        <v>0</v>
      </c>
      <c r="I8" s="16">
        <f t="shared" si="546"/>
        <v>0</v>
      </c>
      <c r="J8" s="17">
        <f t="shared" si="547"/>
        <v>-158</v>
      </c>
      <c r="K8" s="18">
        <f t="shared" si="548"/>
        <v>353124.96943700389</v>
      </c>
      <c r="L8" s="19">
        <f t="shared" si="549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50"/>
        <v>0</v>
      </c>
      <c r="S8" s="35">
        <f t="shared" si="551"/>
        <v>395203</v>
      </c>
      <c r="T8" s="35">
        <f t="shared" si="552"/>
        <v>158</v>
      </c>
      <c r="U8" s="19">
        <f t="shared" si="553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45"/>
        <v>165804.5147316771</v>
      </c>
      <c r="F9" s="13">
        <v>0</v>
      </c>
      <c r="G9" s="13">
        <v>0</v>
      </c>
      <c r="H9" s="13">
        <v>0</v>
      </c>
      <c r="I9" s="16">
        <f t="shared" si="546"/>
        <v>0</v>
      </c>
      <c r="J9" s="17">
        <f t="shared" si="547"/>
        <v>155200</v>
      </c>
      <c r="K9" s="18">
        <f t="shared" si="548"/>
        <v>0</v>
      </c>
      <c r="L9" s="19">
        <f t="shared" si="549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50"/>
        <v>160000</v>
      </c>
      <c r="S9" s="35">
        <f t="shared" si="551"/>
        <v>160000</v>
      </c>
      <c r="T9" s="35">
        <f t="shared" si="552"/>
        <v>4800</v>
      </c>
      <c r="U9" s="19">
        <f t="shared" si="553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45"/>
        <v>1084839.0294190629</v>
      </c>
      <c r="F10" s="13">
        <v>193976</v>
      </c>
      <c r="G10" s="13">
        <v>94373</v>
      </c>
      <c r="H10" s="13">
        <v>0</v>
      </c>
      <c r="I10" s="16">
        <f t="shared" si="546"/>
        <v>193976</v>
      </c>
      <c r="J10" s="17">
        <f t="shared" si="547"/>
        <v>405627</v>
      </c>
      <c r="K10" s="18">
        <f t="shared" si="548"/>
        <v>204759.02744673044</v>
      </c>
      <c r="L10" s="19">
        <f t="shared" si="549"/>
        <v>0.188746</v>
      </c>
      <c r="M10" s="34">
        <v>0</v>
      </c>
      <c r="N10" s="34">
        <v>0</v>
      </c>
      <c r="O10" s="34">
        <v>240000</v>
      </c>
      <c r="P10" s="34">
        <v>80000</v>
      </c>
      <c r="Q10" s="34">
        <v>0</v>
      </c>
      <c r="R10" s="34">
        <f t="shared" si="550"/>
        <v>320000</v>
      </c>
      <c r="S10" s="35">
        <f t="shared" si="551"/>
        <v>608349</v>
      </c>
      <c r="T10" s="35">
        <f t="shared" si="552"/>
        <v>108349</v>
      </c>
      <c r="U10" s="19">
        <f t="shared" si="553"/>
        <v>1.2166980000000001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45"/>
        <v>172214.50222855783</v>
      </c>
      <c r="F11" s="13">
        <v>0</v>
      </c>
      <c r="G11" s="13">
        <v>74005</v>
      </c>
      <c r="H11" s="13">
        <v>0</v>
      </c>
      <c r="I11" s="16">
        <f t="shared" si="546"/>
        <v>0</v>
      </c>
      <c r="J11" s="17">
        <f t="shared" si="547"/>
        <v>36749</v>
      </c>
      <c r="K11" s="18">
        <f t="shared" si="548"/>
        <v>115072.45099431553</v>
      </c>
      <c r="L11" s="19">
        <f t="shared" si="549"/>
        <v>0.66819257092294637</v>
      </c>
      <c r="M11" s="34">
        <v>0</v>
      </c>
      <c r="N11" s="34">
        <v>0</v>
      </c>
      <c r="O11" s="34">
        <v>0</v>
      </c>
      <c r="P11" s="34">
        <v>38000</v>
      </c>
      <c r="Q11" s="34">
        <v>0</v>
      </c>
      <c r="R11" s="34">
        <f t="shared" si="550"/>
        <v>38000</v>
      </c>
      <c r="S11" s="35">
        <f t="shared" si="551"/>
        <v>112005</v>
      </c>
      <c r="T11" s="35">
        <f t="shared" si="552"/>
        <v>1251</v>
      </c>
      <c r="U11" s="19">
        <f t="shared" si="553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45"/>
        <v>0</v>
      </c>
      <c r="F12" s="13">
        <v>0</v>
      </c>
      <c r="G12" s="13">
        <v>0</v>
      </c>
      <c r="H12" s="13">
        <v>0</v>
      </c>
      <c r="I12" s="16">
        <f t="shared" si="546"/>
        <v>0</v>
      </c>
      <c r="J12" s="17">
        <f t="shared" si="54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50"/>
        <v>0</v>
      </c>
      <c r="S12" s="35">
        <f t="shared" si="551"/>
        <v>0</v>
      </c>
      <c r="T12" s="35">
        <f t="shared" si="552"/>
        <v>0</v>
      </c>
      <c r="U12" s="19" t="e">
        <f t="shared" si="55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45"/>
        <v>0</v>
      </c>
      <c r="F13" s="13">
        <v>3464</v>
      </c>
      <c r="G13" s="13">
        <v>0</v>
      </c>
      <c r="H13" s="13">
        <v>0</v>
      </c>
      <c r="I13" s="16">
        <f t="shared" si="546"/>
        <v>3464</v>
      </c>
      <c r="J13" s="17">
        <f t="shared" si="547"/>
        <v>0</v>
      </c>
      <c r="K13" s="18">
        <f t="shared" si="54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50"/>
        <v>0</v>
      </c>
      <c r="S13" s="35">
        <f t="shared" si="551"/>
        <v>3464</v>
      </c>
      <c r="T13" s="35">
        <f t="shared" si="552"/>
        <v>3464</v>
      </c>
      <c r="U13" s="19" t="e">
        <f t="shared" si="553"/>
        <v>#DIV/0!</v>
      </c>
    </row>
    <row r="14">
      <c r="A14" s="54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545"/>
        <v>138900</v>
      </c>
      <c r="F14" s="13">
        <v>0</v>
      </c>
      <c r="G14" s="13">
        <v>0</v>
      </c>
      <c r="H14" s="13">
        <v>0</v>
      </c>
      <c r="I14" s="16">
        <f t="shared" si="546"/>
        <v>0</v>
      </c>
      <c r="J14" s="17">
        <f t="shared" si="547"/>
        <v>15000</v>
      </c>
      <c r="K14" s="18">
        <f t="shared" si="54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50"/>
        <v>0</v>
      </c>
      <c r="S14" s="35">
        <f t="shared" si="551"/>
        <v>0</v>
      </c>
      <c r="T14" s="35">
        <f t="shared" si="552"/>
        <v>-15000</v>
      </c>
      <c r="U14" s="19">
        <f t="shared" si="553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45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47"/>
        <v>10000</v>
      </c>
      <c r="K15" s="18">
        <f t="shared" si="54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50"/>
        <v>0</v>
      </c>
      <c r="S15" s="35">
        <f t="shared" si="551"/>
        <v>34</v>
      </c>
      <c r="T15" s="35">
        <f t="shared" si="552"/>
        <v>-9966</v>
      </c>
      <c r="U15" s="19">
        <f t="shared" si="553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45"/>
        <v>0</v>
      </c>
      <c r="F16" s="13">
        <v>0</v>
      </c>
      <c r="G16" s="13">
        <v>0</v>
      </c>
      <c r="H16" s="13">
        <v>0</v>
      </c>
      <c r="I16" s="16">
        <f t="shared" si="546"/>
        <v>0</v>
      </c>
      <c r="J16" s="17">
        <f t="shared" si="547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50"/>
        <v>0</v>
      </c>
      <c r="S16" s="35">
        <f t="shared" si="551"/>
        <v>0</v>
      </c>
      <c r="T16" s="35">
        <f t="shared" si="552"/>
        <v>0</v>
      </c>
      <c r="U16" s="19" t="e">
        <f t="shared" si="553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45"/>
        <v>0</v>
      </c>
      <c r="F17" s="13">
        <v>0</v>
      </c>
      <c r="G17" s="13">
        <v>0</v>
      </c>
      <c r="H17" s="13">
        <v>0</v>
      </c>
      <c r="I17" s="16">
        <f t="shared" si="546"/>
        <v>0</v>
      </c>
      <c r="J17" s="17">
        <f t="shared" si="547"/>
        <v>0</v>
      </c>
      <c r="K17" s="18">
        <f t="shared" si="548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50"/>
        <v>0</v>
      </c>
      <c r="S17" s="35">
        <f t="shared" si="551"/>
        <v>0</v>
      </c>
      <c r="T17" s="35">
        <f t="shared" si="552"/>
        <v>0</v>
      </c>
      <c r="U17" s="19" t="e">
        <f t="shared" si="553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45"/>
        <v>0</v>
      </c>
      <c r="F18" s="13">
        <v>0</v>
      </c>
      <c r="G18" s="13">
        <v>0</v>
      </c>
      <c r="H18" s="13">
        <v>0</v>
      </c>
      <c r="I18" s="16">
        <f t="shared" si="546"/>
        <v>0</v>
      </c>
      <c r="J18" s="17">
        <f t="shared" si="547"/>
        <v>0</v>
      </c>
      <c r="K18" s="18">
        <f>+G18*D18</f>
        <v>0</v>
      </c>
      <c r="L18" s="19" t="e">
        <f t="shared" ref="L18:L19" si="554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50"/>
        <v>0</v>
      </c>
      <c r="S18" s="35">
        <f t="shared" si="551"/>
        <v>0</v>
      </c>
      <c r="T18" s="35">
        <f t="shared" si="552"/>
        <v>0</v>
      </c>
      <c r="U18" s="19" t="e">
        <f t="shared" si="553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55">SUM(E3:E18)</f>
        <v>4634402.3095295709</v>
      </c>
      <c r="F19" s="24">
        <f t="shared" si="555"/>
        <v>462875</v>
      </c>
      <c r="G19" s="24">
        <f t="shared" si="555"/>
        <v>1811774</v>
      </c>
      <c r="H19" s="24">
        <f t="shared" si="555"/>
        <v>192090</v>
      </c>
      <c r="I19" s="25">
        <f t="shared" si="555"/>
        <v>654999</v>
      </c>
      <c r="J19" s="26">
        <f t="shared" si="555"/>
        <v>1192276</v>
      </c>
      <c r="K19" s="26">
        <f t="shared" si="555"/>
        <v>2516168.7085425635</v>
      </c>
      <c r="L19" s="27">
        <f t="shared" si="554"/>
        <v>0.54293273231127293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50"/>
        <v>0</v>
      </c>
      <c r="S19" s="35">
        <f t="shared" si="551"/>
        <v>2466773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3900A0-00EC-4E53-AE1A-001B005F007A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BA002C-00E2-46ED-98DE-00BE00D9002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CE0037-001C-45E0-803D-00DB00FC00A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730064-00B7-49F9-A12C-000B0049009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9300A2-003B-4D6C-A68B-009A007F001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ED00BC-0025-4542-90AE-00F90060001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4F00D0-003F-4EB4-BD63-00080097002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A800F5-00D3-4392-A62E-006F00DB008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DF0052-00B4-40CB-9FC0-00120090005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930045-009C-4971-A1E5-00E0004C001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160037-0065-428D-A0EF-0095004D003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CD007C-008D-427A-B206-009800A7004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5700C7-00DF-4942-A9EB-008C008E001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23" activeCellId="0" sqref="G23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120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56">C3*D3</f>
        <v>1044055.9231426805</v>
      </c>
      <c r="F3" s="13">
        <v>37489</v>
      </c>
      <c r="G3" s="44">
        <v>334590</v>
      </c>
      <c r="H3" s="13">
        <v>0</v>
      </c>
      <c r="I3" s="16">
        <f t="shared" ref="I3:I18" si="557">F3+H3</f>
        <v>37489</v>
      </c>
      <c r="J3" s="17">
        <f t="shared" ref="J3:J18" si="558">C3-G3</f>
        <v>26378</v>
      </c>
      <c r="K3" s="18">
        <f t="shared" ref="K3:K17" si="559">+G3*D3</f>
        <v>967760.77470664855</v>
      </c>
      <c r="L3" s="19">
        <f t="shared" ref="L3:L11" si="560">K3/E3</f>
        <v>0.9269242702954279</v>
      </c>
      <c r="M3" s="34">
        <v>0</v>
      </c>
      <c r="N3" s="34">
        <v>0</v>
      </c>
      <c r="O3" s="34">
        <v>133000</v>
      </c>
      <c r="P3" s="34">
        <v>133000</v>
      </c>
      <c r="Q3" s="34">
        <v>0</v>
      </c>
      <c r="R3" s="34">
        <f t="shared" ref="R3:R19" si="561">M3+N3+O3+P3+Q3</f>
        <v>266000</v>
      </c>
      <c r="S3" s="35">
        <f t="shared" ref="S3:S19" si="562">G3+I3+R3</f>
        <v>638079</v>
      </c>
      <c r="T3" s="35">
        <f t="shared" ref="T3:T18" si="563">S3-C3</f>
        <v>277111</v>
      </c>
      <c r="U3" s="19">
        <f t="shared" ref="U3:U18" si="564">S3/C3</f>
        <v>1.7676885485694023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56"/>
        <v>826416.08085231704</v>
      </c>
      <c r="F4" s="13">
        <v>0</v>
      </c>
      <c r="G4" s="13">
        <v>565267</v>
      </c>
      <c r="H4" s="13">
        <v>0</v>
      </c>
      <c r="I4" s="16">
        <f t="shared" si="557"/>
        <v>0</v>
      </c>
      <c r="J4" s="17">
        <f t="shared" si="558"/>
        <v>69006</v>
      </c>
      <c r="K4" s="18">
        <f t="shared" si="559"/>
        <v>736505.79289225093</v>
      </c>
      <c r="L4" s="19">
        <f t="shared" si="560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61"/>
        <v>0</v>
      </c>
      <c r="S4" s="35">
        <f t="shared" si="562"/>
        <v>565267</v>
      </c>
      <c r="T4" s="35">
        <f t="shared" si="563"/>
        <v>-69006</v>
      </c>
      <c r="U4" s="19">
        <f t="shared" si="564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56"/>
        <v>0</v>
      </c>
      <c r="F5" s="13">
        <v>0</v>
      </c>
      <c r="G5" s="13">
        <v>0</v>
      </c>
      <c r="H5" s="13">
        <v>0</v>
      </c>
      <c r="I5" s="16">
        <f t="shared" si="557"/>
        <v>0</v>
      </c>
      <c r="J5" s="17">
        <f t="shared" si="558"/>
        <v>0</v>
      </c>
      <c r="K5" s="18">
        <f t="shared" si="559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61"/>
        <v>0</v>
      </c>
      <c r="S5" s="35">
        <f t="shared" si="562"/>
        <v>0</v>
      </c>
      <c r="T5" s="35">
        <f t="shared" si="563"/>
        <v>0</v>
      </c>
      <c r="U5" s="19" t="e">
        <f t="shared" si="564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56"/>
        <v>534559.93227682635</v>
      </c>
      <c r="F6" s="13">
        <v>126923</v>
      </c>
      <c r="G6" s="44">
        <v>234735</v>
      </c>
      <c r="H6" s="44">
        <v>0</v>
      </c>
      <c r="I6" s="16">
        <f t="shared" si="557"/>
        <v>126923</v>
      </c>
      <c r="J6" s="17">
        <f t="shared" si="558"/>
        <v>232935</v>
      </c>
      <c r="K6" s="18">
        <f t="shared" si="559"/>
        <v>268308.69139136747</v>
      </c>
      <c r="L6" s="19">
        <f t="shared" si="560"/>
        <v>0.50192443389569563</v>
      </c>
      <c r="M6" s="34">
        <v>0</v>
      </c>
      <c r="N6" s="34">
        <v>0</v>
      </c>
      <c r="O6" s="34">
        <v>160000</v>
      </c>
      <c r="P6" s="34">
        <v>64000</v>
      </c>
      <c r="Q6" s="34">
        <v>0</v>
      </c>
      <c r="R6" s="34">
        <f t="shared" si="561"/>
        <v>224000</v>
      </c>
      <c r="S6" s="35">
        <f t="shared" si="562"/>
        <v>585658</v>
      </c>
      <c r="T6" s="35">
        <f t="shared" si="563"/>
        <v>117988</v>
      </c>
      <c r="U6" s="19">
        <f t="shared" si="564"/>
        <v>1.2522890072059358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56"/>
        <v>225239.75281577196</v>
      </c>
      <c r="F7" s="13">
        <v>89023</v>
      </c>
      <c r="G7" s="13">
        <v>355140</v>
      </c>
      <c r="H7" s="13">
        <v>0</v>
      </c>
      <c r="I7" s="16">
        <f t="shared" si="557"/>
        <v>89023</v>
      </c>
      <c r="J7" s="17">
        <f t="shared" si="558"/>
        <v>0</v>
      </c>
      <c r="K7" s="18">
        <f t="shared" si="559"/>
        <v>225239.75281577196</v>
      </c>
      <c r="L7" s="19">
        <f t="shared" si="560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61"/>
        <v>0</v>
      </c>
      <c r="S7" s="35">
        <f t="shared" si="562"/>
        <v>444163</v>
      </c>
      <c r="T7" s="35">
        <f t="shared" si="563"/>
        <v>89023</v>
      </c>
      <c r="U7" s="19">
        <f t="shared" si="564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56"/>
        <v>352983.79200370744</v>
      </c>
      <c r="F8" s="44">
        <v>0</v>
      </c>
      <c r="G8" s="13">
        <v>395203</v>
      </c>
      <c r="H8" s="44">
        <v>0</v>
      </c>
      <c r="I8" s="16">
        <f t="shared" si="557"/>
        <v>0</v>
      </c>
      <c r="J8" s="17">
        <f t="shared" si="558"/>
        <v>-158</v>
      </c>
      <c r="K8" s="18">
        <f t="shared" si="559"/>
        <v>353124.96943700389</v>
      </c>
      <c r="L8" s="19">
        <f t="shared" si="560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61"/>
        <v>0</v>
      </c>
      <c r="S8" s="35">
        <f t="shared" si="562"/>
        <v>395203</v>
      </c>
      <c r="T8" s="35">
        <f t="shared" si="563"/>
        <v>158</v>
      </c>
      <c r="U8" s="19">
        <f t="shared" si="564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56"/>
        <v>165804.5147316771</v>
      </c>
      <c r="F9" s="13">
        <v>0</v>
      </c>
      <c r="G9" s="13">
        <v>0</v>
      </c>
      <c r="H9" s="13">
        <v>0</v>
      </c>
      <c r="I9" s="16">
        <f t="shared" si="557"/>
        <v>0</v>
      </c>
      <c r="J9" s="17">
        <f t="shared" si="558"/>
        <v>155200</v>
      </c>
      <c r="K9" s="18">
        <f t="shared" si="559"/>
        <v>0</v>
      </c>
      <c r="L9" s="19">
        <f t="shared" si="560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61"/>
        <v>160000</v>
      </c>
      <c r="S9" s="35">
        <f t="shared" si="562"/>
        <v>160000</v>
      </c>
      <c r="T9" s="35">
        <f t="shared" si="563"/>
        <v>4800</v>
      </c>
      <c r="U9" s="19">
        <f t="shared" si="564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56"/>
        <v>1084839.0294190629</v>
      </c>
      <c r="F10" s="13">
        <v>193976</v>
      </c>
      <c r="G10" s="13">
        <v>94373</v>
      </c>
      <c r="H10" s="13">
        <v>0</v>
      </c>
      <c r="I10" s="16">
        <f t="shared" si="557"/>
        <v>193976</v>
      </c>
      <c r="J10" s="17">
        <f t="shared" si="558"/>
        <v>405627</v>
      </c>
      <c r="K10" s="18">
        <f t="shared" si="559"/>
        <v>204759.02744673044</v>
      </c>
      <c r="L10" s="19">
        <f t="shared" si="560"/>
        <v>0.188746</v>
      </c>
      <c r="M10" s="34">
        <v>0</v>
      </c>
      <c r="N10" s="34">
        <v>0</v>
      </c>
      <c r="O10" s="34">
        <v>240000</v>
      </c>
      <c r="P10" s="34">
        <v>80000</v>
      </c>
      <c r="Q10" s="34">
        <v>0</v>
      </c>
      <c r="R10" s="34">
        <f t="shared" si="561"/>
        <v>320000</v>
      </c>
      <c r="S10" s="35">
        <f t="shared" si="562"/>
        <v>608349</v>
      </c>
      <c r="T10" s="35">
        <f t="shared" si="563"/>
        <v>108349</v>
      </c>
      <c r="U10" s="19">
        <f t="shared" si="564"/>
        <v>1.2166980000000001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56"/>
        <v>172214.50222855783</v>
      </c>
      <c r="F11" s="13">
        <v>0</v>
      </c>
      <c r="G11" s="13">
        <v>74005</v>
      </c>
      <c r="H11" s="13">
        <v>0</v>
      </c>
      <c r="I11" s="16">
        <f t="shared" si="557"/>
        <v>0</v>
      </c>
      <c r="J11" s="17">
        <f t="shared" si="558"/>
        <v>36749</v>
      </c>
      <c r="K11" s="18">
        <f t="shared" si="559"/>
        <v>115072.45099431553</v>
      </c>
      <c r="L11" s="19">
        <f t="shared" si="560"/>
        <v>0.66819257092294637</v>
      </c>
      <c r="M11" s="34">
        <v>0</v>
      </c>
      <c r="N11" s="34">
        <v>0</v>
      </c>
      <c r="O11" s="34">
        <v>0</v>
      </c>
      <c r="P11" s="34">
        <v>38000</v>
      </c>
      <c r="Q11" s="34">
        <v>0</v>
      </c>
      <c r="R11" s="34">
        <f t="shared" si="561"/>
        <v>38000</v>
      </c>
      <c r="S11" s="35">
        <f t="shared" si="562"/>
        <v>112005</v>
      </c>
      <c r="T11" s="35">
        <f t="shared" si="563"/>
        <v>1251</v>
      </c>
      <c r="U11" s="19">
        <f t="shared" si="564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56"/>
        <v>0</v>
      </c>
      <c r="F12" s="13">
        <v>0</v>
      </c>
      <c r="G12" s="13">
        <v>0</v>
      </c>
      <c r="H12" s="13">
        <v>0</v>
      </c>
      <c r="I12" s="16">
        <f t="shared" si="557"/>
        <v>0</v>
      </c>
      <c r="J12" s="17">
        <f t="shared" si="558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61"/>
        <v>0</v>
      </c>
      <c r="S12" s="35">
        <f t="shared" si="562"/>
        <v>0</v>
      </c>
      <c r="T12" s="35">
        <f t="shared" si="563"/>
        <v>0</v>
      </c>
      <c r="U12" s="19" t="e">
        <f t="shared" si="564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56"/>
        <v>0</v>
      </c>
      <c r="F13" s="13">
        <v>3464</v>
      </c>
      <c r="G13" s="13">
        <v>0</v>
      </c>
      <c r="H13" s="13">
        <v>0</v>
      </c>
      <c r="I13" s="16">
        <f t="shared" si="557"/>
        <v>3464</v>
      </c>
      <c r="J13" s="17">
        <f t="shared" si="558"/>
        <v>0</v>
      </c>
      <c r="K13" s="18">
        <f t="shared" si="559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61"/>
        <v>0</v>
      </c>
      <c r="S13" s="35">
        <f t="shared" si="562"/>
        <v>3464</v>
      </c>
      <c r="T13" s="35">
        <f t="shared" si="563"/>
        <v>3464</v>
      </c>
      <c r="U13" s="19" t="e">
        <f t="shared" si="564"/>
        <v>#DIV/0!</v>
      </c>
    </row>
    <row r="14">
      <c r="A14" s="54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556"/>
        <v>138900</v>
      </c>
      <c r="F14" s="13">
        <v>0</v>
      </c>
      <c r="G14" s="13">
        <v>0</v>
      </c>
      <c r="H14" s="13">
        <v>0</v>
      </c>
      <c r="I14" s="16">
        <f t="shared" si="557"/>
        <v>0</v>
      </c>
      <c r="J14" s="17">
        <f t="shared" si="558"/>
        <v>15000</v>
      </c>
      <c r="K14" s="18">
        <f t="shared" si="55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61"/>
        <v>0</v>
      </c>
      <c r="S14" s="35">
        <f t="shared" si="562"/>
        <v>0</v>
      </c>
      <c r="T14" s="35">
        <f t="shared" si="563"/>
        <v>-15000</v>
      </c>
      <c r="U14" s="19">
        <f t="shared" si="564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56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58"/>
        <v>10000</v>
      </c>
      <c r="K15" s="18">
        <f t="shared" si="559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61"/>
        <v>0</v>
      </c>
      <c r="S15" s="35">
        <f t="shared" si="562"/>
        <v>34</v>
      </c>
      <c r="T15" s="35">
        <f t="shared" si="563"/>
        <v>-9966</v>
      </c>
      <c r="U15" s="19">
        <f t="shared" si="564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56"/>
        <v>0</v>
      </c>
      <c r="F16" s="13">
        <v>0</v>
      </c>
      <c r="G16" s="13">
        <v>0</v>
      </c>
      <c r="H16" s="13">
        <v>0</v>
      </c>
      <c r="I16" s="16">
        <f t="shared" si="557"/>
        <v>0</v>
      </c>
      <c r="J16" s="17">
        <f t="shared" si="558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61"/>
        <v>0</v>
      </c>
      <c r="S16" s="35">
        <f t="shared" si="562"/>
        <v>0</v>
      </c>
      <c r="T16" s="35">
        <f t="shared" si="563"/>
        <v>0</v>
      </c>
      <c r="U16" s="19" t="e">
        <f t="shared" si="564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56"/>
        <v>0</v>
      </c>
      <c r="F17" s="13">
        <v>0</v>
      </c>
      <c r="G17" s="13">
        <v>0</v>
      </c>
      <c r="H17" s="13">
        <v>0</v>
      </c>
      <c r="I17" s="16">
        <f t="shared" si="557"/>
        <v>0</v>
      </c>
      <c r="J17" s="17">
        <f t="shared" si="558"/>
        <v>0</v>
      </c>
      <c r="K17" s="18">
        <f t="shared" si="559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61"/>
        <v>0</v>
      </c>
      <c r="S17" s="35">
        <f t="shared" si="562"/>
        <v>0</v>
      </c>
      <c r="T17" s="35">
        <f t="shared" si="563"/>
        <v>0</v>
      </c>
      <c r="U17" s="19" t="e">
        <f t="shared" si="564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56"/>
        <v>0</v>
      </c>
      <c r="F18" s="13">
        <v>0</v>
      </c>
      <c r="G18" s="13">
        <v>0</v>
      </c>
      <c r="H18" s="13">
        <v>0</v>
      </c>
      <c r="I18" s="16">
        <f t="shared" si="557"/>
        <v>0</v>
      </c>
      <c r="J18" s="17">
        <f t="shared" si="558"/>
        <v>0</v>
      </c>
      <c r="K18" s="18">
        <f>+G18*D18</f>
        <v>0</v>
      </c>
      <c r="L18" s="19" t="e">
        <f t="shared" ref="L18:L19" si="565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61"/>
        <v>0</v>
      </c>
      <c r="S18" s="35">
        <f t="shared" si="562"/>
        <v>0</v>
      </c>
      <c r="T18" s="35">
        <f t="shared" si="563"/>
        <v>0</v>
      </c>
      <c r="U18" s="19" t="e">
        <f t="shared" si="564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66">SUM(E3:E18)</f>
        <v>4634402.3095295709</v>
      </c>
      <c r="F19" s="24">
        <f t="shared" si="566"/>
        <v>450875</v>
      </c>
      <c r="G19" s="24">
        <f t="shared" si="566"/>
        <v>2053313</v>
      </c>
      <c r="H19" s="24">
        <f t="shared" si="566"/>
        <v>0</v>
      </c>
      <c r="I19" s="25">
        <f t="shared" si="566"/>
        <v>450909</v>
      </c>
      <c r="J19" s="26">
        <f t="shared" si="566"/>
        <v>950737</v>
      </c>
      <c r="K19" s="26">
        <f t="shared" si="566"/>
        <v>2870771.4596840888</v>
      </c>
      <c r="L19" s="27">
        <f t="shared" si="565"/>
        <v>0.61944804700727318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61"/>
        <v>0</v>
      </c>
      <c r="S19" s="35">
        <f t="shared" si="562"/>
        <v>2504222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780030-00F4-4944-BBF8-00AF00A8002B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6C00E4-0098-4B2B-9DC1-006000C5004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270087-00BB-4B0A-A2D9-003F007C003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1D00E3-00D7-4CF2-AE8C-00100013004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C8003C-00EA-4786-A259-00BA0092007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740046-007B-4B35-AF45-0096009D00A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8B0029-00B4-4C41-8B46-002D008600F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9000D8-00FA-4710-807D-0017003900C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2B00DB-0090-437C-9929-00540092008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E400D6-004C-4AED-A68E-00060072002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0009F-000F-42B8-B4BA-00E6000400D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3D00E8-0013-4FB0-9276-003B00B6004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A004C-002C-43CD-8C20-0051003C00A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27" activeCellId="0" sqref="F27"/>
    </sheetView>
  </sheetViews>
  <sheetFormatPr baseColWidth="10" defaultRowHeight="14.25" outlineLevelCol="1"/>
  <cols>
    <col bestFit="1" customWidth="1" min="1" max="1" width="1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121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67">C3*D3</f>
        <v>1044055.9231426805</v>
      </c>
      <c r="F3" s="13">
        <v>0</v>
      </c>
      <c r="G3" s="44">
        <v>334590</v>
      </c>
      <c r="H3" s="13">
        <v>37489</v>
      </c>
      <c r="I3" s="16">
        <f t="shared" ref="I3:I18" si="568">F3+H3</f>
        <v>37489</v>
      </c>
      <c r="J3" s="17">
        <f t="shared" ref="J3:J18" si="569">C3-G3</f>
        <v>26378</v>
      </c>
      <c r="K3" s="18">
        <f t="shared" ref="K3:K17" si="570">+G3*D3</f>
        <v>967760.77470664855</v>
      </c>
      <c r="L3" s="19">
        <f t="shared" ref="L3:L11" si="571">K3/E3</f>
        <v>0.9269242702954279</v>
      </c>
      <c r="M3" s="34">
        <v>0</v>
      </c>
      <c r="N3" s="34">
        <v>0</v>
      </c>
      <c r="O3" s="34">
        <v>133000</v>
      </c>
      <c r="P3" s="34">
        <v>133000</v>
      </c>
      <c r="Q3" s="34">
        <v>0</v>
      </c>
      <c r="R3" s="34">
        <f t="shared" ref="R3:R19" si="572">M3+N3+O3+P3+Q3</f>
        <v>266000</v>
      </c>
      <c r="S3" s="35">
        <f t="shared" ref="S3:S19" si="573">G3+I3+R3</f>
        <v>638079</v>
      </c>
      <c r="T3" s="35">
        <f t="shared" ref="T3:T18" si="574">S3-C3</f>
        <v>277111</v>
      </c>
      <c r="U3" s="19">
        <f t="shared" ref="U3:U18" si="575">S3/C3</f>
        <v>1.7676885485694023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67"/>
        <v>826416.08085231704</v>
      </c>
      <c r="F4" s="13">
        <v>0</v>
      </c>
      <c r="G4" s="13">
        <v>565267</v>
      </c>
      <c r="H4" s="13">
        <v>0</v>
      </c>
      <c r="I4" s="16">
        <f t="shared" si="568"/>
        <v>0</v>
      </c>
      <c r="J4" s="17">
        <f t="shared" si="569"/>
        <v>69006</v>
      </c>
      <c r="K4" s="18">
        <f t="shared" si="570"/>
        <v>736505.79289225093</v>
      </c>
      <c r="L4" s="19">
        <f t="shared" si="571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72"/>
        <v>0</v>
      </c>
      <c r="S4" s="35">
        <f t="shared" si="573"/>
        <v>565267</v>
      </c>
      <c r="T4" s="35">
        <f t="shared" si="574"/>
        <v>-69006</v>
      </c>
      <c r="U4" s="19">
        <f t="shared" si="575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67"/>
        <v>0</v>
      </c>
      <c r="F5" s="13">
        <v>0</v>
      </c>
      <c r="G5" s="13">
        <v>0</v>
      </c>
      <c r="H5" s="13">
        <v>0</v>
      </c>
      <c r="I5" s="16">
        <f t="shared" si="568"/>
        <v>0</v>
      </c>
      <c r="J5" s="17">
        <f t="shared" si="569"/>
        <v>0</v>
      </c>
      <c r="K5" s="18">
        <f t="shared" si="570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72"/>
        <v>0</v>
      </c>
      <c r="S5" s="35">
        <f t="shared" si="573"/>
        <v>0</v>
      </c>
      <c r="T5" s="35">
        <f t="shared" si="574"/>
        <v>0</v>
      </c>
      <c r="U5" s="19" t="e">
        <f t="shared" si="575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67"/>
        <v>534559.93227682635</v>
      </c>
      <c r="F6" s="13">
        <v>0</v>
      </c>
      <c r="G6" s="44">
        <v>234735</v>
      </c>
      <c r="H6" s="44">
        <v>126923</v>
      </c>
      <c r="I6" s="16">
        <f t="shared" si="568"/>
        <v>126923</v>
      </c>
      <c r="J6" s="17">
        <f t="shared" si="569"/>
        <v>232935</v>
      </c>
      <c r="K6" s="18">
        <f t="shared" si="570"/>
        <v>268308.69139136747</v>
      </c>
      <c r="L6" s="19">
        <f t="shared" si="571"/>
        <v>0.50192443389569563</v>
      </c>
      <c r="M6" s="34">
        <v>0</v>
      </c>
      <c r="N6" s="34">
        <v>0</v>
      </c>
      <c r="O6" s="34">
        <v>160000</v>
      </c>
      <c r="P6" s="34">
        <v>64000</v>
      </c>
      <c r="Q6" s="34">
        <v>0</v>
      </c>
      <c r="R6" s="34">
        <f t="shared" si="572"/>
        <v>224000</v>
      </c>
      <c r="S6" s="35">
        <f t="shared" si="573"/>
        <v>585658</v>
      </c>
      <c r="T6" s="35">
        <f t="shared" si="574"/>
        <v>117988</v>
      </c>
      <c r="U6" s="19">
        <f t="shared" si="575"/>
        <v>1.2522890072059358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67"/>
        <v>225239.75281577196</v>
      </c>
      <c r="F7" s="13">
        <v>89023</v>
      </c>
      <c r="G7" s="13">
        <v>355140</v>
      </c>
      <c r="H7" s="13">
        <v>0</v>
      </c>
      <c r="I7" s="16">
        <f t="shared" si="568"/>
        <v>89023</v>
      </c>
      <c r="J7" s="17">
        <f t="shared" si="569"/>
        <v>0</v>
      </c>
      <c r="K7" s="18">
        <f t="shared" si="570"/>
        <v>225239.75281577196</v>
      </c>
      <c r="L7" s="19">
        <f t="shared" si="571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72"/>
        <v>0</v>
      </c>
      <c r="S7" s="35">
        <f t="shared" si="573"/>
        <v>444163</v>
      </c>
      <c r="T7" s="35">
        <f t="shared" si="574"/>
        <v>89023</v>
      </c>
      <c r="U7" s="19">
        <f t="shared" si="575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67"/>
        <v>352983.79200370744</v>
      </c>
      <c r="F8" s="44">
        <v>0</v>
      </c>
      <c r="G8" s="13">
        <v>395203</v>
      </c>
      <c r="H8" s="44">
        <v>0</v>
      </c>
      <c r="I8" s="16">
        <f t="shared" si="568"/>
        <v>0</v>
      </c>
      <c r="J8" s="17">
        <f t="shared" si="569"/>
        <v>-158</v>
      </c>
      <c r="K8" s="18">
        <f t="shared" si="570"/>
        <v>353124.96943700389</v>
      </c>
      <c r="L8" s="19">
        <f t="shared" si="571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572"/>
        <v>0</v>
      </c>
      <c r="S8" s="35">
        <f t="shared" si="573"/>
        <v>395203</v>
      </c>
      <c r="T8" s="35">
        <f t="shared" si="574"/>
        <v>158</v>
      </c>
      <c r="U8" s="19">
        <f t="shared" si="575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67"/>
        <v>165804.5147316771</v>
      </c>
      <c r="F9" s="13">
        <v>0</v>
      </c>
      <c r="G9" s="13">
        <v>0</v>
      </c>
      <c r="H9" s="13">
        <v>0</v>
      </c>
      <c r="I9" s="16">
        <f t="shared" si="568"/>
        <v>0</v>
      </c>
      <c r="J9" s="17">
        <f t="shared" si="569"/>
        <v>155200</v>
      </c>
      <c r="K9" s="18">
        <f t="shared" si="570"/>
        <v>0</v>
      </c>
      <c r="L9" s="19">
        <f t="shared" si="571"/>
        <v>0</v>
      </c>
      <c r="M9" s="34">
        <v>0</v>
      </c>
      <c r="N9" s="34">
        <v>0</v>
      </c>
      <c r="O9" s="34">
        <v>0</v>
      </c>
      <c r="P9" s="34">
        <v>160000</v>
      </c>
      <c r="Q9" s="34">
        <v>0</v>
      </c>
      <c r="R9" s="34">
        <f t="shared" si="572"/>
        <v>160000</v>
      </c>
      <c r="S9" s="35">
        <f t="shared" si="573"/>
        <v>160000</v>
      </c>
      <c r="T9" s="35">
        <f t="shared" si="574"/>
        <v>4800</v>
      </c>
      <c r="U9" s="19">
        <f t="shared" si="575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67"/>
        <v>1084839.0294190629</v>
      </c>
      <c r="F10" s="13">
        <v>64004</v>
      </c>
      <c r="G10" s="13">
        <v>224345</v>
      </c>
      <c r="H10" s="13">
        <v>0</v>
      </c>
      <c r="I10" s="16">
        <f t="shared" si="568"/>
        <v>64004</v>
      </c>
      <c r="J10" s="17">
        <f t="shared" si="569"/>
        <v>275655</v>
      </c>
      <c r="K10" s="18">
        <f t="shared" si="570"/>
        <v>486756.42411003931</v>
      </c>
      <c r="L10" s="19">
        <f t="shared" si="571"/>
        <v>0.44868999999999998</v>
      </c>
      <c r="M10" s="34">
        <v>0</v>
      </c>
      <c r="N10" s="34">
        <v>0</v>
      </c>
      <c r="O10" s="34">
        <v>240000</v>
      </c>
      <c r="P10" s="34">
        <v>80000</v>
      </c>
      <c r="Q10" s="34">
        <v>0</v>
      </c>
      <c r="R10" s="34">
        <f t="shared" si="572"/>
        <v>320000</v>
      </c>
      <c r="S10" s="35">
        <f t="shared" si="573"/>
        <v>608349</v>
      </c>
      <c r="T10" s="35">
        <f t="shared" si="574"/>
        <v>108349</v>
      </c>
      <c r="U10" s="19">
        <f t="shared" si="575"/>
        <v>1.2166980000000001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67"/>
        <v>172214.50222855783</v>
      </c>
      <c r="F11" s="13">
        <v>0</v>
      </c>
      <c r="G11" s="13">
        <v>74005</v>
      </c>
      <c r="H11" s="13">
        <v>0</v>
      </c>
      <c r="I11" s="16">
        <f t="shared" si="568"/>
        <v>0</v>
      </c>
      <c r="J11" s="17">
        <f t="shared" si="569"/>
        <v>36749</v>
      </c>
      <c r="K11" s="18">
        <f t="shared" si="570"/>
        <v>115072.45099431553</v>
      </c>
      <c r="L11" s="19">
        <f t="shared" si="571"/>
        <v>0.66819257092294637</v>
      </c>
      <c r="M11" s="34">
        <v>0</v>
      </c>
      <c r="N11" s="34">
        <v>0</v>
      </c>
      <c r="O11" s="34">
        <v>0</v>
      </c>
      <c r="P11" s="34">
        <v>38000</v>
      </c>
      <c r="Q11" s="34">
        <v>0</v>
      </c>
      <c r="R11" s="34">
        <f t="shared" si="572"/>
        <v>38000</v>
      </c>
      <c r="S11" s="35">
        <f t="shared" si="573"/>
        <v>112005</v>
      </c>
      <c r="T11" s="35">
        <f t="shared" si="574"/>
        <v>1251</v>
      </c>
      <c r="U11" s="19">
        <f t="shared" si="575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67"/>
        <v>0</v>
      </c>
      <c r="F12" s="13">
        <v>0</v>
      </c>
      <c r="G12" s="13">
        <v>0</v>
      </c>
      <c r="H12" s="13">
        <v>0</v>
      </c>
      <c r="I12" s="16">
        <f t="shared" si="568"/>
        <v>0</v>
      </c>
      <c r="J12" s="17">
        <f t="shared" si="56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72"/>
        <v>0</v>
      </c>
      <c r="S12" s="35">
        <f t="shared" si="573"/>
        <v>0</v>
      </c>
      <c r="T12" s="35">
        <f t="shared" si="574"/>
        <v>0</v>
      </c>
      <c r="U12" s="19" t="e">
        <f t="shared" si="575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67"/>
        <v>0</v>
      </c>
      <c r="F13" s="13">
        <v>3464</v>
      </c>
      <c r="G13" s="13">
        <v>0</v>
      </c>
      <c r="H13" s="13">
        <v>0</v>
      </c>
      <c r="I13" s="16">
        <f t="shared" si="568"/>
        <v>3464</v>
      </c>
      <c r="J13" s="17">
        <f t="shared" si="569"/>
        <v>0</v>
      </c>
      <c r="K13" s="18">
        <f t="shared" si="57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72"/>
        <v>0</v>
      </c>
      <c r="S13" s="35">
        <f t="shared" si="573"/>
        <v>3464</v>
      </c>
      <c r="T13" s="35">
        <f t="shared" si="574"/>
        <v>3464</v>
      </c>
      <c r="U13" s="19" t="e">
        <f t="shared" si="575"/>
        <v>#DIV/0!</v>
      </c>
    </row>
    <row r="14">
      <c r="A14" s="54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567"/>
        <v>138900</v>
      </c>
      <c r="F14" s="13">
        <v>0</v>
      </c>
      <c r="G14" s="13">
        <v>0</v>
      </c>
      <c r="H14" s="13">
        <v>0</v>
      </c>
      <c r="I14" s="16">
        <f t="shared" si="568"/>
        <v>0</v>
      </c>
      <c r="J14" s="17">
        <f t="shared" si="569"/>
        <v>15000</v>
      </c>
      <c r="K14" s="18">
        <f t="shared" si="57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72"/>
        <v>0</v>
      </c>
      <c r="S14" s="35">
        <f t="shared" si="573"/>
        <v>0</v>
      </c>
      <c r="T14" s="35">
        <f t="shared" si="574"/>
        <v>-15000</v>
      </c>
      <c r="U14" s="19">
        <f t="shared" si="575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67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69"/>
        <v>10000</v>
      </c>
      <c r="K15" s="18">
        <f t="shared" si="57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72"/>
        <v>0</v>
      </c>
      <c r="S15" s="35">
        <f t="shared" si="573"/>
        <v>34</v>
      </c>
      <c r="T15" s="35">
        <f t="shared" si="574"/>
        <v>-9966</v>
      </c>
      <c r="U15" s="19">
        <f t="shared" si="575"/>
        <v>0.0033999999999999998</v>
      </c>
    </row>
    <row r="16">
      <c r="A16" s="8" t="s">
        <v>44</v>
      </c>
      <c r="B16" s="9" t="s">
        <v>45</v>
      </c>
      <c r="C16" s="14">
        <v>0</v>
      </c>
      <c r="D16" s="11">
        <v>12.061373764720482</v>
      </c>
      <c r="E16" s="12">
        <f t="shared" si="567"/>
        <v>0</v>
      </c>
      <c r="F16" s="13">
        <v>0</v>
      </c>
      <c r="G16" s="13">
        <v>0</v>
      </c>
      <c r="H16" s="13">
        <v>0</v>
      </c>
      <c r="I16" s="16">
        <f t="shared" si="568"/>
        <v>0</v>
      </c>
      <c r="J16" s="17">
        <f t="shared" si="569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72"/>
        <v>0</v>
      </c>
      <c r="S16" s="35">
        <f t="shared" si="573"/>
        <v>0</v>
      </c>
      <c r="T16" s="35">
        <f t="shared" si="574"/>
        <v>0</v>
      </c>
      <c r="U16" s="19" t="e">
        <f t="shared" si="575"/>
        <v>#DIV/0!</v>
      </c>
    </row>
    <row r="17">
      <c r="A17" s="20" t="s">
        <v>46</v>
      </c>
      <c r="B17" s="9" t="s">
        <v>47</v>
      </c>
      <c r="C17" s="14">
        <v>0</v>
      </c>
      <c r="D17" s="11">
        <v>0.40322805883812579</v>
      </c>
      <c r="E17" s="12">
        <f t="shared" si="567"/>
        <v>0</v>
      </c>
      <c r="F17" s="13">
        <v>0</v>
      </c>
      <c r="G17" s="13">
        <v>0</v>
      </c>
      <c r="H17" s="13">
        <v>0</v>
      </c>
      <c r="I17" s="16">
        <f t="shared" si="568"/>
        <v>0</v>
      </c>
      <c r="J17" s="17">
        <f t="shared" si="569"/>
        <v>0</v>
      </c>
      <c r="K17" s="18">
        <f t="shared" si="570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72"/>
        <v>0</v>
      </c>
      <c r="S17" s="35">
        <f t="shared" si="573"/>
        <v>0</v>
      </c>
      <c r="T17" s="35">
        <f t="shared" si="574"/>
        <v>0</v>
      </c>
      <c r="U17" s="19" t="e">
        <f t="shared" si="575"/>
        <v>#DIV/0!</v>
      </c>
    </row>
    <row r="18">
      <c r="A18" s="20" t="s">
        <v>48</v>
      </c>
      <c r="B18" s="9" t="s">
        <v>49</v>
      </c>
      <c r="C18" s="14">
        <v>0</v>
      </c>
      <c r="D18" s="11">
        <v>3.0573254068481477</v>
      </c>
      <c r="E18" s="12">
        <f t="shared" si="567"/>
        <v>0</v>
      </c>
      <c r="F18" s="13">
        <v>0</v>
      </c>
      <c r="G18" s="13">
        <v>0</v>
      </c>
      <c r="H18" s="13">
        <v>0</v>
      </c>
      <c r="I18" s="16">
        <f t="shared" si="568"/>
        <v>0</v>
      </c>
      <c r="J18" s="17">
        <f t="shared" si="569"/>
        <v>0</v>
      </c>
      <c r="K18" s="18">
        <f>+G18*D18</f>
        <v>0</v>
      </c>
      <c r="L18" s="19" t="e">
        <f t="shared" ref="L18:L19" si="576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72"/>
        <v>0</v>
      </c>
      <c r="S18" s="35">
        <f t="shared" si="573"/>
        <v>0</v>
      </c>
      <c r="T18" s="35">
        <f t="shared" si="574"/>
        <v>0</v>
      </c>
      <c r="U18" s="19" t="e">
        <f t="shared" si="575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77">SUM(E3:E18)</f>
        <v>4634402.3095295709</v>
      </c>
      <c r="F19" s="24">
        <f t="shared" si="577"/>
        <v>156491</v>
      </c>
      <c r="G19" s="24">
        <f t="shared" si="577"/>
        <v>2183285</v>
      </c>
      <c r="H19" s="24">
        <f t="shared" si="577"/>
        <v>164412</v>
      </c>
      <c r="I19" s="25">
        <f t="shared" si="577"/>
        <v>320937</v>
      </c>
      <c r="J19" s="26">
        <f t="shared" si="577"/>
        <v>820765</v>
      </c>
      <c r="K19" s="26">
        <f t="shared" si="577"/>
        <v>3152768.8563473974</v>
      </c>
      <c r="L19" s="27">
        <f t="shared" si="576"/>
        <v>0.68029675582209626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72"/>
        <v>0</v>
      </c>
      <c r="S19" s="35">
        <f t="shared" si="573"/>
        <v>2504222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710070-0033-489F-8B3A-005D0052009E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AD0070-0024-4165-B5F1-00850056003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6300C8-00EE-4FBE-AF6A-000500AB00D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E400F2-00D1-4A46-AE11-00840019002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BA0034-00E0-4382-AC8F-0070004F002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B80048-001A-4BDE-86A2-00AA00B9003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6600E8-000C-483B-B210-0043004D00C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610050-004F-403D-ADE2-005D006C002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D600DB-0057-43A0-8D29-002300C0009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6500A7-00B9-419F-85FD-00710085001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1C00A8-00D2-43F7-B5FD-00EA00EB000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F300DD-00D8-4255-B704-00880005003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9000E-00EF-4558-9733-00140000009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14" activeCellId="0" sqref="G14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122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78">C3*D3</f>
        <v>1044055.9231426805</v>
      </c>
      <c r="F3" s="13">
        <v>0</v>
      </c>
      <c r="G3" s="44">
        <v>372079</v>
      </c>
      <c r="H3" s="13">
        <v>0</v>
      </c>
      <c r="I3" s="16">
        <f t="shared" ref="I3:I18" si="579">F3+H3</f>
        <v>0</v>
      </c>
      <c r="J3" s="17">
        <f t="shared" ref="J3:J18" si="580">C3-G3</f>
        <v>-11111</v>
      </c>
      <c r="K3" s="18">
        <f t="shared" ref="K3:K17" si="581">+G3*D3</f>
        <v>1076193.1357544311</v>
      </c>
      <c r="L3" s="19">
        <f t="shared" ref="L3:L11" si="582">K3/E3</f>
        <v>1.0307811218722991</v>
      </c>
      <c r="M3" s="34">
        <v>0</v>
      </c>
      <c r="N3" s="34">
        <v>0</v>
      </c>
      <c r="O3" s="34">
        <v>0</v>
      </c>
      <c r="P3" s="34">
        <v>133000</v>
      </c>
      <c r="Q3" s="34">
        <v>0</v>
      </c>
      <c r="R3" s="34">
        <f t="shared" ref="R3:R19" si="583">M3+N3+O3+P3+Q3</f>
        <v>133000</v>
      </c>
      <c r="S3" s="35">
        <f t="shared" ref="S3:S19" si="584">G3+I3+R3</f>
        <v>505079</v>
      </c>
      <c r="T3" s="35">
        <f t="shared" ref="T3:T18" si="585">S3-C3</f>
        <v>144111</v>
      </c>
      <c r="U3" s="19">
        <f t="shared" ref="U3:U18" si="586">S3/C3</f>
        <v>1.3992348352208506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78"/>
        <v>826416.08085231704</v>
      </c>
      <c r="F4" s="13">
        <v>0</v>
      </c>
      <c r="G4" s="13">
        <v>565267</v>
      </c>
      <c r="H4" s="13">
        <v>0</v>
      </c>
      <c r="I4" s="16">
        <f t="shared" si="579"/>
        <v>0</v>
      </c>
      <c r="J4" s="17">
        <f t="shared" si="580"/>
        <v>69006</v>
      </c>
      <c r="K4" s="18">
        <f t="shared" si="581"/>
        <v>736505.79289225093</v>
      </c>
      <c r="L4" s="19">
        <f t="shared" si="582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83"/>
        <v>0</v>
      </c>
      <c r="S4" s="35">
        <f t="shared" si="584"/>
        <v>565267</v>
      </c>
      <c r="T4" s="35">
        <f t="shared" si="585"/>
        <v>-69006</v>
      </c>
      <c r="U4" s="19">
        <f t="shared" si="586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78"/>
        <v>0</v>
      </c>
      <c r="F5" s="13">
        <v>0</v>
      </c>
      <c r="G5" s="13">
        <v>0</v>
      </c>
      <c r="H5" s="13">
        <v>0</v>
      </c>
      <c r="I5" s="16">
        <f t="shared" si="579"/>
        <v>0</v>
      </c>
      <c r="J5" s="17">
        <f t="shared" si="580"/>
        <v>0</v>
      </c>
      <c r="K5" s="18">
        <f t="shared" si="581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83"/>
        <v>0</v>
      </c>
      <c r="S5" s="35">
        <f t="shared" si="584"/>
        <v>0</v>
      </c>
      <c r="T5" s="35">
        <f t="shared" si="585"/>
        <v>0</v>
      </c>
      <c r="U5" s="19" t="e">
        <f t="shared" si="586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78"/>
        <v>534559.93227682635</v>
      </c>
      <c r="F6" s="13">
        <v>0</v>
      </c>
      <c r="G6" s="44">
        <v>361658</v>
      </c>
      <c r="H6" s="44">
        <v>0</v>
      </c>
      <c r="I6" s="16">
        <f t="shared" si="579"/>
        <v>0</v>
      </c>
      <c r="J6" s="17">
        <f t="shared" si="580"/>
        <v>106012</v>
      </c>
      <c r="K6" s="18">
        <f t="shared" si="581"/>
        <v>413385.24170327891</v>
      </c>
      <c r="L6" s="19">
        <f t="shared" si="582"/>
        <v>0.77331879316612129</v>
      </c>
      <c r="M6" s="34">
        <v>0</v>
      </c>
      <c r="N6" s="34">
        <v>0</v>
      </c>
      <c r="O6" s="34">
        <v>0</v>
      </c>
      <c r="P6" s="55">
        <v>189000</v>
      </c>
      <c r="Q6" s="34">
        <v>0</v>
      </c>
      <c r="R6" s="34">
        <f t="shared" si="583"/>
        <v>189000</v>
      </c>
      <c r="S6" s="35">
        <f t="shared" si="584"/>
        <v>550658</v>
      </c>
      <c r="T6" s="35">
        <f t="shared" si="585"/>
        <v>82988</v>
      </c>
      <c r="U6" s="19">
        <f t="shared" si="586"/>
        <v>1.1774499112622148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78"/>
        <v>225239.75281577196</v>
      </c>
      <c r="F7" s="13">
        <v>89023</v>
      </c>
      <c r="G7" s="13">
        <v>355140</v>
      </c>
      <c r="H7" s="13">
        <v>0</v>
      </c>
      <c r="I7" s="16">
        <f t="shared" si="579"/>
        <v>89023</v>
      </c>
      <c r="J7" s="17">
        <f t="shared" si="580"/>
        <v>0</v>
      </c>
      <c r="K7" s="18">
        <f t="shared" si="581"/>
        <v>225239.75281577196</v>
      </c>
      <c r="L7" s="19">
        <f t="shared" si="582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83"/>
        <v>0</v>
      </c>
      <c r="S7" s="35">
        <f t="shared" si="584"/>
        <v>444163</v>
      </c>
      <c r="T7" s="35">
        <f t="shared" si="585"/>
        <v>89023</v>
      </c>
      <c r="U7" s="19">
        <f t="shared" si="586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78"/>
        <v>352983.79200370744</v>
      </c>
      <c r="F8" s="44">
        <v>0</v>
      </c>
      <c r="G8" s="13">
        <v>395203</v>
      </c>
      <c r="H8" s="44">
        <v>0</v>
      </c>
      <c r="I8" s="16">
        <f t="shared" si="579"/>
        <v>0</v>
      </c>
      <c r="J8" s="17">
        <f t="shared" si="580"/>
        <v>-158</v>
      </c>
      <c r="K8" s="18">
        <f t="shared" si="581"/>
        <v>353124.96943700389</v>
      </c>
      <c r="L8" s="19">
        <f t="shared" si="582"/>
        <v>1.0003999544355706</v>
      </c>
      <c r="M8" s="34">
        <v>0</v>
      </c>
      <c r="N8" s="34">
        <v>0</v>
      </c>
      <c r="O8" s="34">
        <v>0</v>
      </c>
      <c r="P8" s="34">
        <v>261000</v>
      </c>
      <c r="Q8" s="34">
        <v>0</v>
      </c>
      <c r="R8" s="34">
        <f t="shared" si="583"/>
        <v>261000</v>
      </c>
      <c r="S8" s="35">
        <f t="shared" si="584"/>
        <v>656203</v>
      </c>
      <c r="T8" s="35">
        <f t="shared" si="585"/>
        <v>261158</v>
      </c>
      <c r="U8" s="19">
        <f t="shared" si="586"/>
        <v>1.6610841802832588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78"/>
        <v>165804.5147316771</v>
      </c>
      <c r="F9" s="13">
        <v>0</v>
      </c>
      <c r="G9" s="13">
        <v>0</v>
      </c>
      <c r="H9" s="13">
        <v>0</v>
      </c>
      <c r="I9" s="16">
        <f t="shared" si="579"/>
        <v>0</v>
      </c>
      <c r="J9" s="17">
        <f t="shared" si="580"/>
        <v>155200</v>
      </c>
      <c r="K9" s="18">
        <f t="shared" si="581"/>
        <v>0</v>
      </c>
      <c r="L9" s="19">
        <f t="shared" si="582"/>
        <v>0</v>
      </c>
      <c r="M9" s="34">
        <v>0</v>
      </c>
      <c r="N9" s="34">
        <v>0</v>
      </c>
      <c r="O9" s="34">
        <v>0</v>
      </c>
      <c r="P9" s="55">
        <v>160000</v>
      </c>
      <c r="Q9" s="34">
        <v>0</v>
      </c>
      <c r="R9" s="34">
        <f t="shared" si="583"/>
        <v>160000</v>
      </c>
      <c r="S9" s="35">
        <f t="shared" si="584"/>
        <v>160000</v>
      </c>
      <c r="T9" s="35">
        <f t="shared" si="585"/>
        <v>4800</v>
      </c>
      <c r="U9" s="19">
        <f t="shared" si="586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78"/>
        <v>1084839.0294190629</v>
      </c>
      <c r="F10" s="13">
        <v>4</v>
      </c>
      <c r="G10" s="13">
        <v>288345</v>
      </c>
      <c r="H10" s="13">
        <v>0</v>
      </c>
      <c r="I10" s="16">
        <f t="shared" si="579"/>
        <v>4</v>
      </c>
      <c r="J10" s="17">
        <f t="shared" si="580"/>
        <v>211655</v>
      </c>
      <c r="K10" s="18">
        <f t="shared" si="581"/>
        <v>625615.81987567933</v>
      </c>
      <c r="L10" s="19">
        <f t="shared" si="582"/>
        <v>0.57668999999999992</v>
      </c>
      <c r="M10" s="34">
        <v>0</v>
      </c>
      <c r="N10" s="34">
        <v>0</v>
      </c>
      <c r="O10" s="34">
        <v>0</v>
      </c>
      <c r="P10" s="34">
        <v>80000</v>
      </c>
      <c r="Q10" s="34">
        <v>0</v>
      </c>
      <c r="R10" s="34">
        <f t="shared" si="583"/>
        <v>80000</v>
      </c>
      <c r="S10" s="35">
        <f t="shared" si="584"/>
        <v>368349</v>
      </c>
      <c r="T10" s="35">
        <f t="shared" si="585"/>
        <v>-131651</v>
      </c>
      <c r="U10" s="19">
        <f t="shared" si="586"/>
        <v>0.73669799999999996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78"/>
        <v>172214.50222855783</v>
      </c>
      <c r="F11" s="13">
        <v>0</v>
      </c>
      <c r="G11" s="13">
        <v>74005</v>
      </c>
      <c r="H11" s="13">
        <v>0</v>
      </c>
      <c r="I11" s="16">
        <f t="shared" si="579"/>
        <v>0</v>
      </c>
      <c r="J11" s="17">
        <f t="shared" si="580"/>
        <v>36749</v>
      </c>
      <c r="K11" s="18">
        <f t="shared" si="581"/>
        <v>115072.45099431553</v>
      </c>
      <c r="L11" s="19">
        <f t="shared" si="582"/>
        <v>0.66819257092294637</v>
      </c>
      <c r="M11" s="34">
        <v>0</v>
      </c>
      <c r="N11" s="34">
        <v>0</v>
      </c>
      <c r="O11" s="34">
        <v>0</v>
      </c>
      <c r="P11" s="55">
        <v>38000</v>
      </c>
      <c r="Q11" s="34">
        <v>0</v>
      </c>
      <c r="R11" s="34">
        <f t="shared" si="583"/>
        <v>38000</v>
      </c>
      <c r="S11" s="35">
        <f t="shared" si="584"/>
        <v>112005</v>
      </c>
      <c r="T11" s="35">
        <f t="shared" si="585"/>
        <v>1251</v>
      </c>
      <c r="U11" s="19">
        <f t="shared" si="586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78"/>
        <v>0</v>
      </c>
      <c r="F12" s="13">
        <v>0</v>
      </c>
      <c r="G12" s="13">
        <v>0</v>
      </c>
      <c r="H12" s="13">
        <v>0</v>
      </c>
      <c r="I12" s="16">
        <f t="shared" si="579"/>
        <v>0</v>
      </c>
      <c r="J12" s="17">
        <f t="shared" si="580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83"/>
        <v>0</v>
      </c>
      <c r="S12" s="35">
        <f t="shared" si="584"/>
        <v>0</v>
      </c>
      <c r="T12" s="35">
        <f t="shared" si="585"/>
        <v>0</v>
      </c>
      <c r="U12" s="19" t="e">
        <f t="shared" si="58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78"/>
        <v>0</v>
      </c>
      <c r="F13" s="13">
        <v>3464</v>
      </c>
      <c r="G13" s="13">
        <v>0</v>
      </c>
      <c r="H13" s="13">
        <v>0</v>
      </c>
      <c r="I13" s="16">
        <f t="shared" si="579"/>
        <v>3464</v>
      </c>
      <c r="J13" s="17">
        <f t="shared" si="580"/>
        <v>0</v>
      </c>
      <c r="K13" s="18">
        <f t="shared" si="581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83"/>
        <v>0</v>
      </c>
      <c r="S13" s="35">
        <f t="shared" si="584"/>
        <v>3464</v>
      </c>
      <c r="T13" s="35">
        <f t="shared" si="585"/>
        <v>3464</v>
      </c>
      <c r="U13" s="19" t="e">
        <f t="shared" si="586"/>
        <v>#DIV/0!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578"/>
        <v>138900</v>
      </c>
      <c r="F14" s="13">
        <v>0</v>
      </c>
      <c r="G14" s="13">
        <v>0</v>
      </c>
      <c r="H14" s="13">
        <v>0</v>
      </c>
      <c r="I14" s="16">
        <f t="shared" si="579"/>
        <v>0</v>
      </c>
      <c r="J14" s="17">
        <f t="shared" si="580"/>
        <v>15000</v>
      </c>
      <c r="K14" s="18">
        <f t="shared" si="58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83"/>
        <v>0</v>
      </c>
      <c r="S14" s="35">
        <f t="shared" si="584"/>
        <v>0</v>
      </c>
      <c r="T14" s="35">
        <f t="shared" si="585"/>
        <v>-15000</v>
      </c>
      <c r="U14" s="19">
        <f t="shared" si="586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78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80"/>
        <v>10000</v>
      </c>
      <c r="K15" s="18">
        <f t="shared" si="581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83"/>
        <v>0</v>
      </c>
      <c r="S15" s="35">
        <f t="shared" si="584"/>
        <v>34</v>
      </c>
      <c r="T15" s="35">
        <f t="shared" si="585"/>
        <v>-9966</v>
      </c>
      <c r="U15" s="19">
        <f t="shared" si="586"/>
        <v>0.0033999999999999998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578"/>
        <v>0</v>
      </c>
      <c r="F16" s="13">
        <v>0</v>
      </c>
      <c r="G16" s="13">
        <v>0</v>
      </c>
      <c r="H16" s="13">
        <v>0</v>
      </c>
      <c r="I16" s="16">
        <f t="shared" si="579"/>
        <v>0</v>
      </c>
      <c r="J16" s="17">
        <f t="shared" si="580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83"/>
        <v>0</v>
      </c>
      <c r="S16" s="35">
        <f t="shared" si="584"/>
        <v>0</v>
      </c>
      <c r="T16" s="35">
        <f t="shared" si="585"/>
        <v>0</v>
      </c>
      <c r="U16" s="19" t="e">
        <f t="shared" si="586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578"/>
        <v>0</v>
      </c>
      <c r="F17" s="13">
        <v>0</v>
      </c>
      <c r="G17" s="13">
        <v>0</v>
      </c>
      <c r="H17" s="13">
        <v>0</v>
      </c>
      <c r="I17" s="16">
        <f t="shared" si="579"/>
        <v>0</v>
      </c>
      <c r="J17" s="17">
        <f t="shared" si="580"/>
        <v>0</v>
      </c>
      <c r="K17" s="18">
        <f t="shared" si="581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83"/>
        <v>0</v>
      </c>
      <c r="S17" s="35">
        <f t="shared" si="584"/>
        <v>0</v>
      </c>
      <c r="T17" s="35">
        <f t="shared" si="585"/>
        <v>0</v>
      </c>
      <c r="U17" s="19" t="e">
        <f t="shared" si="586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578"/>
        <v>0</v>
      </c>
      <c r="F18" s="13">
        <v>0</v>
      </c>
      <c r="G18" s="13">
        <v>0</v>
      </c>
      <c r="H18" s="13">
        <v>0</v>
      </c>
      <c r="I18" s="16">
        <f t="shared" si="579"/>
        <v>0</v>
      </c>
      <c r="J18" s="17">
        <f t="shared" si="580"/>
        <v>0</v>
      </c>
      <c r="K18" s="18">
        <f>+G18*D18</f>
        <v>0</v>
      </c>
      <c r="L18" s="19" t="e">
        <f t="shared" ref="L18:L19" si="587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83"/>
        <v>0</v>
      </c>
      <c r="S18" s="35">
        <f t="shared" si="584"/>
        <v>0</v>
      </c>
      <c r="T18" s="35">
        <f t="shared" si="585"/>
        <v>0</v>
      </c>
      <c r="U18" s="19" t="e">
        <f t="shared" si="586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88">SUM(E3:E18)</f>
        <v>4634402.3095295709</v>
      </c>
      <c r="F19" s="24">
        <f t="shared" si="588"/>
        <v>92491</v>
      </c>
      <c r="G19" s="24">
        <f t="shared" si="588"/>
        <v>2411697</v>
      </c>
      <c r="H19" s="24">
        <f t="shared" si="588"/>
        <v>0</v>
      </c>
      <c r="I19" s="25">
        <f t="shared" si="588"/>
        <v>92525</v>
      </c>
      <c r="J19" s="26">
        <f t="shared" si="588"/>
        <v>592353</v>
      </c>
      <c r="K19" s="26">
        <f t="shared" si="588"/>
        <v>3545137.1634727321</v>
      </c>
      <c r="L19" s="27">
        <f t="shared" si="587"/>
        <v>0.76496102985771908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83"/>
        <v>0</v>
      </c>
      <c r="S19" s="35">
        <f t="shared" si="584"/>
        <v>2504222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3E0079-00FF-4938-9220-0058007F0074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7400FE-0028-4535-93E6-0080006300E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F60076-00CD-4A5E-A35D-00F00086002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EF008E-003C-437A-A3DA-002E008B00C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D00031-007C-49E6-8B0F-000300E600B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080089-00B0-4CDA-8E03-00B200B200E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14008A-0002-4446-AF91-008B0079003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AF00F6-00C8-46F4-93F0-003900B8008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560065-00D3-4376-A76B-00A200F900A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FD0068-00F5-4DC7-9B07-006B0017008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300C9-001B-48F6-9EA9-009100F4006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790076-0081-46CA-BF80-008A000200D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710046-0072-4CEB-B586-000D0018007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E8" activeCellId="0" sqref="E8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123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589">C3*D3</f>
        <v>1044055.9231426805</v>
      </c>
      <c r="F3" s="13">
        <v>0</v>
      </c>
      <c r="G3" s="44">
        <v>372079</v>
      </c>
      <c r="H3" s="13">
        <v>74642</v>
      </c>
      <c r="I3" s="16">
        <f t="shared" ref="I3:I18" si="590">F3+H3</f>
        <v>74642</v>
      </c>
      <c r="J3" s="17">
        <f t="shared" ref="J3:J18" si="591">C3-G3</f>
        <v>-11111</v>
      </c>
      <c r="K3" s="18">
        <f t="shared" ref="K3:K17" si="592">+G3*D3</f>
        <v>1076193.1357544311</v>
      </c>
      <c r="L3" s="19">
        <f t="shared" ref="L3:L11" si="593">K3/E3</f>
        <v>1.0307811218722991</v>
      </c>
      <c r="M3" s="34">
        <v>0</v>
      </c>
      <c r="N3" s="34">
        <v>0</v>
      </c>
      <c r="O3" s="34">
        <v>0</v>
      </c>
      <c r="P3" s="34">
        <v>133000</v>
      </c>
      <c r="Q3" s="34">
        <v>0</v>
      </c>
      <c r="R3" s="34">
        <f t="shared" ref="R3:R19" si="594">M3+N3+O3+P3+Q3</f>
        <v>133000</v>
      </c>
      <c r="S3" s="35">
        <f t="shared" ref="S3:S19" si="595">G3+I3+R3</f>
        <v>579721</v>
      </c>
      <c r="T3" s="35">
        <f t="shared" ref="T3:T18" si="596">S3-C3</f>
        <v>218753</v>
      </c>
      <c r="U3" s="19">
        <f t="shared" ref="U3:U18" si="597">S3/C3</f>
        <v>1.6060177079408702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589"/>
        <v>826416.08085231704</v>
      </c>
      <c r="F4" s="13">
        <v>0</v>
      </c>
      <c r="G4" s="13">
        <v>565267</v>
      </c>
      <c r="H4" s="13">
        <v>0</v>
      </c>
      <c r="I4" s="16">
        <f t="shared" si="590"/>
        <v>0</v>
      </c>
      <c r="J4" s="17">
        <f t="shared" si="591"/>
        <v>69006</v>
      </c>
      <c r="K4" s="18">
        <f t="shared" si="592"/>
        <v>736505.79289225093</v>
      </c>
      <c r="L4" s="19">
        <f t="shared" si="593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594"/>
        <v>0</v>
      </c>
      <c r="S4" s="35">
        <f t="shared" si="595"/>
        <v>565267</v>
      </c>
      <c r="T4" s="35">
        <f t="shared" si="596"/>
        <v>-69006</v>
      </c>
      <c r="U4" s="19">
        <f t="shared" si="597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89"/>
        <v>0</v>
      </c>
      <c r="F5" s="13">
        <v>0</v>
      </c>
      <c r="G5" s="13">
        <v>0</v>
      </c>
      <c r="H5" s="13">
        <v>0</v>
      </c>
      <c r="I5" s="16">
        <f t="shared" si="590"/>
        <v>0</v>
      </c>
      <c r="J5" s="17">
        <f t="shared" si="591"/>
        <v>0</v>
      </c>
      <c r="K5" s="18">
        <f t="shared" si="592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594"/>
        <v>0</v>
      </c>
      <c r="S5" s="35">
        <f t="shared" si="595"/>
        <v>0</v>
      </c>
      <c r="T5" s="35">
        <f t="shared" si="596"/>
        <v>0</v>
      </c>
      <c r="U5" s="19" t="e">
        <f t="shared" si="597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589"/>
        <v>534559.93227682635</v>
      </c>
      <c r="F6" s="13">
        <v>0</v>
      </c>
      <c r="G6" s="44">
        <v>361658</v>
      </c>
      <c r="H6" s="44">
        <v>0</v>
      </c>
      <c r="I6" s="16">
        <f t="shared" si="590"/>
        <v>0</v>
      </c>
      <c r="J6" s="17">
        <f t="shared" si="591"/>
        <v>106012</v>
      </c>
      <c r="K6" s="18">
        <f t="shared" si="592"/>
        <v>413385.24170327891</v>
      </c>
      <c r="L6" s="19">
        <f t="shared" si="593"/>
        <v>0.77331879316612129</v>
      </c>
      <c r="M6" s="34">
        <v>0</v>
      </c>
      <c r="N6" s="34">
        <v>0</v>
      </c>
      <c r="O6" s="34">
        <v>0</v>
      </c>
      <c r="P6" s="55">
        <v>189000</v>
      </c>
      <c r="Q6" s="34">
        <v>0</v>
      </c>
      <c r="R6" s="34">
        <f t="shared" si="594"/>
        <v>189000</v>
      </c>
      <c r="S6" s="35">
        <f t="shared" si="595"/>
        <v>550658</v>
      </c>
      <c r="T6" s="35">
        <f t="shared" si="596"/>
        <v>82988</v>
      </c>
      <c r="U6" s="19">
        <f t="shared" si="597"/>
        <v>1.1774499112622148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589"/>
        <v>225239.75281577196</v>
      </c>
      <c r="F7" s="13">
        <v>89023</v>
      </c>
      <c r="G7" s="13">
        <v>355140</v>
      </c>
      <c r="H7" s="13">
        <v>0</v>
      </c>
      <c r="I7" s="16">
        <f t="shared" si="590"/>
        <v>89023</v>
      </c>
      <c r="J7" s="17">
        <f t="shared" si="591"/>
        <v>0</v>
      </c>
      <c r="K7" s="18">
        <f t="shared" si="592"/>
        <v>225239.75281577196</v>
      </c>
      <c r="L7" s="19">
        <f t="shared" si="593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594"/>
        <v>0</v>
      </c>
      <c r="S7" s="35">
        <f t="shared" si="595"/>
        <v>444163</v>
      </c>
      <c r="T7" s="35">
        <f t="shared" si="596"/>
        <v>89023</v>
      </c>
      <c r="U7" s="19">
        <f t="shared" si="597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589"/>
        <v>352983.79200370744</v>
      </c>
      <c r="F8" s="44">
        <v>0</v>
      </c>
      <c r="G8" s="13">
        <v>395203</v>
      </c>
      <c r="H8" s="44">
        <v>0</v>
      </c>
      <c r="I8" s="16">
        <f t="shared" si="590"/>
        <v>0</v>
      </c>
      <c r="J8" s="17">
        <f t="shared" si="591"/>
        <v>-158</v>
      </c>
      <c r="K8" s="18">
        <f t="shared" si="592"/>
        <v>353124.96943700389</v>
      </c>
      <c r="L8" s="19">
        <f t="shared" si="593"/>
        <v>1.0003999544355706</v>
      </c>
      <c r="M8" s="34">
        <v>0</v>
      </c>
      <c r="N8" s="34">
        <v>0</v>
      </c>
      <c r="O8" s="34">
        <v>0</v>
      </c>
      <c r="P8" s="34">
        <v>261000</v>
      </c>
      <c r="Q8" s="34">
        <v>0</v>
      </c>
      <c r="R8" s="34">
        <f t="shared" si="594"/>
        <v>261000</v>
      </c>
      <c r="S8" s="35">
        <f t="shared" si="595"/>
        <v>656203</v>
      </c>
      <c r="T8" s="35">
        <f t="shared" si="596"/>
        <v>261158</v>
      </c>
      <c r="U8" s="19">
        <f t="shared" si="597"/>
        <v>1.6610841802832588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589"/>
        <v>165804.5147316771</v>
      </c>
      <c r="F9" s="13">
        <v>0</v>
      </c>
      <c r="G9" s="13">
        <v>0</v>
      </c>
      <c r="H9" s="13">
        <v>0</v>
      </c>
      <c r="I9" s="16">
        <f t="shared" si="590"/>
        <v>0</v>
      </c>
      <c r="J9" s="17">
        <f t="shared" si="591"/>
        <v>155200</v>
      </c>
      <c r="K9" s="18">
        <f t="shared" si="592"/>
        <v>0</v>
      </c>
      <c r="L9" s="19">
        <f t="shared" si="593"/>
        <v>0</v>
      </c>
      <c r="M9" s="34">
        <v>0</v>
      </c>
      <c r="N9" s="34">
        <v>0</v>
      </c>
      <c r="O9" s="34">
        <v>0</v>
      </c>
      <c r="P9" s="55">
        <v>160000</v>
      </c>
      <c r="Q9" s="34">
        <v>0</v>
      </c>
      <c r="R9" s="34">
        <f t="shared" si="594"/>
        <v>160000</v>
      </c>
      <c r="S9" s="35">
        <f t="shared" si="595"/>
        <v>160000</v>
      </c>
      <c r="T9" s="35">
        <f t="shared" si="596"/>
        <v>4800</v>
      </c>
      <c r="U9" s="19">
        <f t="shared" si="597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589"/>
        <v>1084839.0294190629</v>
      </c>
      <c r="F10" s="13">
        <v>0</v>
      </c>
      <c r="G10" s="13">
        <v>352345</v>
      </c>
      <c r="H10" s="13">
        <v>130810</v>
      </c>
      <c r="I10" s="16">
        <f t="shared" si="590"/>
        <v>130810</v>
      </c>
      <c r="J10" s="17">
        <f t="shared" si="591"/>
        <v>147655</v>
      </c>
      <c r="K10" s="18">
        <f t="shared" si="592"/>
        <v>764475.2156413194</v>
      </c>
      <c r="L10" s="19">
        <f t="shared" si="593"/>
        <v>0.70468999999999993</v>
      </c>
      <c r="M10" s="34">
        <v>0</v>
      </c>
      <c r="N10" s="34">
        <v>0</v>
      </c>
      <c r="O10" s="34">
        <v>0</v>
      </c>
      <c r="P10" s="34">
        <v>80000</v>
      </c>
      <c r="Q10" s="34">
        <v>0</v>
      </c>
      <c r="R10" s="34">
        <f t="shared" si="594"/>
        <v>80000</v>
      </c>
      <c r="S10" s="35">
        <f t="shared" si="595"/>
        <v>563155</v>
      </c>
      <c r="T10" s="35">
        <f t="shared" si="596"/>
        <v>63155</v>
      </c>
      <c r="U10" s="19">
        <f t="shared" si="597"/>
        <v>1.1263099999999999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589"/>
        <v>172214.50222855783</v>
      </c>
      <c r="F11" s="13">
        <v>0</v>
      </c>
      <c r="G11" s="13">
        <v>74005</v>
      </c>
      <c r="H11" s="13">
        <v>0</v>
      </c>
      <c r="I11" s="16">
        <f t="shared" si="590"/>
        <v>0</v>
      </c>
      <c r="J11" s="17">
        <f t="shared" si="591"/>
        <v>36749</v>
      </c>
      <c r="K11" s="18">
        <f t="shared" si="592"/>
        <v>115072.45099431553</v>
      </c>
      <c r="L11" s="19">
        <f t="shared" si="593"/>
        <v>0.66819257092294637</v>
      </c>
      <c r="M11" s="34">
        <v>0</v>
      </c>
      <c r="N11" s="34">
        <v>0</v>
      </c>
      <c r="O11" s="34">
        <v>0</v>
      </c>
      <c r="P11" s="55">
        <v>38000</v>
      </c>
      <c r="Q11" s="34">
        <v>0</v>
      </c>
      <c r="R11" s="34">
        <f t="shared" si="594"/>
        <v>38000</v>
      </c>
      <c r="S11" s="35">
        <f t="shared" si="595"/>
        <v>112005</v>
      </c>
      <c r="T11" s="35">
        <f t="shared" si="596"/>
        <v>1251</v>
      </c>
      <c r="U11" s="19">
        <f t="shared" si="597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89"/>
        <v>0</v>
      </c>
      <c r="F12" s="13">
        <v>0</v>
      </c>
      <c r="G12" s="13">
        <v>0</v>
      </c>
      <c r="H12" s="13">
        <v>0</v>
      </c>
      <c r="I12" s="16">
        <f t="shared" si="590"/>
        <v>0</v>
      </c>
      <c r="J12" s="17">
        <f t="shared" si="59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594"/>
        <v>0</v>
      </c>
      <c r="S12" s="35">
        <f t="shared" si="595"/>
        <v>0</v>
      </c>
      <c r="T12" s="35">
        <f t="shared" si="596"/>
        <v>0</v>
      </c>
      <c r="U12" s="19" t="e">
        <f t="shared" si="59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89"/>
        <v>0</v>
      </c>
      <c r="F13" s="13">
        <v>3464</v>
      </c>
      <c r="G13" s="13">
        <v>0</v>
      </c>
      <c r="H13" s="13">
        <v>0</v>
      </c>
      <c r="I13" s="16">
        <f t="shared" si="590"/>
        <v>3464</v>
      </c>
      <c r="J13" s="17">
        <f t="shared" si="591"/>
        <v>0</v>
      </c>
      <c r="K13" s="18">
        <f t="shared" si="59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594"/>
        <v>0</v>
      </c>
      <c r="S13" s="35">
        <f t="shared" si="595"/>
        <v>3464</v>
      </c>
      <c r="T13" s="35">
        <f t="shared" si="596"/>
        <v>3464</v>
      </c>
      <c r="U13" s="19" t="e">
        <f t="shared" si="597"/>
        <v>#DIV/0!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589"/>
        <v>138900</v>
      </c>
      <c r="F14" s="13">
        <v>0</v>
      </c>
      <c r="G14" s="13">
        <v>0</v>
      </c>
      <c r="H14" s="13">
        <v>0</v>
      </c>
      <c r="I14" s="16">
        <f t="shared" si="590"/>
        <v>0</v>
      </c>
      <c r="J14" s="17">
        <f t="shared" si="591"/>
        <v>15000</v>
      </c>
      <c r="K14" s="18">
        <f t="shared" si="59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594"/>
        <v>0</v>
      </c>
      <c r="S14" s="35">
        <f t="shared" si="595"/>
        <v>0</v>
      </c>
      <c r="T14" s="35">
        <f t="shared" si="596"/>
        <v>-15000</v>
      </c>
      <c r="U14" s="19">
        <f t="shared" si="597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589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591"/>
        <v>10000</v>
      </c>
      <c r="K15" s="18">
        <f t="shared" si="59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594"/>
        <v>0</v>
      </c>
      <c r="S15" s="35">
        <f t="shared" si="595"/>
        <v>34</v>
      </c>
      <c r="T15" s="35">
        <f t="shared" si="596"/>
        <v>-9966</v>
      </c>
      <c r="U15" s="19">
        <f t="shared" si="597"/>
        <v>0.0033999999999999998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589"/>
        <v>0</v>
      </c>
      <c r="F16" s="13">
        <v>0</v>
      </c>
      <c r="G16" s="13">
        <v>0</v>
      </c>
      <c r="H16" s="13">
        <v>0</v>
      </c>
      <c r="I16" s="16">
        <f t="shared" si="590"/>
        <v>0</v>
      </c>
      <c r="J16" s="17">
        <f t="shared" si="591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594"/>
        <v>0</v>
      </c>
      <c r="S16" s="35">
        <f t="shared" si="595"/>
        <v>0</v>
      </c>
      <c r="T16" s="35">
        <f t="shared" si="596"/>
        <v>0</v>
      </c>
      <c r="U16" s="19" t="e">
        <f t="shared" si="597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589"/>
        <v>0</v>
      </c>
      <c r="F17" s="13">
        <v>0</v>
      </c>
      <c r="G17" s="13">
        <v>0</v>
      </c>
      <c r="H17" s="13">
        <v>0</v>
      </c>
      <c r="I17" s="16">
        <f t="shared" si="590"/>
        <v>0</v>
      </c>
      <c r="J17" s="17">
        <f t="shared" si="591"/>
        <v>0</v>
      </c>
      <c r="K17" s="18">
        <f t="shared" si="592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594"/>
        <v>0</v>
      </c>
      <c r="S17" s="35">
        <f t="shared" si="595"/>
        <v>0</v>
      </c>
      <c r="T17" s="35">
        <f t="shared" si="596"/>
        <v>0</v>
      </c>
      <c r="U17" s="19" t="e">
        <f t="shared" si="597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589"/>
        <v>0</v>
      </c>
      <c r="F18" s="13">
        <v>0</v>
      </c>
      <c r="G18" s="13">
        <v>0</v>
      </c>
      <c r="H18" s="13">
        <v>0</v>
      </c>
      <c r="I18" s="16">
        <f t="shared" si="590"/>
        <v>0</v>
      </c>
      <c r="J18" s="17">
        <f t="shared" si="591"/>
        <v>0</v>
      </c>
      <c r="K18" s="18">
        <f>+G18*D18</f>
        <v>0</v>
      </c>
      <c r="L18" s="19" t="e">
        <f t="shared" ref="L18:L19" si="598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594"/>
        <v>0</v>
      </c>
      <c r="S18" s="35">
        <f t="shared" si="595"/>
        <v>0</v>
      </c>
      <c r="T18" s="35">
        <f t="shared" si="596"/>
        <v>0</v>
      </c>
      <c r="U18" s="19" t="e">
        <f t="shared" si="597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599">SUM(E3:E18)</f>
        <v>4634402.3095295709</v>
      </c>
      <c r="F19" s="24">
        <f t="shared" si="599"/>
        <v>92487</v>
      </c>
      <c r="G19" s="24">
        <f t="shared" si="599"/>
        <v>2475697</v>
      </c>
      <c r="H19" s="24">
        <f t="shared" si="599"/>
        <v>205452</v>
      </c>
      <c r="I19" s="25">
        <f t="shared" si="599"/>
        <v>297973</v>
      </c>
      <c r="J19" s="26">
        <f t="shared" si="599"/>
        <v>528353</v>
      </c>
      <c r="K19" s="26">
        <f t="shared" si="599"/>
        <v>3683996.5592383719</v>
      </c>
      <c r="L19" s="27">
        <f t="shared" si="598"/>
        <v>0.7949237707876784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594"/>
        <v>0</v>
      </c>
      <c r="S19" s="35">
        <f t="shared" si="595"/>
        <v>2773670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15004D-0039-4EA7-A921-00D100B20089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CC00A6-0093-49F9-B84C-00CA00DE002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2C00D9-0009-4FB2-9E2B-00930031009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E3007E-0063-4359-825F-001D00E7002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B600D2-0081-4688-B52E-0033004F001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C60025-0080-4030-9111-00D9009C005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E4008F-0000-44C2-8DA9-002600B900B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250023-006F-4A10-95B2-00F100AC00E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3700FC-00B4-43D8-961E-00E2005700B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070046-00B6-4456-BAA4-009000D6005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540015-00F9-476D-BCD2-006A006D006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3300DB-00B8-4675-AF4A-0094000600A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C2001E-0076-4B71-834E-007A00BD000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24" activeCellId="0" sqref="I24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124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600">C3*D3</f>
        <v>1044055.9231426805</v>
      </c>
      <c r="F3" s="13">
        <v>0</v>
      </c>
      <c r="G3" s="44">
        <v>372079</v>
      </c>
      <c r="H3" s="13">
        <v>186208</v>
      </c>
      <c r="I3" s="16">
        <f t="shared" ref="I3:I18" si="601">F3+H3</f>
        <v>186208</v>
      </c>
      <c r="J3" s="17">
        <f t="shared" ref="J3:J18" si="602">C3-G3</f>
        <v>-11111</v>
      </c>
      <c r="K3" s="18">
        <f t="shared" ref="K3:K17" si="603">+G3*D3</f>
        <v>1076193.1357544311</v>
      </c>
      <c r="L3" s="19">
        <f t="shared" ref="L3:L11" si="604">K3/E3</f>
        <v>1.0307811218722991</v>
      </c>
      <c r="M3" s="34">
        <v>0</v>
      </c>
      <c r="N3" s="34">
        <v>0</v>
      </c>
      <c r="O3" s="34">
        <v>0</v>
      </c>
      <c r="P3" s="34">
        <v>133000</v>
      </c>
      <c r="Q3" s="34">
        <v>0</v>
      </c>
      <c r="R3" s="34">
        <f t="shared" ref="R3:R19" si="605">M3+N3+O3+P3+Q3</f>
        <v>133000</v>
      </c>
      <c r="S3" s="35">
        <f t="shared" ref="S3:S19" si="606">G3+I3+R3</f>
        <v>691287</v>
      </c>
      <c r="T3" s="35">
        <f t="shared" ref="T3:T18" si="607">S3-C3</f>
        <v>330319</v>
      </c>
      <c r="U3" s="19">
        <f t="shared" ref="U3:U18" si="608">S3/C3</f>
        <v>1.9150921965381973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600"/>
        <v>826416.08085231704</v>
      </c>
      <c r="F4" s="13">
        <v>0</v>
      </c>
      <c r="G4" s="13">
        <v>565267</v>
      </c>
      <c r="H4" s="13">
        <v>0</v>
      </c>
      <c r="I4" s="16">
        <f t="shared" si="601"/>
        <v>0</v>
      </c>
      <c r="J4" s="17">
        <f t="shared" si="602"/>
        <v>69006</v>
      </c>
      <c r="K4" s="18">
        <f t="shared" si="603"/>
        <v>736505.79289225093</v>
      </c>
      <c r="L4" s="19">
        <f t="shared" si="604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605"/>
        <v>0</v>
      </c>
      <c r="S4" s="35">
        <f t="shared" si="606"/>
        <v>565267</v>
      </c>
      <c r="T4" s="35">
        <f t="shared" si="607"/>
        <v>-69006</v>
      </c>
      <c r="U4" s="19">
        <f t="shared" si="608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00"/>
        <v>0</v>
      </c>
      <c r="F5" s="13">
        <v>0</v>
      </c>
      <c r="G5" s="13">
        <v>0</v>
      </c>
      <c r="H5" s="13">
        <v>0</v>
      </c>
      <c r="I5" s="16">
        <f t="shared" si="601"/>
        <v>0</v>
      </c>
      <c r="J5" s="17">
        <f t="shared" si="602"/>
        <v>0</v>
      </c>
      <c r="K5" s="18">
        <f t="shared" si="603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605"/>
        <v>0</v>
      </c>
      <c r="S5" s="35">
        <f t="shared" si="606"/>
        <v>0</v>
      </c>
      <c r="T5" s="35">
        <f t="shared" si="607"/>
        <v>0</v>
      </c>
      <c r="U5" s="19" t="e">
        <f t="shared" si="608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600"/>
        <v>534559.93227682635</v>
      </c>
      <c r="F6" s="13">
        <v>0</v>
      </c>
      <c r="G6" s="44">
        <v>361658</v>
      </c>
      <c r="H6" s="44">
        <v>0</v>
      </c>
      <c r="I6" s="16">
        <f t="shared" si="601"/>
        <v>0</v>
      </c>
      <c r="J6" s="17">
        <f t="shared" si="602"/>
        <v>106012</v>
      </c>
      <c r="K6" s="18">
        <f t="shared" si="603"/>
        <v>413385.24170327891</v>
      </c>
      <c r="L6" s="19">
        <f t="shared" si="604"/>
        <v>0.77331879316612129</v>
      </c>
      <c r="M6" s="34">
        <v>0</v>
      </c>
      <c r="N6" s="34">
        <v>0</v>
      </c>
      <c r="O6" s="34">
        <v>0</v>
      </c>
      <c r="P6" s="55">
        <v>189000</v>
      </c>
      <c r="Q6" s="34">
        <v>0</v>
      </c>
      <c r="R6" s="34">
        <f t="shared" si="605"/>
        <v>189000</v>
      </c>
      <c r="S6" s="35">
        <f t="shared" si="606"/>
        <v>550658</v>
      </c>
      <c r="T6" s="35">
        <f t="shared" si="607"/>
        <v>82988</v>
      </c>
      <c r="U6" s="19">
        <f t="shared" si="608"/>
        <v>1.1774499112622148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600"/>
        <v>225239.75281577196</v>
      </c>
      <c r="F7" s="13">
        <v>89023</v>
      </c>
      <c r="G7" s="13">
        <v>355140</v>
      </c>
      <c r="H7" s="13">
        <v>0</v>
      </c>
      <c r="I7" s="16">
        <f t="shared" si="601"/>
        <v>89023</v>
      </c>
      <c r="J7" s="17">
        <f t="shared" si="602"/>
        <v>0</v>
      </c>
      <c r="K7" s="18">
        <f t="shared" si="603"/>
        <v>225239.75281577196</v>
      </c>
      <c r="L7" s="19">
        <f t="shared" si="604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605"/>
        <v>0</v>
      </c>
      <c r="S7" s="35">
        <f t="shared" si="606"/>
        <v>444163</v>
      </c>
      <c r="T7" s="35">
        <f t="shared" si="607"/>
        <v>89023</v>
      </c>
      <c r="U7" s="19">
        <f t="shared" si="608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600"/>
        <v>352983.79200370744</v>
      </c>
      <c r="F8" s="44">
        <v>0</v>
      </c>
      <c r="G8" s="13">
        <v>395203</v>
      </c>
      <c r="H8" s="44">
        <v>0</v>
      </c>
      <c r="I8" s="16">
        <f t="shared" si="601"/>
        <v>0</v>
      </c>
      <c r="J8" s="17">
        <f t="shared" si="602"/>
        <v>-158</v>
      </c>
      <c r="K8" s="18">
        <f t="shared" si="603"/>
        <v>353124.96943700389</v>
      </c>
      <c r="L8" s="19">
        <f t="shared" si="604"/>
        <v>1.0003999544355706</v>
      </c>
      <c r="M8" s="34">
        <v>0</v>
      </c>
      <c r="N8" s="34">
        <v>0</v>
      </c>
      <c r="O8" s="34">
        <v>0</v>
      </c>
      <c r="P8" s="34">
        <v>261000</v>
      </c>
      <c r="Q8" s="34">
        <v>0</v>
      </c>
      <c r="R8" s="34">
        <f t="shared" si="605"/>
        <v>261000</v>
      </c>
      <c r="S8" s="35">
        <f t="shared" si="606"/>
        <v>656203</v>
      </c>
      <c r="T8" s="35">
        <f t="shared" si="607"/>
        <v>261158</v>
      </c>
      <c r="U8" s="19">
        <f t="shared" si="608"/>
        <v>1.6610841802832588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600"/>
        <v>165804.5147316771</v>
      </c>
      <c r="F9" s="13">
        <v>0</v>
      </c>
      <c r="G9" s="13">
        <v>0</v>
      </c>
      <c r="H9" s="13">
        <v>0</v>
      </c>
      <c r="I9" s="16">
        <f t="shared" si="601"/>
        <v>0</v>
      </c>
      <c r="J9" s="17">
        <f t="shared" si="602"/>
        <v>155200</v>
      </c>
      <c r="K9" s="18">
        <f t="shared" si="603"/>
        <v>0</v>
      </c>
      <c r="L9" s="19">
        <f t="shared" si="604"/>
        <v>0</v>
      </c>
      <c r="M9" s="34">
        <v>0</v>
      </c>
      <c r="N9" s="34">
        <v>0</v>
      </c>
      <c r="O9" s="34">
        <v>0</v>
      </c>
      <c r="P9" s="55">
        <v>160000</v>
      </c>
      <c r="Q9" s="34">
        <v>0</v>
      </c>
      <c r="R9" s="34">
        <f t="shared" si="605"/>
        <v>160000</v>
      </c>
      <c r="S9" s="35">
        <f t="shared" si="606"/>
        <v>160000</v>
      </c>
      <c r="T9" s="35">
        <f t="shared" si="607"/>
        <v>4800</v>
      </c>
      <c r="U9" s="19">
        <f t="shared" si="608"/>
        <v>1.0309278350515463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600"/>
        <v>1084839.0294190629</v>
      </c>
      <c r="F10" s="13">
        <v>0</v>
      </c>
      <c r="G10" s="13">
        <v>483155</v>
      </c>
      <c r="H10" s="13">
        <v>0</v>
      </c>
      <c r="I10" s="16">
        <f t="shared" si="601"/>
        <v>0</v>
      </c>
      <c r="J10" s="17">
        <f t="shared" si="602"/>
        <v>16845</v>
      </c>
      <c r="K10" s="18">
        <f t="shared" si="603"/>
        <v>1048290.8025179346</v>
      </c>
      <c r="L10" s="19">
        <f t="shared" si="604"/>
        <v>0.96630999999999989</v>
      </c>
      <c r="M10" s="34">
        <v>0</v>
      </c>
      <c r="N10" s="34">
        <v>0</v>
      </c>
      <c r="O10" s="34">
        <v>0</v>
      </c>
      <c r="P10" s="34">
        <v>80000</v>
      </c>
      <c r="Q10" s="34">
        <v>0</v>
      </c>
      <c r="R10" s="34">
        <f t="shared" si="605"/>
        <v>80000</v>
      </c>
      <c r="S10" s="35">
        <f t="shared" si="606"/>
        <v>563155</v>
      </c>
      <c r="T10" s="35">
        <f t="shared" si="607"/>
        <v>63155</v>
      </c>
      <c r="U10" s="19">
        <f t="shared" si="608"/>
        <v>1.1263099999999999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600"/>
        <v>172214.50222855783</v>
      </c>
      <c r="F11" s="13">
        <v>0</v>
      </c>
      <c r="G11" s="13">
        <v>74005</v>
      </c>
      <c r="H11" s="13">
        <v>0</v>
      </c>
      <c r="I11" s="16">
        <f t="shared" si="601"/>
        <v>0</v>
      </c>
      <c r="J11" s="17">
        <f t="shared" si="602"/>
        <v>36749</v>
      </c>
      <c r="K11" s="18">
        <f t="shared" si="603"/>
        <v>115072.45099431553</v>
      </c>
      <c r="L11" s="19">
        <f t="shared" si="604"/>
        <v>0.66819257092294637</v>
      </c>
      <c r="M11" s="34">
        <v>0</v>
      </c>
      <c r="N11" s="34">
        <v>0</v>
      </c>
      <c r="O11" s="34">
        <v>0</v>
      </c>
      <c r="P11" s="55">
        <v>38000</v>
      </c>
      <c r="Q11" s="34">
        <v>0</v>
      </c>
      <c r="R11" s="34">
        <f t="shared" si="605"/>
        <v>38000</v>
      </c>
      <c r="S11" s="35">
        <f t="shared" si="606"/>
        <v>112005</v>
      </c>
      <c r="T11" s="35">
        <f t="shared" si="607"/>
        <v>1251</v>
      </c>
      <c r="U11" s="19">
        <f t="shared" si="608"/>
        <v>1.0112953031041769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00"/>
        <v>0</v>
      </c>
      <c r="F12" s="13">
        <v>0</v>
      </c>
      <c r="G12" s="13">
        <v>0</v>
      </c>
      <c r="H12" s="13">
        <v>0</v>
      </c>
      <c r="I12" s="16">
        <f t="shared" si="601"/>
        <v>0</v>
      </c>
      <c r="J12" s="17">
        <f t="shared" si="602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05"/>
        <v>0</v>
      </c>
      <c r="S12" s="35">
        <f t="shared" si="606"/>
        <v>0</v>
      </c>
      <c r="T12" s="35">
        <f t="shared" si="607"/>
        <v>0</v>
      </c>
      <c r="U12" s="19" t="e">
        <f t="shared" si="608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600"/>
        <v>0</v>
      </c>
      <c r="F13" s="13">
        <v>3464</v>
      </c>
      <c r="G13" s="13">
        <v>0</v>
      </c>
      <c r="H13" s="13">
        <v>0</v>
      </c>
      <c r="I13" s="16">
        <f t="shared" si="601"/>
        <v>3464</v>
      </c>
      <c r="J13" s="17">
        <f t="shared" si="602"/>
        <v>0</v>
      </c>
      <c r="K13" s="18">
        <f t="shared" si="603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05"/>
        <v>0</v>
      </c>
      <c r="S13" s="35">
        <f t="shared" si="606"/>
        <v>3464</v>
      </c>
      <c r="T13" s="35">
        <f t="shared" si="607"/>
        <v>3464</v>
      </c>
      <c r="U13" s="19" t="e">
        <f t="shared" si="608"/>
        <v>#DIV/0!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00"/>
        <v>138900</v>
      </c>
      <c r="F14" s="13">
        <v>0</v>
      </c>
      <c r="G14" s="13">
        <v>0</v>
      </c>
      <c r="H14" s="13">
        <v>0</v>
      </c>
      <c r="I14" s="16">
        <f t="shared" si="601"/>
        <v>0</v>
      </c>
      <c r="J14" s="17">
        <f t="shared" si="602"/>
        <v>15000</v>
      </c>
      <c r="K14" s="18">
        <f t="shared" si="60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05"/>
        <v>0</v>
      </c>
      <c r="S14" s="35">
        <f t="shared" si="606"/>
        <v>0</v>
      </c>
      <c r="T14" s="35">
        <f t="shared" si="607"/>
        <v>-15000</v>
      </c>
      <c r="U14" s="19">
        <f t="shared" si="608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00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602"/>
        <v>10000</v>
      </c>
      <c r="K15" s="18">
        <f t="shared" si="60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05"/>
        <v>0</v>
      </c>
      <c r="S15" s="35">
        <f t="shared" si="606"/>
        <v>34</v>
      </c>
      <c r="T15" s="35">
        <f t="shared" si="607"/>
        <v>-9966</v>
      </c>
      <c r="U15" s="19">
        <f t="shared" si="608"/>
        <v>0.0033999999999999998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00"/>
        <v>0</v>
      </c>
      <c r="F16" s="13">
        <v>0</v>
      </c>
      <c r="G16" s="13">
        <v>0</v>
      </c>
      <c r="H16" s="13">
        <v>0</v>
      </c>
      <c r="I16" s="16">
        <f t="shared" si="601"/>
        <v>0</v>
      </c>
      <c r="J16" s="17">
        <f t="shared" si="602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05"/>
        <v>0</v>
      </c>
      <c r="S16" s="35">
        <f t="shared" si="606"/>
        <v>0</v>
      </c>
      <c r="T16" s="35">
        <f t="shared" si="607"/>
        <v>0</v>
      </c>
      <c r="U16" s="19" t="e">
        <f t="shared" si="608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00"/>
        <v>0</v>
      </c>
      <c r="F17" s="13">
        <v>0</v>
      </c>
      <c r="G17" s="13">
        <v>0</v>
      </c>
      <c r="H17" s="13">
        <v>0</v>
      </c>
      <c r="I17" s="16">
        <f t="shared" si="601"/>
        <v>0</v>
      </c>
      <c r="J17" s="17">
        <f t="shared" si="602"/>
        <v>0</v>
      </c>
      <c r="K17" s="18">
        <f t="shared" si="603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05"/>
        <v>0</v>
      </c>
      <c r="S17" s="35">
        <f t="shared" si="606"/>
        <v>0</v>
      </c>
      <c r="T17" s="35">
        <f t="shared" si="607"/>
        <v>0</v>
      </c>
      <c r="U17" s="19" t="e">
        <f t="shared" si="608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00"/>
        <v>0</v>
      </c>
      <c r="F18" s="13">
        <v>0</v>
      </c>
      <c r="G18" s="13">
        <v>0</v>
      </c>
      <c r="H18" s="13">
        <v>0</v>
      </c>
      <c r="I18" s="16">
        <f t="shared" si="601"/>
        <v>0</v>
      </c>
      <c r="J18" s="17">
        <f t="shared" si="602"/>
        <v>0</v>
      </c>
      <c r="K18" s="18">
        <f>+G18*D18</f>
        <v>0</v>
      </c>
      <c r="L18" s="19" t="e">
        <f t="shared" ref="L18:L19" si="609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05"/>
        <v>0</v>
      </c>
      <c r="S18" s="35">
        <f t="shared" si="606"/>
        <v>0</v>
      </c>
      <c r="T18" s="35">
        <f t="shared" si="607"/>
        <v>0</v>
      </c>
      <c r="U18" s="19" t="e">
        <f t="shared" si="608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610">SUM(E3:E18)</f>
        <v>4634402.3095295709</v>
      </c>
      <c r="F19" s="24">
        <f t="shared" si="610"/>
        <v>92487</v>
      </c>
      <c r="G19" s="24">
        <f t="shared" si="610"/>
        <v>2606507</v>
      </c>
      <c r="H19" s="24">
        <f t="shared" si="610"/>
        <v>186208</v>
      </c>
      <c r="I19" s="25">
        <f t="shared" si="610"/>
        <v>278729</v>
      </c>
      <c r="J19" s="26">
        <f t="shared" si="610"/>
        <v>397543</v>
      </c>
      <c r="K19" s="26">
        <f t="shared" si="610"/>
        <v>3967812.1461149873</v>
      </c>
      <c r="L19" s="27">
        <f t="shared" si="609"/>
        <v>0.85616480424155328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05"/>
        <v>0</v>
      </c>
      <c r="S19" s="35">
        <f t="shared" si="606"/>
        <v>2885236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D400A9-0089-4565-8888-004200AF004C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B300B7-001B-460D-8F62-0005001300F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1200CA-0044-4603-BF13-0069004B002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070035-0018-46BB-B5CD-00F90044000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F70000-0053-4701-AB3A-00AA007800C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420027-0011-4120-AC0C-005A0005006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D60072-00A3-4BD4-9ED7-00D90090005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4B00AA-007F-4F84-A6C5-004A006C00E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0F00EF-0077-46A8-9A68-0077005400F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B700DF-00AA-415A-8503-00830049007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4300E5-0089-4C5B-A8DB-001700B8003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A600C4-0091-4EAE-BB0D-00E6002F00F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2F009C-008E-46B2-BA60-009E003B00E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14" activeCellId="0" sqref="H14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125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611">C3*D3</f>
        <v>1044055.9231426805</v>
      </c>
      <c r="F3" s="13">
        <v>18504</v>
      </c>
      <c r="G3" s="44">
        <v>483645</v>
      </c>
      <c r="H3" s="13">
        <v>74642</v>
      </c>
      <c r="I3" s="16">
        <f t="shared" ref="I3:I18" si="612">F3+H3</f>
        <v>93146</v>
      </c>
      <c r="J3" s="17">
        <f t="shared" ref="J3:J18" si="613">C3-G3</f>
        <v>-122677</v>
      </c>
      <c r="K3" s="18">
        <f t="shared" ref="K3:K17" si="614">+G3*D3</f>
        <v>1398884.1862667655</v>
      </c>
      <c r="L3" s="19">
        <f t="shared" ref="L3:L11" si="615">K3/E3</f>
        <v>1.3398556104696262</v>
      </c>
      <c r="M3" s="34">
        <v>0</v>
      </c>
      <c r="N3" s="34">
        <v>0</v>
      </c>
      <c r="O3" s="34">
        <v>0</v>
      </c>
      <c r="P3" s="34">
        <v>133000</v>
      </c>
      <c r="Q3" s="34">
        <v>0</v>
      </c>
      <c r="R3" s="34">
        <f t="shared" ref="R3:R19" si="616">M3+N3+O3+P3+Q3</f>
        <v>133000</v>
      </c>
      <c r="S3" s="35">
        <f t="shared" ref="S3:S19" si="617">G3+I3+R3</f>
        <v>709791</v>
      </c>
      <c r="T3" s="35">
        <f t="shared" ref="T3:T18" si="618">S3-C3</f>
        <v>348823</v>
      </c>
      <c r="U3" s="19">
        <f t="shared" ref="U3:U18" si="619">S3/C3</f>
        <v>1.9663543582810665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611"/>
        <v>826416.08085231704</v>
      </c>
      <c r="F4" s="13">
        <v>0</v>
      </c>
      <c r="G4" s="13">
        <v>565267</v>
      </c>
      <c r="H4" s="13">
        <v>0</v>
      </c>
      <c r="I4" s="16">
        <f t="shared" si="612"/>
        <v>0</v>
      </c>
      <c r="J4" s="17">
        <f t="shared" si="613"/>
        <v>69006</v>
      </c>
      <c r="K4" s="18">
        <f t="shared" si="614"/>
        <v>736505.79289225093</v>
      </c>
      <c r="L4" s="19">
        <f t="shared" si="615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616"/>
        <v>0</v>
      </c>
      <c r="S4" s="35">
        <f t="shared" si="617"/>
        <v>565267</v>
      </c>
      <c r="T4" s="35">
        <f t="shared" si="618"/>
        <v>-69006</v>
      </c>
      <c r="U4" s="19">
        <f t="shared" si="619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11"/>
        <v>0</v>
      </c>
      <c r="F5" s="13">
        <v>0</v>
      </c>
      <c r="G5" s="13">
        <v>0</v>
      </c>
      <c r="H5" s="13">
        <v>0</v>
      </c>
      <c r="I5" s="16">
        <f t="shared" si="612"/>
        <v>0</v>
      </c>
      <c r="J5" s="17">
        <f t="shared" si="613"/>
        <v>0</v>
      </c>
      <c r="K5" s="18">
        <f t="shared" si="614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616"/>
        <v>0</v>
      </c>
      <c r="S5" s="35">
        <f t="shared" si="617"/>
        <v>0</v>
      </c>
      <c r="T5" s="35">
        <f t="shared" si="618"/>
        <v>0</v>
      </c>
      <c r="U5" s="19" t="e">
        <f t="shared" si="619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611"/>
        <v>534559.93227682635</v>
      </c>
      <c r="F6" s="13">
        <v>126842</v>
      </c>
      <c r="G6" s="44">
        <v>361658</v>
      </c>
      <c r="H6" s="44">
        <v>0</v>
      </c>
      <c r="I6" s="16">
        <f t="shared" si="612"/>
        <v>126842</v>
      </c>
      <c r="J6" s="17">
        <f t="shared" si="613"/>
        <v>106012</v>
      </c>
      <c r="K6" s="18">
        <f t="shared" si="614"/>
        <v>413385.24170327891</v>
      </c>
      <c r="L6" s="19">
        <f t="shared" si="615"/>
        <v>0.77331879316612129</v>
      </c>
      <c r="M6" s="34">
        <v>0</v>
      </c>
      <c r="N6" s="34">
        <v>0</v>
      </c>
      <c r="O6" s="34">
        <v>0</v>
      </c>
      <c r="P6" s="55">
        <v>189000</v>
      </c>
      <c r="Q6" s="34">
        <v>0</v>
      </c>
      <c r="R6" s="34">
        <f t="shared" si="616"/>
        <v>189000</v>
      </c>
      <c r="S6" s="35">
        <f t="shared" si="617"/>
        <v>677500</v>
      </c>
      <c r="T6" s="35">
        <f t="shared" si="618"/>
        <v>209830</v>
      </c>
      <c r="U6" s="19">
        <f t="shared" si="619"/>
        <v>1.4486710714820279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611"/>
        <v>225239.75281577196</v>
      </c>
      <c r="F7" s="13">
        <v>89023</v>
      </c>
      <c r="G7" s="13">
        <v>355140</v>
      </c>
      <c r="H7" s="13">
        <v>0</v>
      </c>
      <c r="I7" s="16">
        <f t="shared" si="612"/>
        <v>89023</v>
      </c>
      <c r="J7" s="17">
        <f t="shared" si="613"/>
        <v>0</v>
      </c>
      <c r="K7" s="18">
        <f t="shared" si="614"/>
        <v>225239.75281577196</v>
      </c>
      <c r="L7" s="19">
        <f t="shared" si="615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616"/>
        <v>0</v>
      </c>
      <c r="S7" s="35">
        <f t="shared" si="617"/>
        <v>444163</v>
      </c>
      <c r="T7" s="35">
        <f t="shared" si="618"/>
        <v>89023</v>
      </c>
      <c r="U7" s="19">
        <f t="shared" si="619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611"/>
        <v>352983.79200370744</v>
      </c>
      <c r="F8" s="44">
        <v>0</v>
      </c>
      <c r="G8" s="13">
        <v>395203</v>
      </c>
      <c r="H8" s="44">
        <v>0</v>
      </c>
      <c r="I8" s="16">
        <f t="shared" si="612"/>
        <v>0</v>
      </c>
      <c r="J8" s="17">
        <f t="shared" si="613"/>
        <v>-158</v>
      </c>
      <c r="K8" s="18">
        <f t="shared" si="614"/>
        <v>353124.96943700389</v>
      </c>
      <c r="L8" s="19">
        <f t="shared" si="615"/>
        <v>1.0003999544355706</v>
      </c>
      <c r="M8" s="34">
        <v>0</v>
      </c>
      <c r="N8" s="34">
        <v>0</v>
      </c>
      <c r="O8" s="34">
        <v>0</v>
      </c>
      <c r="P8" s="34">
        <v>261000</v>
      </c>
      <c r="Q8" s="34">
        <v>0</v>
      </c>
      <c r="R8" s="34">
        <f t="shared" si="616"/>
        <v>261000</v>
      </c>
      <c r="S8" s="35">
        <f t="shared" si="617"/>
        <v>656203</v>
      </c>
      <c r="T8" s="35">
        <f t="shared" si="618"/>
        <v>261158</v>
      </c>
      <c r="U8" s="19">
        <f t="shared" si="619"/>
        <v>1.6610841802832588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611"/>
        <v>165804.5147316771</v>
      </c>
      <c r="F9" s="13">
        <v>34750</v>
      </c>
      <c r="G9" s="13">
        <v>119000</v>
      </c>
      <c r="H9" s="13">
        <v>0</v>
      </c>
      <c r="I9" s="16">
        <f t="shared" si="612"/>
        <v>34750</v>
      </c>
      <c r="J9" s="17">
        <f t="shared" si="613"/>
        <v>36200</v>
      </c>
      <c r="K9" s="18">
        <f t="shared" si="614"/>
        <v>127131.03900173695</v>
      </c>
      <c r="L9" s="19">
        <f t="shared" si="615"/>
        <v>0.76675257731958757</v>
      </c>
      <c r="M9" s="34">
        <v>0</v>
      </c>
      <c r="N9" s="34">
        <v>0</v>
      </c>
      <c r="O9" s="34">
        <v>0</v>
      </c>
      <c r="P9" s="55">
        <v>160000</v>
      </c>
      <c r="Q9" s="34">
        <v>0</v>
      </c>
      <c r="R9" s="34">
        <f t="shared" si="616"/>
        <v>160000</v>
      </c>
      <c r="S9" s="35">
        <f t="shared" si="617"/>
        <v>313750</v>
      </c>
      <c r="T9" s="35">
        <f t="shared" si="618"/>
        <v>158550</v>
      </c>
      <c r="U9" s="19">
        <f t="shared" si="619"/>
        <v>2.0215850515463916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611"/>
        <v>1084839.0294190629</v>
      </c>
      <c r="F10" s="13">
        <v>0</v>
      </c>
      <c r="G10" s="13">
        <v>483155</v>
      </c>
      <c r="H10" s="13">
        <v>0</v>
      </c>
      <c r="I10" s="16">
        <f t="shared" si="612"/>
        <v>0</v>
      </c>
      <c r="J10" s="17">
        <f t="shared" si="613"/>
        <v>16845</v>
      </c>
      <c r="K10" s="18">
        <f t="shared" si="614"/>
        <v>1048290.8025179346</v>
      </c>
      <c r="L10" s="19">
        <f t="shared" si="615"/>
        <v>0.96630999999999989</v>
      </c>
      <c r="M10" s="34">
        <v>0</v>
      </c>
      <c r="N10" s="34">
        <v>0</v>
      </c>
      <c r="O10" s="34">
        <v>0</v>
      </c>
      <c r="P10" s="34">
        <v>80000</v>
      </c>
      <c r="Q10" s="34">
        <v>0</v>
      </c>
      <c r="R10" s="34">
        <f t="shared" si="616"/>
        <v>80000</v>
      </c>
      <c r="S10" s="35">
        <f t="shared" si="617"/>
        <v>563155</v>
      </c>
      <c r="T10" s="35">
        <f t="shared" si="618"/>
        <v>63155</v>
      </c>
      <c r="U10" s="19">
        <f t="shared" si="619"/>
        <v>1.1263099999999999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611"/>
        <v>172214.50222855783</v>
      </c>
      <c r="F11" s="13">
        <v>0</v>
      </c>
      <c r="G11" s="13">
        <v>111265</v>
      </c>
      <c r="H11" s="13">
        <v>0</v>
      </c>
      <c r="I11" s="16">
        <f t="shared" si="612"/>
        <v>0</v>
      </c>
      <c r="J11" s="17">
        <f t="shared" si="613"/>
        <v>-511</v>
      </c>
      <c r="K11" s="18">
        <f t="shared" si="614"/>
        <v>173009.07046662411</v>
      </c>
      <c r="L11" s="19">
        <f t="shared" si="615"/>
        <v>1.0046138288459108</v>
      </c>
      <c r="M11" s="34">
        <v>0</v>
      </c>
      <c r="N11" s="34">
        <v>0</v>
      </c>
      <c r="O11" s="34">
        <v>0</v>
      </c>
      <c r="P11" s="55">
        <v>38000</v>
      </c>
      <c r="Q11" s="34">
        <v>0</v>
      </c>
      <c r="R11" s="34">
        <f t="shared" si="616"/>
        <v>38000</v>
      </c>
      <c r="S11" s="35">
        <f t="shared" si="617"/>
        <v>149265</v>
      </c>
      <c r="T11" s="35">
        <f t="shared" si="618"/>
        <v>38511</v>
      </c>
      <c r="U11" s="19">
        <f t="shared" si="619"/>
        <v>1.3477165610271413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11"/>
        <v>0</v>
      </c>
      <c r="F12" s="13">
        <v>0</v>
      </c>
      <c r="G12" s="13">
        <v>0</v>
      </c>
      <c r="H12" s="13">
        <v>0</v>
      </c>
      <c r="I12" s="16">
        <f t="shared" si="612"/>
        <v>0</v>
      </c>
      <c r="J12" s="17">
        <f t="shared" si="61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16"/>
        <v>0</v>
      </c>
      <c r="S12" s="35">
        <f t="shared" si="617"/>
        <v>0</v>
      </c>
      <c r="T12" s="35">
        <f t="shared" si="618"/>
        <v>0</v>
      </c>
      <c r="U12" s="19" t="e">
        <f t="shared" si="61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611"/>
        <v>0</v>
      </c>
      <c r="F13" s="13">
        <v>3464</v>
      </c>
      <c r="G13" s="13">
        <v>0</v>
      </c>
      <c r="H13" s="13">
        <v>0</v>
      </c>
      <c r="I13" s="16">
        <f t="shared" si="612"/>
        <v>3464</v>
      </c>
      <c r="J13" s="17">
        <f t="shared" si="613"/>
        <v>0</v>
      </c>
      <c r="K13" s="18">
        <f t="shared" si="61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16"/>
        <v>0</v>
      </c>
      <c r="S13" s="35">
        <f t="shared" si="617"/>
        <v>3464</v>
      </c>
      <c r="T13" s="35">
        <f t="shared" si="618"/>
        <v>3464</v>
      </c>
      <c r="U13" s="19" t="e">
        <f t="shared" si="619"/>
        <v>#DIV/0!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11"/>
        <v>138900</v>
      </c>
      <c r="F14" s="13">
        <v>0</v>
      </c>
      <c r="G14" s="13">
        <v>0</v>
      </c>
      <c r="H14" s="13">
        <v>0</v>
      </c>
      <c r="I14" s="16">
        <f t="shared" si="612"/>
        <v>0</v>
      </c>
      <c r="J14" s="17">
        <f t="shared" si="613"/>
        <v>15000</v>
      </c>
      <c r="K14" s="18">
        <f t="shared" si="61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16"/>
        <v>0</v>
      </c>
      <c r="S14" s="35">
        <f t="shared" si="617"/>
        <v>0</v>
      </c>
      <c r="T14" s="35">
        <f t="shared" si="618"/>
        <v>-15000</v>
      </c>
      <c r="U14" s="19">
        <f t="shared" si="619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11"/>
        <v>89388.782058969489</v>
      </c>
      <c r="F15" s="13">
        <v>0</v>
      </c>
      <c r="G15" s="13">
        <v>0</v>
      </c>
      <c r="H15" s="13">
        <v>0</v>
      </c>
      <c r="I15" s="16">
        <v>34</v>
      </c>
      <c r="J15" s="17">
        <f t="shared" si="613"/>
        <v>10000</v>
      </c>
      <c r="K15" s="18">
        <f t="shared" si="61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16"/>
        <v>0</v>
      </c>
      <c r="S15" s="35">
        <f t="shared" si="617"/>
        <v>34</v>
      </c>
      <c r="T15" s="35">
        <f t="shared" si="618"/>
        <v>-9966</v>
      </c>
      <c r="U15" s="19">
        <f t="shared" si="619"/>
        <v>0.0033999999999999998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11"/>
        <v>0</v>
      </c>
      <c r="F16" s="13">
        <v>0</v>
      </c>
      <c r="G16" s="13">
        <v>0</v>
      </c>
      <c r="H16" s="13">
        <v>0</v>
      </c>
      <c r="I16" s="16">
        <f t="shared" si="612"/>
        <v>0</v>
      </c>
      <c r="J16" s="17">
        <f t="shared" si="613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16"/>
        <v>0</v>
      </c>
      <c r="S16" s="35">
        <f t="shared" si="617"/>
        <v>0</v>
      </c>
      <c r="T16" s="35">
        <f t="shared" si="618"/>
        <v>0</v>
      </c>
      <c r="U16" s="19" t="e">
        <f t="shared" si="619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11"/>
        <v>0</v>
      </c>
      <c r="F17" s="13">
        <v>0</v>
      </c>
      <c r="G17" s="13">
        <v>0</v>
      </c>
      <c r="H17" s="13">
        <v>0</v>
      </c>
      <c r="I17" s="16">
        <f t="shared" si="612"/>
        <v>0</v>
      </c>
      <c r="J17" s="17">
        <f t="shared" si="613"/>
        <v>0</v>
      </c>
      <c r="K17" s="18">
        <f t="shared" si="614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16"/>
        <v>0</v>
      </c>
      <c r="S17" s="35">
        <f t="shared" si="617"/>
        <v>0</v>
      </c>
      <c r="T17" s="35">
        <f t="shared" si="618"/>
        <v>0</v>
      </c>
      <c r="U17" s="19" t="e">
        <f t="shared" si="619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11"/>
        <v>0</v>
      </c>
      <c r="F18" s="13">
        <v>0</v>
      </c>
      <c r="G18" s="13">
        <v>0</v>
      </c>
      <c r="H18" s="13">
        <v>0</v>
      </c>
      <c r="I18" s="16">
        <f t="shared" si="612"/>
        <v>0</v>
      </c>
      <c r="J18" s="17">
        <f t="shared" si="613"/>
        <v>0</v>
      </c>
      <c r="K18" s="18">
        <f>+G18*D18</f>
        <v>0</v>
      </c>
      <c r="L18" s="19" t="e">
        <f t="shared" ref="L18:L19" si="620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16"/>
        <v>0</v>
      </c>
      <c r="S18" s="35">
        <f t="shared" si="617"/>
        <v>0</v>
      </c>
      <c r="T18" s="35">
        <f t="shared" si="618"/>
        <v>0</v>
      </c>
      <c r="U18" s="19" t="e">
        <f t="shared" si="619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621">SUM(E3:E18)</f>
        <v>4634402.3095295709</v>
      </c>
      <c r="F19" s="24">
        <f t="shared" si="621"/>
        <v>272583</v>
      </c>
      <c r="G19" s="24">
        <f t="shared" si="621"/>
        <v>2874333</v>
      </c>
      <c r="H19" s="24">
        <f t="shared" si="621"/>
        <v>74642</v>
      </c>
      <c r="I19" s="25">
        <f t="shared" si="621"/>
        <v>347259</v>
      </c>
      <c r="J19" s="26">
        <f t="shared" si="621"/>
        <v>129717</v>
      </c>
      <c r="K19" s="26">
        <f t="shared" si="621"/>
        <v>4475570.8551013656</v>
      </c>
      <c r="L19" s="27">
        <f t="shared" si="620"/>
        <v>0.96572773708022597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16"/>
        <v>0</v>
      </c>
      <c r="S19" s="35">
        <f t="shared" si="617"/>
        <v>3221592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0300E9-00AB-45C9-AE70-00CC001F00D7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7F0002-00F7-4A89-AD33-00120000006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5F007A-00BD-4079-A526-00F800E8002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7E00DA-0089-4EA7-B433-00EC001900F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B40075-0099-4551-B76C-00B000A600A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A400A2-0074-4D7E-9401-00720087009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500035-00F3-4857-99DF-0079009A005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530032-00D5-43AB-86E0-00FB0022000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150080-003B-427C-8398-00C500E2007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C400E5-00DA-4E67-B2BA-003800F200C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5E001C-00D0-4752-8251-009A005E007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700F0-0044-4CEC-84C2-0012001700F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B300B8-00B3-41F1-BF0F-003300B6002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I9" activeCellId="0" sqref="I9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111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126</v>
      </c>
      <c r="J2" s="7" t="s">
        <v>17</v>
      </c>
      <c r="K2" s="7" t="s">
        <v>18</v>
      </c>
      <c r="L2" s="7" t="s">
        <v>19</v>
      </c>
      <c r="M2" s="53" t="s">
        <v>105</v>
      </c>
      <c r="N2" s="53" t="s">
        <v>106</v>
      </c>
      <c r="O2" s="53" t="s">
        <v>107</v>
      </c>
      <c r="P2" s="53" t="s">
        <v>108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360968</v>
      </c>
      <c r="D3" s="11">
        <v>2.8923780588381258</v>
      </c>
      <c r="E3" s="12">
        <f t="shared" ref="E3:E18" si="622">C3*D3</f>
        <v>1044055.9231426805</v>
      </c>
      <c r="F3" s="13">
        <v>18504</v>
      </c>
      <c r="G3" s="44">
        <v>483645</v>
      </c>
      <c r="H3" s="13">
        <v>74642</v>
      </c>
      <c r="I3" s="16">
        <f t="shared" ref="I3:I18" si="623">F3+H3</f>
        <v>93146</v>
      </c>
      <c r="J3" s="17">
        <f t="shared" ref="J3:J18" si="624">C3-G3</f>
        <v>-122677</v>
      </c>
      <c r="K3" s="18">
        <f t="shared" ref="K3:K17" si="625">+G3*D3</f>
        <v>1398884.1862667655</v>
      </c>
      <c r="L3" s="19">
        <f t="shared" ref="L3:L11" si="626">K3/E3</f>
        <v>1.3398556104696262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f t="shared" ref="R3:R19" si="627">M3+N3+O3+P3+Q3</f>
        <v>0</v>
      </c>
      <c r="S3" s="35">
        <f t="shared" ref="S3:S19" si="628">G3+I3+R3</f>
        <v>576791</v>
      </c>
      <c r="T3" s="35">
        <f t="shared" ref="T3:T18" si="629">S3-C3</f>
        <v>215823</v>
      </c>
      <c r="U3" s="19">
        <f t="shared" ref="U3:U18" si="630">S3/C3</f>
        <v>1.5979006449325148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622"/>
        <v>826416.08085231704</v>
      </c>
      <c r="F4" s="13">
        <v>0</v>
      </c>
      <c r="G4" s="13">
        <v>565267</v>
      </c>
      <c r="H4" s="13">
        <v>0</v>
      </c>
      <c r="I4" s="16">
        <f t="shared" si="623"/>
        <v>0</v>
      </c>
      <c r="J4" s="17">
        <f t="shared" si="624"/>
        <v>69006</v>
      </c>
      <c r="K4" s="18">
        <f t="shared" si="625"/>
        <v>736505.79289225093</v>
      </c>
      <c r="L4" s="19">
        <f t="shared" si="626"/>
        <v>0.89120457594758085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627"/>
        <v>0</v>
      </c>
      <c r="S4" s="35">
        <f t="shared" si="628"/>
        <v>565267</v>
      </c>
      <c r="T4" s="35">
        <f t="shared" si="629"/>
        <v>-69006</v>
      </c>
      <c r="U4" s="19">
        <f t="shared" si="630"/>
        <v>0.89120457594758096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22"/>
        <v>0</v>
      </c>
      <c r="F5" s="13">
        <v>0</v>
      </c>
      <c r="G5" s="13">
        <v>0</v>
      </c>
      <c r="H5" s="13">
        <v>0</v>
      </c>
      <c r="I5" s="16">
        <f t="shared" si="623"/>
        <v>0</v>
      </c>
      <c r="J5" s="17">
        <f t="shared" si="624"/>
        <v>0</v>
      </c>
      <c r="K5" s="18">
        <f t="shared" si="625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627"/>
        <v>0</v>
      </c>
      <c r="S5" s="35">
        <f t="shared" si="628"/>
        <v>0</v>
      </c>
      <c r="T5" s="35">
        <f t="shared" si="629"/>
        <v>0</v>
      </c>
      <c r="U5" s="19" t="e">
        <f t="shared" si="630"/>
        <v>#DIV/0!</v>
      </c>
    </row>
    <row r="6">
      <c r="A6" s="9" t="s">
        <v>26</v>
      </c>
      <c r="B6" s="9" t="s">
        <v>27</v>
      </c>
      <c r="C6" s="14">
        <v>467670</v>
      </c>
      <c r="D6" s="11">
        <v>1.1430280588381259</v>
      </c>
      <c r="E6" s="12">
        <f t="shared" si="622"/>
        <v>534559.93227682635</v>
      </c>
      <c r="F6" s="13">
        <v>0</v>
      </c>
      <c r="G6" s="44">
        <v>488500</v>
      </c>
      <c r="H6" s="44">
        <v>0</v>
      </c>
      <c r="I6" s="16">
        <f t="shared" si="623"/>
        <v>0</v>
      </c>
      <c r="J6" s="17">
        <f t="shared" si="624"/>
        <v>-20830</v>
      </c>
      <c r="K6" s="18">
        <f t="shared" si="625"/>
        <v>558369.20674242452</v>
      </c>
      <c r="L6" s="19">
        <f t="shared" si="626"/>
        <v>1.0445399533859345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f t="shared" si="627"/>
        <v>0</v>
      </c>
      <c r="S6" s="35">
        <f t="shared" si="628"/>
        <v>488500</v>
      </c>
      <c r="T6" s="35">
        <f t="shared" si="629"/>
        <v>20830</v>
      </c>
      <c r="U6" s="19">
        <f t="shared" si="630"/>
        <v>1.0445399533859345</v>
      </c>
    </row>
    <row r="7">
      <c r="A7" s="9" t="s">
        <v>28</v>
      </c>
      <c r="B7" s="9" t="s">
        <v>29</v>
      </c>
      <c r="C7" s="14">
        <v>355140</v>
      </c>
      <c r="D7" s="11">
        <v>0.63422805883812572</v>
      </c>
      <c r="E7" s="12">
        <f t="shared" si="622"/>
        <v>225239.75281577196</v>
      </c>
      <c r="F7" s="13">
        <v>89023</v>
      </c>
      <c r="G7" s="13">
        <v>355140</v>
      </c>
      <c r="H7" s="13">
        <v>0</v>
      </c>
      <c r="I7" s="16">
        <f t="shared" si="623"/>
        <v>89023</v>
      </c>
      <c r="J7" s="17">
        <f t="shared" si="624"/>
        <v>0</v>
      </c>
      <c r="K7" s="18">
        <f t="shared" si="625"/>
        <v>225239.75281577196</v>
      </c>
      <c r="L7" s="19">
        <f t="shared" si="626"/>
        <v>1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f t="shared" si="627"/>
        <v>0</v>
      </c>
      <c r="S7" s="35">
        <f t="shared" si="628"/>
        <v>444163</v>
      </c>
      <c r="T7" s="35">
        <f t="shared" si="629"/>
        <v>89023</v>
      </c>
      <c r="U7" s="19">
        <f t="shared" si="630"/>
        <v>1.2506701582474518</v>
      </c>
    </row>
    <row r="8">
      <c r="A8" s="9" t="s">
        <v>30</v>
      </c>
      <c r="B8" s="9" t="s">
        <v>31</v>
      </c>
      <c r="C8" s="14">
        <v>395045</v>
      </c>
      <c r="D8" s="11">
        <v>0.89352805883812592</v>
      </c>
      <c r="E8" s="12">
        <f t="shared" si="622"/>
        <v>352983.79200370744</v>
      </c>
      <c r="F8" s="44">
        <v>0</v>
      </c>
      <c r="G8" s="13">
        <v>395203</v>
      </c>
      <c r="H8" s="44">
        <v>0</v>
      </c>
      <c r="I8" s="16">
        <f t="shared" si="623"/>
        <v>0</v>
      </c>
      <c r="J8" s="17">
        <f t="shared" si="624"/>
        <v>-158</v>
      </c>
      <c r="K8" s="18">
        <f t="shared" si="625"/>
        <v>353124.96943700389</v>
      </c>
      <c r="L8" s="19">
        <f t="shared" si="626"/>
        <v>1.0003999544355706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f t="shared" si="627"/>
        <v>0</v>
      </c>
      <c r="S8" s="35">
        <f t="shared" si="628"/>
        <v>395203</v>
      </c>
      <c r="T8" s="35">
        <f t="shared" si="629"/>
        <v>158</v>
      </c>
      <c r="U8" s="19">
        <f t="shared" si="630"/>
        <v>1.0003999544355706</v>
      </c>
    </row>
    <row r="9">
      <c r="A9" s="9" t="s">
        <v>32</v>
      </c>
      <c r="B9" s="9" t="s">
        <v>33</v>
      </c>
      <c r="C9" s="14">
        <v>155200</v>
      </c>
      <c r="D9" s="11">
        <v>1.0683280588381256</v>
      </c>
      <c r="E9" s="12">
        <f t="shared" si="622"/>
        <v>165804.5147316771</v>
      </c>
      <c r="F9" s="13">
        <v>0</v>
      </c>
      <c r="G9" s="13">
        <v>153750</v>
      </c>
      <c r="H9" s="13">
        <v>0</v>
      </c>
      <c r="I9" s="16">
        <f t="shared" si="623"/>
        <v>0</v>
      </c>
      <c r="J9" s="17">
        <f t="shared" si="624"/>
        <v>1450</v>
      </c>
      <c r="K9" s="18">
        <f t="shared" si="625"/>
        <v>164255.43904636183</v>
      </c>
      <c r="L9" s="19">
        <f t="shared" si="626"/>
        <v>0.99065721649484539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f t="shared" si="627"/>
        <v>0</v>
      </c>
      <c r="S9" s="35">
        <f t="shared" si="628"/>
        <v>153750</v>
      </c>
      <c r="T9" s="35">
        <f t="shared" si="629"/>
        <v>-1450</v>
      </c>
      <c r="U9" s="19">
        <f t="shared" si="630"/>
        <v>0.99065721649484539</v>
      </c>
    </row>
    <row r="10">
      <c r="A10" s="9" t="s">
        <v>34</v>
      </c>
      <c r="B10" s="9" t="s">
        <v>35</v>
      </c>
      <c r="C10" s="14">
        <v>500000</v>
      </c>
      <c r="D10" s="11">
        <v>2.1696780588381257</v>
      </c>
      <c r="E10" s="12">
        <f t="shared" si="622"/>
        <v>1084839.0294190629</v>
      </c>
      <c r="F10" s="13">
        <v>0</v>
      </c>
      <c r="G10" s="13">
        <v>483155</v>
      </c>
      <c r="H10" s="13">
        <v>0</v>
      </c>
      <c r="I10" s="16">
        <f t="shared" si="623"/>
        <v>0</v>
      </c>
      <c r="J10" s="17">
        <f t="shared" si="624"/>
        <v>16845</v>
      </c>
      <c r="K10" s="18">
        <f t="shared" si="625"/>
        <v>1048290.8025179346</v>
      </c>
      <c r="L10" s="19">
        <f t="shared" si="626"/>
        <v>0.96630999999999989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f t="shared" si="627"/>
        <v>0</v>
      </c>
      <c r="S10" s="35">
        <f t="shared" si="628"/>
        <v>483155</v>
      </c>
      <c r="T10" s="35">
        <f t="shared" si="629"/>
        <v>-16845</v>
      </c>
      <c r="U10" s="19">
        <f t="shared" si="630"/>
        <v>0.96631</v>
      </c>
    </row>
    <row r="11">
      <c r="A11" s="9" t="s">
        <v>36</v>
      </c>
      <c r="B11" s="9" t="s">
        <v>37</v>
      </c>
      <c r="C11" s="14">
        <v>110754</v>
      </c>
      <c r="D11" s="11">
        <v>1.5549280588381262</v>
      </c>
      <c r="E11" s="12">
        <f t="shared" si="622"/>
        <v>172214.50222855783</v>
      </c>
      <c r="F11" s="13">
        <v>0</v>
      </c>
      <c r="G11" s="13">
        <v>111265</v>
      </c>
      <c r="H11" s="13">
        <v>0</v>
      </c>
      <c r="I11" s="16">
        <f t="shared" si="623"/>
        <v>0</v>
      </c>
      <c r="J11" s="17">
        <f t="shared" si="624"/>
        <v>-511</v>
      </c>
      <c r="K11" s="18">
        <f t="shared" si="625"/>
        <v>173009.07046662411</v>
      </c>
      <c r="L11" s="19">
        <f t="shared" si="626"/>
        <v>1.0046138288459108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627"/>
        <v>0</v>
      </c>
      <c r="S11" s="35">
        <f t="shared" si="628"/>
        <v>111265</v>
      </c>
      <c r="T11" s="35">
        <f t="shared" si="629"/>
        <v>511</v>
      </c>
      <c r="U11" s="19">
        <f t="shared" si="630"/>
        <v>1.0046138288459108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22"/>
        <v>0</v>
      </c>
      <c r="F12" s="13">
        <v>0</v>
      </c>
      <c r="G12" s="13">
        <v>0</v>
      </c>
      <c r="H12" s="13">
        <v>0</v>
      </c>
      <c r="I12" s="16">
        <f t="shared" si="623"/>
        <v>0</v>
      </c>
      <c r="J12" s="17">
        <f t="shared" si="624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27"/>
        <v>0</v>
      </c>
      <c r="S12" s="35">
        <f t="shared" si="628"/>
        <v>0</v>
      </c>
      <c r="T12" s="35">
        <f t="shared" si="629"/>
        <v>0</v>
      </c>
      <c r="U12" s="19" t="e">
        <f t="shared" si="630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622"/>
        <v>0</v>
      </c>
      <c r="F13" s="13">
        <v>3464</v>
      </c>
      <c r="G13" s="13">
        <v>0</v>
      </c>
      <c r="H13" s="13">
        <v>0</v>
      </c>
      <c r="I13" s="16">
        <f>F13+H13</f>
        <v>3464</v>
      </c>
      <c r="J13" s="17">
        <f t="shared" si="624"/>
        <v>0</v>
      </c>
      <c r="K13" s="18">
        <f t="shared" si="625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27"/>
        <v>0</v>
      </c>
      <c r="S13" s="35">
        <f t="shared" si="628"/>
        <v>3464</v>
      </c>
      <c r="T13" s="35">
        <f t="shared" si="629"/>
        <v>3464</v>
      </c>
      <c r="U13" s="19" t="e">
        <f t="shared" si="630"/>
        <v>#DIV/0!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22"/>
        <v>138900</v>
      </c>
      <c r="F14" s="13">
        <v>0</v>
      </c>
      <c r="G14" s="13">
        <v>0</v>
      </c>
      <c r="H14" s="13">
        <v>0</v>
      </c>
      <c r="I14" s="16">
        <f t="shared" si="623"/>
        <v>0</v>
      </c>
      <c r="J14" s="17">
        <f t="shared" si="624"/>
        <v>15000</v>
      </c>
      <c r="K14" s="18">
        <f t="shared" si="625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27"/>
        <v>0</v>
      </c>
      <c r="S14" s="35">
        <f t="shared" si="628"/>
        <v>0</v>
      </c>
      <c r="T14" s="35">
        <f t="shared" si="629"/>
        <v>-15000</v>
      </c>
      <c r="U14" s="19">
        <f t="shared" si="630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22"/>
        <v>89388.782058969489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624"/>
        <v>10000</v>
      </c>
      <c r="K15" s="18">
        <f t="shared" si="625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27"/>
        <v>0</v>
      </c>
      <c r="S15" s="35">
        <f t="shared" si="628"/>
        <v>0</v>
      </c>
      <c r="T15" s="35">
        <f t="shared" si="629"/>
        <v>-10000</v>
      </c>
      <c r="U15" s="19">
        <f t="shared" si="630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22"/>
        <v>0</v>
      </c>
      <c r="F16" s="13">
        <v>0</v>
      </c>
      <c r="G16" s="13">
        <v>0</v>
      </c>
      <c r="H16" s="13">
        <v>0</v>
      </c>
      <c r="I16" s="16">
        <f t="shared" si="623"/>
        <v>0</v>
      </c>
      <c r="J16" s="17">
        <f t="shared" si="624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27"/>
        <v>0</v>
      </c>
      <c r="S16" s="35">
        <f t="shared" si="628"/>
        <v>0</v>
      </c>
      <c r="T16" s="35">
        <f t="shared" si="629"/>
        <v>0</v>
      </c>
      <c r="U16" s="19" t="e">
        <f t="shared" si="630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22"/>
        <v>0</v>
      </c>
      <c r="F17" s="13">
        <v>0</v>
      </c>
      <c r="G17" s="13">
        <v>0</v>
      </c>
      <c r="H17" s="13">
        <v>0</v>
      </c>
      <c r="I17" s="16">
        <f t="shared" si="623"/>
        <v>0</v>
      </c>
      <c r="J17" s="17">
        <f t="shared" si="624"/>
        <v>0</v>
      </c>
      <c r="K17" s="18">
        <f t="shared" si="625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27"/>
        <v>0</v>
      </c>
      <c r="S17" s="35">
        <f t="shared" si="628"/>
        <v>0</v>
      </c>
      <c r="T17" s="35">
        <f t="shared" si="629"/>
        <v>0</v>
      </c>
      <c r="U17" s="19" t="e">
        <f t="shared" si="630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22"/>
        <v>0</v>
      </c>
      <c r="F18" s="13">
        <v>0</v>
      </c>
      <c r="G18" s="13">
        <v>0</v>
      </c>
      <c r="H18" s="13">
        <v>0</v>
      </c>
      <c r="I18" s="16">
        <f t="shared" si="623"/>
        <v>0</v>
      </c>
      <c r="J18" s="17">
        <f t="shared" si="624"/>
        <v>0</v>
      </c>
      <c r="K18" s="18">
        <f>+G18*D18</f>
        <v>0</v>
      </c>
      <c r="L18" s="19" t="e">
        <f t="shared" ref="L18:L19" si="631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27"/>
        <v>0</v>
      </c>
      <c r="S18" s="35">
        <f t="shared" si="628"/>
        <v>0</v>
      </c>
      <c r="T18" s="35">
        <f t="shared" si="629"/>
        <v>0</v>
      </c>
      <c r="U18" s="19" t="e">
        <f t="shared" si="630"/>
        <v>#DIV/0!</v>
      </c>
    </row>
    <row r="19" ht="16.5">
      <c r="A19" s="21" t="s">
        <v>50</v>
      </c>
      <c r="B19" s="21"/>
      <c r="C19" s="36">
        <f>SUM(C3:C18)</f>
        <v>3004050</v>
      </c>
      <c r="D19" s="23"/>
      <c r="E19" s="22">
        <f t="shared" ref="E19:K19" si="632">SUM(E3:E18)</f>
        <v>4634402.3095295709</v>
      </c>
      <c r="F19" s="24">
        <f t="shared" si="632"/>
        <v>110991</v>
      </c>
      <c r="G19" s="24">
        <f t="shared" si="632"/>
        <v>3035925</v>
      </c>
      <c r="H19" s="24">
        <f t="shared" si="632"/>
        <v>74642</v>
      </c>
      <c r="I19" s="25">
        <f t="shared" si="632"/>
        <v>185633</v>
      </c>
      <c r="J19" s="26">
        <f t="shared" si="632"/>
        <v>-31875</v>
      </c>
      <c r="K19" s="26">
        <f t="shared" si="632"/>
        <v>4657679.2201851364</v>
      </c>
      <c r="L19" s="27">
        <f t="shared" si="631"/>
        <v>1.0050226348730456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27"/>
        <v>0</v>
      </c>
      <c r="S19" s="35">
        <f t="shared" si="628"/>
        <v>3221558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4000D1-00DA-48CB-AFA5-00F400F000A6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2D00E9-0029-423B-BE99-000C006B003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650094-00BB-4F3F-9515-00CA00FB004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210015-00C0-437B-86DE-000800C8007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1C00BB-00FF-4DE4-99EA-002E000A00B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3100D4-0090-44F1-8F65-00A700C8006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CA002F-00F3-4759-AC3C-005E009E008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A80058-0042-46F7-B9ED-002C003700B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1004C-00DF-4586-A7EF-00230086004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0E00C9-006B-4683-889F-009700F300A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D6002E-0008-4B1B-BA23-00D80028000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E800DF-0064-419C-9607-000C005A003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880062-0065-4BE1-8860-0018000200E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22" activeCellId="0" sqref="F22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59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48">C3*D3</f>
        <v>1870761.2046759115</v>
      </c>
      <c r="F3" s="13">
        <v>0</v>
      </c>
      <c r="G3" s="13">
        <v>243380</v>
      </c>
      <c r="H3" s="13">
        <v>74470</v>
      </c>
      <c r="I3" s="16">
        <f t="shared" ref="I3:I17" si="49">F3+H3</f>
        <v>74470</v>
      </c>
      <c r="J3" s="17">
        <f t="shared" ref="J3:J17" si="50">C3-G3</f>
        <v>403410</v>
      </c>
      <c r="K3" s="18">
        <f t="shared" ref="K3:K17" si="51">+G3*D3</f>
        <v>703946.97196002305</v>
      </c>
      <c r="L3" s="19">
        <f t="shared" ref="L3:L11" si="52">K3/E3</f>
        <v>0.37628905827239134</v>
      </c>
      <c r="M3" s="33">
        <v>0</v>
      </c>
      <c r="N3" s="33">
        <v>0</v>
      </c>
      <c r="O3" s="33">
        <v>0</v>
      </c>
      <c r="P3" s="33">
        <v>222000</v>
      </c>
      <c r="Q3" s="40">
        <f>7*18500</f>
        <v>129500</v>
      </c>
      <c r="R3" s="34">
        <f t="shared" ref="R3:R18" si="53">M3+N3+O3+P3+Q3</f>
        <v>351500</v>
      </c>
      <c r="S3" s="35">
        <f t="shared" ref="S3:S18" si="54">G3+I3+R3</f>
        <v>669350</v>
      </c>
      <c r="T3" s="35">
        <f t="shared" ref="T3:T17" si="55">S3-C3</f>
        <v>22560</v>
      </c>
      <c r="U3" s="19">
        <f t="shared" ref="U3:U17" si="56">S3/C3</f>
        <v>1.0348799455773898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48"/>
        <v>390880.30588673195</v>
      </c>
      <c r="F4" s="13">
        <v>142793</v>
      </c>
      <c r="G4" s="13">
        <v>0</v>
      </c>
      <c r="H4" s="13">
        <v>300000</v>
      </c>
      <c r="I4" s="16">
        <f t="shared" si="49"/>
        <v>442793</v>
      </c>
      <c r="J4" s="17">
        <f t="shared" si="50"/>
        <v>300000</v>
      </c>
      <c r="K4" s="18">
        <f t="shared" si="51"/>
        <v>0</v>
      </c>
      <c r="L4" s="19">
        <f t="shared" si="52"/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53"/>
        <v>0</v>
      </c>
      <c r="S4" s="35">
        <f t="shared" si="54"/>
        <v>442793</v>
      </c>
      <c r="T4" s="35">
        <f t="shared" si="55"/>
        <v>142793</v>
      </c>
      <c r="U4" s="19">
        <f t="shared" si="56"/>
        <v>1.4759766666666667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48"/>
        <v>0</v>
      </c>
      <c r="F5" s="13">
        <v>0</v>
      </c>
      <c r="G5" s="13">
        <v>0</v>
      </c>
      <c r="H5" s="13">
        <v>0</v>
      </c>
      <c r="I5" s="16">
        <f t="shared" si="49"/>
        <v>0</v>
      </c>
      <c r="J5" s="17">
        <f t="shared" si="50"/>
        <v>0</v>
      </c>
      <c r="K5" s="18">
        <f t="shared" si="5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53"/>
        <v>0</v>
      </c>
      <c r="S5" s="35">
        <f t="shared" si="54"/>
        <v>0</v>
      </c>
      <c r="T5" s="35">
        <f t="shared" si="55"/>
        <v>0</v>
      </c>
      <c r="U5" s="19" t="e">
        <f t="shared" si="5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48"/>
        <v>644777.55587835144</v>
      </c>
      <c r="F6" s="13">
        <v>0</v>
      </c>
      <c r="G6" s="13">
        <v>158323</v>
      </c>
      <c r="H6" s="13">
        <v>158270</v>
      </c>
      <c r="I6" s="16">
        <f t="shared" si="49"/>
        <v>158270</v>
      </c>
      <c r="J6" s="17">
        <f t="shared" si="50"/>
        <v>405773</v>
      </c>
      <c r="K6" s="18">
        <f t="shared" si="51"/>
        <v>180967.6313594286</v>
      </c>
      <c r="L6" s="19">
        <f t="shared" si="52"/>
        <v>0.28066676594054912</v>
      </c>
      <c r="M6" s="33">
        <v>0</v>
      </c>
      <c r="N6" s="33">
        <v>0</v>
      </c>
      <c r="O6" s="33">
        <v>0</v>
      </c>
      <c r="P6" s="33">
        <v>346500</v>
      </c>
      <c r="Q6" s="33">
        <v>93500</v>
      </c>
      <c r="R6" s="34">
        <f t="shared" si="53"/>
        <v>440000</v>
      </c>
      <c r="S6" s="35">
        <f t="shared" si="54"/>
        <v>756593</v>
      </c>
      <c r="T6" s="35">
        <f t="shared" si="55"/>
        <v>192497</v>
      </c>
      <c r="U6" s="19">
        <f t="shared" si="56"/>
        <v>1.3412486527115952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48"/>
        <v>221472.43814627349</v>
      </c>
      <c r="F7" s="13">
        <v>0</v>
      </c>
      <c r="G7" s="13">
        <v>0</v>
      </c>
      <c r="H7" s="13">
        <v>0</v>
      </c>
      <c r="I7" s="16">
        <f t="shared" si="49"/>
        <v>0</v>
      </c>
      <c r="J7" s="17">
        <f t="shared" si="50"/>
        <v>349200</v>
      </c>
      <c r="K7" s="18">
        <f t="shared" si="51"/>
        <v>0</v>
      </c>
      <c r="L7" s="19">
        <f t="shared" si="52"/>
        <v>0</v>
      </c>
      <c r="M7" s="33">
        <v>0</v>
      </c>
      <c r="N7" s="33">
        <v>0</v>
      </c>
      <c r="O7" s="33">
        <v>0</v>
      </c>
      <c r="P7" s="33">
        <f>3*87000</f>
        <v>261000</v>
      </c>
      <c r="Q7" s="33">
        <v>0</v>
      </c>
      <c r="R7" s="34">
        <f t="shared" si="53"/>
        <v>261000</v>
      </c>
      <c r="S7" s="35">
        <f t="shared" si="54"/>
        <v>261000</v>
      </c>
      <c r="T7" s="35">
        <f t="shared" si="55"/>
        <v>-88200</v>
      </c>
      <c r="U7" s="19">
        <f t="shared" si="56"/>
        <v>0.74742268041237114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48"/>
        <v>585037.49652426294</v>
      </c>
      <c r="F8" s="13">
        <v>0</v>
      </c>
      <c r="G8" s="13">
        <v>481535</v>
      </c>
      <c r="H8" s="13">
        <v>0</v>
      </c>
      <c r="I8" s="16">
        <f t="shared" si="49"/>
        <v>0</v>
      </c>
      <c r="J8" s="17">
        <f t="shared" si="50"/>
        <v>173215</v>
      </c>
      <c r="K8" s="18">
        <f t="shared" si="51"/>
        <v>430265.03381261695</v>
      </c>
      <c r="L8" s="19">
        <f t="shared" si="52"/>
        <v>0.73544864452080949</v>
      </c>
      <c r="M8" s="33">
        <v>0</v>
      </c>
      <c r="N8" s="33">
        <v>0</v>
      </c>
      <c r="O8" s="33">
        <v>0</v>
      </c>
      <c r="P8" s="33">
        <v>261000</v>
      </c>
      <c r="Q8" s="33">
        <f>6*43500</f>
        <v>261000</v>
      </c>
      <c r="R8" s="34">
        <f t="shared" si="53"/>
        <v>522000</v>
      </c>
      <c r="S8" s="35">
        <f t="shared" si="54"/>
        <v>1003535</v>
      </c>
      <c r="T8" s="35">
        <f t="shared" si="55"/>
        <v>348785</v>
      </c>
      <c r="U8" s="19">
        <f t="shared" si="56"/>
        <v>1.5326995036273388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48"/>
        <v>216656.93033237188</v>
      </c>
      <c r="F9" s="13">
        <v>0</v>
      </c>
      <c r="G9" s="13">
        <v>0</v>
      </c>
      <c r="H9" s="13">
        <v>0</v>
      </c>
      <c r="I9" s="16">
        <f t="shared" si="49"/>
        <v>0</v>
      </c>
      <c r="J9" s="17">
        <f t="shared" si="50"/>
        <v>202800</v>
      </c>
      <c r="K9" s="18">
        <f t="shared" si="51"/>
        <v>0</v>
      </c>
      <c r="L9" s="19">
        <f t="shared" si="52"/>
        <v>0</v>
      </c>
      <c r="M9" s="33">
        <v>0</v>
      </c>
      <c r="N9" s="33">
        <v>0</v>
      </c>
      <c r="O9" s="33">
        <v>0</v>
      </c>
      <c r="P9" s="33">
        <v>234000</v>
      </c>
      <c r="Q9" s="33">
        <v>0</v>
      </c>
      <c r="R9" s="34">
        <f t="shared" si="53"/>
        <v>234000</v>
      </c>
      <c r="S9" s="35">
        <f t="shared" si="54"/>
        <v>234000</v>
      </c>
      <c r="T9" s="35">
        <f t="shared" si="55"/>
        <v>31200</v>
      </c>
      <c r="U9" s="19">
        <f t="shared" si="56"/>
        <v>1.1538461538461537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48"/>
        <v>505114.07016586867</v>
      </c>
      <c r="F10" s="13">
        <v>0</v>
      </c>
      <c r="G10" s="13">
        <v>0</v>
      </c>
      <c r="H10" s="13">
        <v>233346</v>
      </c>
      <c r="I10" s="16">
        <f t="shared" si="49"/>
        <v>233346</v>
      </c>
      <c r="J10" s="17">
        <f t="shared" si="50"/>
        <v>232806</v>
      </c>
      <c r="K10" s="18">
        <f t="shared" si="51"/>
        <v>0</v>
      </c>
      <c r="L10" s="19">
        <f t="shared" si="52"/>
        <v>0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53"/>
        <v>6</v>
      </c>
      <c r="S10" s="35">
        <f t="shared" si="54"/>
        <v>233352</v>
      </c>
      <c r="T10" s="35">
        <f t="shared" si="55"/>
        <v>546</v>
      </c>
      <c r="U10" s="19">
        <f t="shared" si="5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48"/>
        <v>58121.655911310321</v>
      </c>
      <c r="F11" s="13">
        <v>0</v>
      </c>
      <c r="G11" s="13">
        <v>37379</v>
      </c>
      <c r="H11" s="13">
        <v>0</v>
      </c>
      <c r="I11" s="16">
        <f t="shared" si="49"/>
        <v>0</v>
      </c>
      <c r="J11" s="17">
        <f t="shared" si="50"/>
        <v>0</v>
      </c>
      <c r="K11" s="18">
        <f t="shared" si="51"/>
        <v>58121.655911310321</v>
      </c>
      <c r="L11" s="19">
        <f t="shared" si="5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53"/>
        <v>0</v>
      </c>
      <c r="S11" s="35">
        <f t="shared" si="54"/>
        <v>37379</v>
      </c>
      <c r="T11" s="35">
        <f t="shared" si="55"/>
        <v>0</v>
      </c>
      <c r="U11" s="19">
        <f t="shared" si="5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48"/>
        <v>0</v>
      </c>
      <c r="F12" s="13"/>
      <c r="G12" s="13">
        <v>0</v>
      </c>
      <c r="H12" s="13">
        <v>0</v>
      </c>
      <c r="I12" s="16">
        <f t="shared" si="49"/>
        <v>0</v>
      </c>
      <c r="J12" s="17">
        <f t="shared" si="50"/>
        <v>0</v>
      </c>
      <c r="K12" s="18">
        <f t="shared" si="5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53"/>
        <v>0</v>
      </c>
      <c r="S12" s="35">
        <f t="shared" si="54"/>
        <v>0</v>
      </c>
      <c r="T12" s="35">
        <f t="shared" si="55"/>
        <v>0</v>
      </c>
      <c r="U12" s="19" t="e">
        <f t="shared" si="5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48"/>
        <v>0</v>
      </c>
      <c r="F13" s="13"/>
      <c r="G13" s="13">
        <v>0</v>
      </c>
      <c r="H13" s="13">
        <v>0</v>
      </c>
      <c r="I13" s="16">
        <f t="shared" si="49"/>
        <v>0</v>
      </c>
      <c r="J13" s="17">
        <f t="shared" si="50"/>
        <v>0</v>
      </c>
      <c r="K13" s="18">
        <f t="shared" si="5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53"/>
        <v>0</v>
      </c>
      <c r="S13" s="35">
        <f t="shared" si="54"/>
        <v>0</v>
      </c>
      <c r="T13" s="35">
        <f t="shared" si="55"/>
        <v>0</v>
      </c>
      <c r="U13" s="19" t="e">
        <f t="shared" si="5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48"/>
        <v>0</v>
      </c>
      <c r="F14" s="13"/>
      <c r="G14" s="13">
        <v>0</v>
      </c>
      <c r="H14" s="13">
        <v>0</v>
      </c>
      <c r="I14" s="16">
        <f t="shared" si="49"/>
        <v>0</v>
      </c>
      <c r="J14" s="17">
        <f t="shared" si="50"/>
        <v>0</v>
      </c>
      <c r="K14" s="18">
        <f t="shared" si="5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53"/>
        <v>0</v>
      </c>
      <c r="S14" s="35">
        <f t="shared" si="54"/>
        <v>0</v>
      </c>
      <c r="T14" s="35">
        <f t="shared" si="55"/>
        <v>0</v>
      </c>
      <c r="U14" s="19" t="e">
        <f t="shared" si="5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48"/>
        <v>0</v>
      </c>
      <c r="F15" s="13"/>
      <c r="G15" s="13">
        <v>0</v>
      </c>
      <c r="H15" s="13">
        <v>0</v>
      </c>
      <c r="I15" s="16">
        <f t="shared" si="49"/>
        <v>0</v>
      </c>
      <c r="J15" s="17">
        <f t="shared" si="50"/>
        <v>0</v>
      </c>
      <c r="K15" s="18">
        <f t="shared" si="5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53"/>
        <v>0</v>
      </c>
      <c r="S15" s="35">
        <f t="shared" si="54"/>
        <v>0</v>
      </c>
      <c r="T15" s="35">
        <f t="shared" si="55"/>
        <v>0</v>
      </c>
      <c r="U15" s="19" t="e">
        <f t="shared" si="5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48"/>
        <v>0</v>
      </c>
      <c r="F16" s="13"/>
      <c r="G16" s="13">
        <v>0</v>
      </c>
      <c r="H16" s="13">
        <v>0</v>
      </c>
      <c r="I16" s="16">
        <f t="shared" si="49"/>
        <v>0</v>
      </c>
      <c r="J16" s="17">
        <f t="shared" si="50"/>
        <v>0</v>
      </c>
      <c r="K16" s="18">
        <f t="shared" si="5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53"/>
        <v>0</v>
      </c>
      <c r="S16" s="35">
        <f t="shared" si="54"/>
        <v>0</v>
      </c>
      <c r="T16" s="35">
        <f t="shared" si="55"/>
        <v>0</v>
      </c>
      <c r="U16" s="19" t="e">
        <f t="shared" si="5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48"/>
        <v>3629.0452579287512</v>
      </c>
      <c r="F17" s="13">
        <v>50000</v>
      </c>
      <c r="G17" s="13">
        <v>787</v>
      </c>
      <c r="H17" s="13">
        <v>0</v>
      </c>
      <c r="I17" s="16">
        <f t="shared" si="49"/>
        <v>50000</v>
      </c>
      <c r="J17" s="17">
        <f t="shared" si="50"/>
        <v>400</v>
      </c>
      <c r="K17" s="18">
        <f t="shared" si="51"/>
        <v>2406.1150951894924</v>
      </c>
      <c r="L17" s="19">
        <f t="shared" ref="L17:L18" si="5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53"/>
        <v>0</v>
      </c>
      <c r="S17" s="35">
        <f t="shared" si="54"/>
        <v>50787</v>
      </c>
      <c r="T17" s="35">
        <f t="shared" si="55"/>
        <v>49600</v>
      </c>
      <c r="U17" s="19">
        <f t="shared" si="5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921404</v>
      </c>
      <c r="H18" s="24">
        <f>SUM(H3:H17)</f>
        <v>766086</v>
      </c>
      <c r="I18" s="25">
        <f>SUM(I3:I17)</f>
        <v>958879</v>
      </c>
      <c r="J18" s="26">
        <f>SUM(J3:J17)</f>
        <v>2067604</v>
      </c>
      <c r="K18" s="26">
        <f>SUM(K3:K17)</f>
        <v>1375707.4081385685</v>
      </c>
      <c r="L18" s="27">
        <f t="shared" si="57"/>
        <v>0.3059540733513032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53"/>
        <v>0</v>
      </c>
      <c r="S18" s="35">
        <f t="shared" si="54"/>
        <v>1880283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</row>
    <row r="21">
      <c r="B21" s="28"/>
      <c r="C21" s="28"/>
      <c r="D21" s="28"/>
      <c r="E21" s="28"/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46003E-00C6-4B3E-9082-009A00F000C4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EE00E0-002A-4B67-8187-00F9004B00A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2D00FC-0029-4849-8F95-005500FF00F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FD0062-00FE-4339-A96D-00D200AB00F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640074-0024-4AC2-AF78-00E500FC00E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9000C4-00A4-4D98-96F5-00C3006D006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380019-00A6-4642-AB39-00A9001900A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24" activeCellId="0" sqref="G24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127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126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387553</v>
      </c>
      <c r="D3" s="11">
        <v>2.8923780588381258</v>
      </c>
      <c r="E3" s="12">
        <f t="shared" ref="E3:E18" si="633">C3*D3</f>
        <v>1120949.7938368921</v>
      </c>
      <c r="F3" s="13">
        <v>18504</v>
      </c>
      <c r="G3" s="44">
        <v>0</v>
      </c>
      <c r="H3" s="13">
        <v>74642</v>
      </c>
      <c r="I3" s="16">
        <f t="shared" ref="I3:I18" si="634">F3+H3</f>
        <v>93146</v>
      </c>
      <c r="J3" s="17">
        <f t="shared" ref="J3:J18" si="635">C3-G3</f>
        <v>387553</v>
      </c>
      <c r="K3" s="18">
        <f t="shared" ref="K3:K17" si="636">+G3*D3</f>
        <v>0</v>
      </c>
      <c r="L3" s="19">
        <f t="shared" ref="L3:L11" si="637">K3/E3</f>
        <v>0</v>
      </c>
      <c r="M3" s="34">
        <v>111000</v>
      </c>
      <c r="N3" s="34">
        <v>111000</v>
      </c>
      <c r="O3" s="34">
        <v>92500</v>
      </c>
      <c r="P3" s="34">
        <v>55000</v>
      </c>
      <c r="Q3" s="34">
        <v>0</v>
      </c>
      <c r="R3" s="34">
        <f t="shared" ref="R3:R19" si="638">M3+N3+O3+P3+Q3</f>
        <v>369500</v>
      </c>
      <c r="S3" s="35">
        <f t="shared" ref="S3:S19" si="639">G3+I3+R3</f>
        <v>462646</v>
      </c>
      <c r="T3" s="35">
        <f t="shared" ref="T3:T18" si="640">S3-C3</f>
        <v>75093</v>
      </c>
      <c r="U3" s="19">
        <f t="shared" ref="U3:U18" si="641">S3/C3</f>
        <v>1.1937618854711485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633"/>
        <v>826416.08085231704</v>
      </c>
      <c r="F4" s="13">
        <v>0</v>
      </c>
      <c r="G4" s="13">
        <v>0</v>
      </c>
      <c r="H4" s="13">
        <v>0</v>
      </c>
      <c r="I4" s="16">
        <f t="shared" si="634"/>
        <v>0</v>
      </c>
      <c r="J4" s="17">
        <f t="shared" si="635"/>
        <v>634273</v>
      </c>
      <c r="K4" s="18">
        <f t="shared" si="636"/>
        <v>0</v>
      </c>
      <c r="L4" s="19">
        <f t="shared" si="637"/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638"/>
        <v>0</v>
      </c>
      <c r="S4" s="35">
        <f t="shared" si="639"/>
        <v>0</v>
      </c>
      <c r="T4" s="35">
        <f t="shared" si="640"/>
        <v>-634273</v>
      </c>
      <c r="U4" s="19">
        <f t="shared" si="641"/>
        <v>0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33"/>
        <v>0</v>
      </c>
      <c r="F5" s="13">
        <v>0</v>
      </c>
      <c r="G5" s="13">
        <v>0</v>
      </c>
      <c r="H5" s="13">
        <v>0</v>
      </c>
      <c r="I5" s="16">
        <f t="shared" si="634"/>
        <v>0</v>
      </c>
      <c r="J5" s="17">
        <f t="shared" si="635"/>
        <v>0</v>
      </c>
      <c r="K5" s="18">
        <f t="shared" si="636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638"/>
        <v>0</v>
      </c>
      <c r="S5" s="35">
        <f t="shared" si="639"/>
        <v>0</v>
      </c>
      <c r="T5" s="35">
        <f t="shared" si="640"/>
        <v>0</v>
      </c>
      <c r="U5" s="19" t="e">
        <f t="shared" si="641"/>
        <v>#DIV/0!</v>
      </c>
    </row>
    <row r="6">
      <c r="A6" s="9" t="s">
        <v>26</v>
      </c>
      <c r="B6" s="9" t="s">
        <v>27</v>
      </c>
      <c r="C6" s="14">
        <v>347000</v>
      </c>
      <c r="D6" s="11">
        <v>1.1430280588381259</v>
      </c>
      <c r="E6" s="12">
        <f t="shared" si="633"/>
        <v>396630.73641682969</v>
      </c>
      <c r="F6" s="13">
        <v>0</v>
      </c>
      <c r="G6" s="44">
        <v>0</v>
      </c>
      <c r="H6" s="44">
        <v>0</v>
      </c>
      <c r="I6" s="16">
        <f t="shared" si="634"/>
        <v>0</v>
      </c>
      <c r="J6" s="17">
        <f t="shared" si="635"/>
        <v>347000</v>
      </c>
      <c r="K6" s="18">
        <f t="shared" si="636"/>
        <v>0</v>
      </c>
      <c r="L6" s="19">
        <f t="shared" si="637"/>
        <v>0</v>
      </c>
      <c r="M6" s="34">
        <v>63000</v>
      </c>
      <c r="N6" s="34">
        <v>126000</v>
      </c>
      <c r="O6" s="34">
        <v>157000</v>
      </c>
      <c r="P6" s="34">
        <v>63000</v>
      </c>
      <c r="Q6" s="34">
        <v>0</v>
      </c>
      <c r="R6" s="34">
        <f t="shared" si="638"/>
        <v>409000</v>
      </c>
      <c r="S6" s="35">
        <f t="shared" si="639"/>
        <v>409000</v>
      </c>
      <c r="T6" s="35">
        <f t="shared" si="640"/>
        <v>62000</v>
      </c>
      <c r="U6" s="19">
        <f t="shared" si="641"/>
        <v>1.1786743515850144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33"/>
        <v>127089.15534221899</v>
      </c>
      <c r="F7" s="13">
        <v>89023</v>
      </c>
      <c r="G7" s="13">
        <v>0</v>
      </c>
      <c r="H7" s="13">
        <v>0</v>
      </c>
      <c r="I7" s="16">
        <f t="shared" si="634"/>
        <v>89023</v>
      </c>
      <c r="J7" s="17">
        <f t="shared" si="635"/>
        <v>200384</v>
      </c>
      <c r="K7" s="18">
        <f t="shared" si="636"/>
        <v>0</v>
      </c>
      <c r="L7" s="19">
        <f t="shared" si="637"/>
        <v>0</v>
      </c>
      <c r="M7" s="34">
        <v>0</v>
      </c>
      <c r="N7" s="34">
        <v>0</v>
      </c>
      <c r="O7" s="34">
        <v>528000</v>
      </c>
      <c r="P7" s="34">
        <v>0</v>
      </c>
      <c r="Q7" s="34">
        <v>0</v>
      </c>
      <c r="R7" s="34">
        <f t="shared" si="638"/>
        <v>528000</v>
      </c>
      <c r="S7" s="35">
        <f t="shared" si="639"/>
        <v>617023</v>
      </c>
      <c r="T7" s="35">
        <f t="shared" si="640"/>
        <v>416639</v>
      </c>
      <c r="U7" s="19">
        <f t="shared" si="641"/>
        <v>3.0792029303736825</v>
      </c>
    </row>
    <row r="8">
      <c r="A8" s="9" t="s">
        <v>30</v>
      </c>
      <c r="B8" s="9" t="s">
        <v>31</v>
      </c>
      <c r="C8" s="14">
        <v>363915</v>
      </c>
      <c r="D8" s="11">
        <v>0.89352805883812592</v>
      </c>
      <c r="E8" s="12">
        <f t="shared" si="633"/>
        <v>325168.26353207661</v>
      </c>
      <c r="F8" s="44">
        <v>0</v>
      </c>
      <c r="G8" s="13">
        <v>0</v>
      </c>
      <c r="H8" s="44">
        <v>0</v>
      </c>
      <c r="I8" s="16">
        <f t="shared" si="634"/>
        <v>0</v>
      </c>
      <c r="J8" s="17">
        <f t="shared" si="635"/>
        <v>363915</v>
      </c>
      <c r="K8" s="18">
        <f t="shared" si="636"/>
        <v>0</v>
      </c>
      <c r="L8" s="19">
        <f t="shared" si="637"/>
        <v>0</v>
      </c>
      <c r="M8" s="34"/>
      <c r="N8" s="34">
        <v>275000</v>
      </c>
      <c r="O8" s="34">
        <v>0</v>
      </c>
      <c r="P8" s="34">
        <v>130000</v>
      </c>
      <c r="Q8" s="34">
        <v>0</v>
      </c>
      <c r="R8" s="34">
        <f t="shared" si="638"/>
        <v>405000</v>
      </c>
      <c r="S8" s="35">
        <f t="shared" si="639"/>
        <v>405000</v>
      </c>
      <c r="T8" s="35">
        <f t="shared" si="640"/>
        <v>41085</v>
      </c>
      <c r="U8" s="19">
        <f t="shared" si="641"/>
        <v>1.1128972424879435</v>
      </c>
    </row>
    <row r="9">
      <c r="A9" s="9" t="s">
        <v>32</v>
      </c>
      <c r="B9" s="9" t="s">
        <v>33</v>
      </c>
      <c r="C9" s="14">
        <v>80000</v>
      </c>
      <c r="D9" s="11">
        <v>1.0683280588381256</v>
      </c>
      <c r="E9" s="12">
        <f t="shared" si="633"/>
        <v>85466.244707050049</v>
      </c>
      <c r="F9" s="13">
        <v>0</v>
      </c>
      <c r="G9" s="13">
        <v>0</v>
      </c>
      <c r="H9" s="13">
        <v>0</v>
      </c>
      <c r="I9" s="16">
        <f t="shared" si="634"/>
        <v>0</v>
      </c>
      <c r="J9" s="17">
        <f t="shared" si="635"/>
        <v>80000</v>
      </c>
      <c r="K9" s="18">
        <f t="shared" si="636"/>
        <v>0</v>
      </c>
      <c r="L9" s="19">
        <f t="shared" si="637"/>
        <v>0</v>
      </c>
      <c r="M9" s="34">
        <v>0</v>
      </c>
      <c r="N9" s="34">
        <v>233000</v>
      </c>
      <c r="O9" s="34">
        <v>0</v>
      </c>
      <c r="P9" s="34">
        <v>0</v>
      </c>
      <c r="Q9" s="34">
        <v>0</v>
      </c>
      <c r="R9" s="34">
        <f t="shared" si="638"/>
        <v>233000</v>
      </c>
      <c r="S9" s="35">
        <f t="shared" si="639"/>
        <v>233000</v>
      </c>
      <c r="T9" s="35">
        <f t="shared" si="640"/>
        <v>153000</v>
      </c>
      <c r="U9" s="19">
        <f t="shared" si="641"/>
        <v>2.9125000000000001</v>
      </c>
    </row>
    <row r="10">
      <c r="A10" s="9" t="s">
        <v>34</v>
      </c>
      <c r="B10" s="9" t="s">
        <v>35</v>
      </c>
      <c r="C10" s="14">
        <v>409183</v>
      </c>
      <c r="D10" s="11">
        <v>2.1696780588381257</v>
      </c>
      <c r="E10" s="12">
        <f t="shared" si="633"/>
        <v>887795.37714956084</v>
      </c>
      <c r="F10" s="13">
        <v>0</v>
      </c>
      <c r="G10" s="13">
        <v>0</v>
      </c>
      <c r="H10" s="13">
        <v>0</v>
      </c>
      <c r="I10" s="16">
        <f t="shared" si="634"/>
        <v>0</v>
      </c>
      <c r="J10" s="17">
        <f t="shared" si="635"/>
        <v>409183</v>
      </c>
      <c r="K10" s="18">
        <f t="shared" si="636"/>
        <v>0</v>
      </c>
      <c r="L10" s="19">
        <f t="shared" si="637"/>
        <v>0</v>
      </c>
      <c r="M10" s="34">
        <v>0</v>
      </c>
      <c r="N10" s="34">
        <v>120000</v>
      </c>
      <c r="O10" s="34">
        <v>0</v>
      </c>
      <c r="P10" s="34">
        <v>237000</v>
      </c>
      <c r="Q10" s="34">
        <v>0</v>
      </c>
      <c r="R10" s="34">
        <f t="shared" si="638"/>
        <v>357000</v>
      </c>
      <c r="S10" s="35">
        <f t="shared" si="639"/>
        <v>357000</v>
      </c>
      <c r="T10" s="35">
        <f t="shared" si="640"/>
        <v>-52183</v>
      </c>
      <c r="U10" s="19">
        <f t="shared" si="641"/>
        <v>0.87247026391614513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33"/>
        <v>0</v>
      </c>
      <c r="F11" s="13">
        <v>0</v>
      </c>
      <c r="G11" s="13">
        <v>0</v>
      </c>
      <c r="H11" s="13">
        <v>0</v>
      </c>
      <c r="I11" s="16">
        <f t="shared" si="634"/>
        <v>0</v>
      </c>
      <c r="J11" s="17">
        <f t="shared" si="635"/>
        <v>0</v>
      </c>
      <c r="K11" s="18">
        <f t="shared" si="636"/>
        <v>0</v>
      </c>
      <c r="L11" s="19" t="e">
        <f t="shared" si="637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638"/>
        <v>0</v>
      </c>
      <c r="S11" s="35">
        <f t="shared" si="639"/>
        <v>0</v>
      </c>
      <c r="T11" s="35">
        <f t="shared" si="640"/>
        <v>0</v>
      </c>
      <c r="U11" s="19" t="e">
        <f t="shared" si="64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33"/>
        <v>0</v>
      </c>
      <c r="F12" s="13">
        <v>0</v>
      </c>
      <c r="G12" s="13">
        <v>0</v>
      </c>
      <c r="H12" s="13">
        <v>0</v>
      </c>
      <c r="I12" s="16">
        <f t="shared" si="634"/>
        <v>0</v>
      </c>
      <c r="J12" s="17">
        <f t="shared" si="63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38"/>
        <v>0</v>
      </c>
      <c r="S12" s="35">
        <f t="shared" si="639"/>
        <v>0</v>
      </c>
      <c r="T12" s="35">
        <f t="shared" si="640"/>
        <v>0</v>
      </c>
      <c r="U12" s="19" t="e">
        <f t="shared" si="641"/>
        <v>#DIV/0!</v>
      </c>
    </row>
    <row r="13">
      <c r="A13" s="9" t="s">
        <v>40</v>
      </c>
      <c r="B13" s="9" t="s">
        <v>41</v>
      </c>
      <c r="C13" s="14">
        <v>87200</v>
      </c>
      <c r="D13" s="11">
        <v>4.3295293823675376</v>
      </c>
      <c r="E13" s="12">
        <f t="shared" si="633"/>
        <v>377534.96214244928</v>
      </c>
      <c r="F13" s="13">
        <v>3464</v>
      </c>
      <c r="G13" s="13">
        <v>0</v>
      </c>
      <c r="H13" s="13">
        <v>0</v>
      </c>
      <c r="I13" s="16">
        <f>F13+H13</f>
        <v>3464</v>
      </c>
      <c r="J13" s="17">
        <f t="shared" si="635"/>
        <v>87200</v>
      </c>
      <c r="K13" s="18">
        <f t="shared" si="63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38"/>
        <v>0</v>
      </c>
      <c r="S13" s="35">
        <f t="shared" si="639"/>
        <v>3464</v>
      </c>
      <c r="T13" s="35">
        <f t="shared" si="640"/>
        <v>-83736</v>
      </c>
      <c r="U13" s="19">
        <f t="shared" si="641"/>
        <v>0.039724770642201833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33"/>
        <v>138900</v>
      </c>
      <c r="F14" s="13">
        <v>0</v>
      </c>
      <c r="G14" s="13">
        <v>0</v>
      </c>
      <c r="H14" s="13">
        <v>0</v>
      </c>
      <c r="I14" s="16">
        <f t="shared" si="634"/>
        <v>0</v>
      </c>
      <c r="J14" s="17">
        <f t="shared" si="635"/>
        <v>15000</v>
      </c>
      <c r="K14" s="18">
        <f t="shared" si="63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38"/>
        <v>0</v>
      </c>
      <c r="S14" s="35">
        <f t="shared" si="639"/>
        <v>0</v>
      </c>
      <c r="T14" s="35">
        <f t="shared" si="640"/>
        <v>-15000</v>
      </c>
      <c r="U14" s="19">
        <f t="shared" si="641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33"/>
        <v>89388.782058969489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635"/>
        <v>10000</v>
      </c>
      <c r="K15" s="18">
        <f t="shared" si="63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38"/>
        <v>0</v>
      </c>
      <c r="S15" s="35">
        <f t="shared" si="639"/>
        <v>0</v>
      </c>
      <c r="T15" s="35">
        <f t="shared" si="640"/>
        <v>-10000</v>
      </c>
      <c r="U15" s="19">
        <f t="shared" si="641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33"/>
        <v>0</v>
      </c>
      <c r="F16" s="13">
        <v>0</v>
      </c>
      <c r="G16" s="13">
        <v>0</v>
      </c>
      <c r="H16" s="13">
        <v>0</v>
      </c>
      <c r="I16" s="16">
        <f t="shared" si="634"/>
        <v>0</v>
      </c>
      <c r="J16" s="17">
        <f t="shared" si="635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38"/>
        <v>0</v>
      </c>
      <c r="S16" s="35">
        <f t="shared" si="639"/>
        <v>0</v>
      </c>
      <c r="T16" s="35">
        <f t="shared" si="640"/>
        <v>0</v>
      </c>
      <c r="U16" s="19" t="e">
        <f t="shared" si="641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33"/>
        <v>0</v>
      </c>
      <c r="F17" s="13">
        <v>0</v>
      </c>
      <c r="G17" s="13">
        <v>0</v>
      </c>
      <c r="H17" s="13">
        <v>0</v>
      </c>
      <c r="I17" s="16">
        <f t="shared" si="634"/>
        <v>0</v>
      </c>
      <c r="J17" s="17">
        <f t="shared" si="635"/>
        <v>0</v>
      </c>
      <c r="K17" s="18">
        <f t="shared" si="636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38"/>
        <v>0</v>
      </c>
      <c r="S17" s="35">
        <f t="shared" si="639"/>
        <v>0</v>
      </c>
      <c r="T17" s="35">
        <f t="shared" si="640"/>
        <v>0</v>
      </c>
      <c r="U17" s="19" t="e">
        <f t="shared" si="641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33"/>
        <v>0</v>
      </c>
      <c r="F18" s="13">
        <v>0</v>
      </c>
      <c r="G18" s="13">
        <v>0</v>
      </c>
      <c r="H18" s="13">
        <v>0</v>
      </c>
      <c r="I18" s="16">
        <f t="shared" si="634"/>
        <v>0</v>
      </c>
      <c r="J18" s="17">
        <f t="shared" si="635"/>
        <v>0</v>
      </c>
      <c r="K18" s="18">
        <f>+G18*D18</f>
        <v>0</v>
      </c>
      <c r="L18" s="19" t="e">
        <f t="shared" ref="L18:L19" si="642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38"/>
        <v>0</v>
      </c>
      <c r="S18" s="35">
        <f t="shared" si="639"/>
        <v>0</v>
      </c>
      <c r="T18" s="35">
        <f t="shared" si="640"/>
        <v>0</v>
      </c>
      <c r="U18" s="19" t="e">
        <f t="shared" si="641"/>
        <v>#DIV/0!</v>
      </c>
    </row>
    <row r="19" ht="16.5">
      <c r="A19" s="21" t="s">
        <v>50</v>
      </c>
      <c r="B19" s="21"/>
      <c r="C19" s="36">
        <f>SUM(C3:C18)</f>
        <v>2534508</v>
      </c>
      <c r="D19" s="23"/>
      <c r="E19" s="22">
        <f t="shared" ref="E19:K19" si="643">SUM(E3:E18)</f>
        <v>4375339.3960383646</v>
      </c>
      <c r="F19" s="24">
        <f t="shared" si="643"/>
        <v>110991</v>
      </c>
      <c r="G19" s="24">
        <f t="shared" si="643"/>
        <v>0</v>
      </c>
      <c r="H19" s="24">
        <f t="shared" si="643"/>
        <v>74642</v>
      </c>
      <c r="I19" s="25">
        <f t="shared" si="643"/>
        <v>185633</v>
      </c>
      <c r="J19" s="26">
        <f t="shared" si="643"/>
        <v>2534508</v>
      </c>
      <c r="K19" s="26">
        <f t="shared" si="643"/>
        <v>0</v>
      </c>
      <c r="L19" s="27">
        <f t="shared" si="642"/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38"/>
        <v>0</v>
      </c>
      <c r="S19" s="35">
        <f t="shared" si="639"/>
        <v>185633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6F00EA-00EA-4665-88FA-002000F90058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0A0003-0000-4ACB-9DE4-00D200C3001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5F00E0-0020-4174-BA31-0041000F005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B6008D-0032-495D-BC74-00D000F8002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A900FF-007C-4F97-A515-009200AD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2D0015-00D9-4DD2-8EA7-00D600D2003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9A00BC-0005-4977-B5AB-0025005600E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E90011-002B-46BE-90DD-009E008C00F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5F001A-0079-4B1F-A545-007A00A300D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B3004B-007E-4ECA-8E56-006900F0004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7300E6-00CC-4A75-B350-0010007000D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900FF-00DF-49B0-94D3-00CE0084005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3E0000-0013-4DF3-AFF3-00F90079008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C7" activeCellId="0" sqref="C7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127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132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387553</v>
      </c>
      <c r="D3" s="11">
        <v>2.8923780588381258</v>
      </c>
      <c r="E3" s="12">
        <f t="shared" ref="E3:E18" si="644">C3*D3</f>
        <v>1120949.7938368921</v>
      </c>
      <c r="F3" s="13">
        <v>0</v>
      </c>
      <c r="G3" s="44">
        <v>93146</v>
      </c>
      <c r="H3" s="13">
        <v>0</v>
      </c>
      <c r="I3" s="16">
        <f t="shared" ref="I3:I18" si="645">F3+H3</f>
        <v>0</v>
      </c>
      <c r="J3" s="17">
        <f t="shared" ref="J3:J18" si="646">C3-G3</f>
        <v>294407</v>
      </c>
      <c r="K3" s="18">
        <f t="shared" ref="K3:K17" si="647">+G3*D3</f>
        <v>269413.44666853605</v>
      </c>
      <c r="L3" s="19">
        <f t="shared" ref="L3:L11" si="648">K3/E3</f>
        <v>0.24034390135026693</v>
      </c>
      <c r="M3" s="34">
        <v>111000</v>
      </c>
      <c r="N3" s="34">
        <v>111000</v>
      </c>
      <c r="O3" s="34">
        <v>92500</v>
      </c>
      <c r="P3" s="34">
        <v>55000</v>
      </c>
      <c r="Q3" s="34">
        <v>0</v>
      </c>
      <c r="R3" s="34">
        <f t="shared" ref="R3:R19" si="649">M3+N3+O3+P3+Q3</f>
        <v>369500</v>
      </c>
      <c r="S3" s="35">
        <f t="shared" ref="S3:S19" si="650">G3+I3+R3</f>
        <v>462646</v>
      </c>
      <c r="T3" s="35">
        <f t="shared" ref="T3:T18" si="651">S3-C3</f>
        <v>75093</v>
      </c>
      <c r="U3" s="19">
        <f t="shared" ref="U3:U18" si="652">S3/C3</f>
        <v>1.1937618854711485</v>
      </c>
    </row>
    <row r="4">
      <c r="A4" s="9" t="s">
        <v>22</v>
      </c>
      <c r="B4" s="9" t="s">
        <v>23</v>
      </c>
      <c r="C4" s="14">
        <v>634273</v>
      </c>
      <c r="D4" s="11">
        <v>1.3029343529557731</v>
      </c>
      <c r="E4" s="12">
        <f t="shared" si="644"/>
        <v>826416.08085231704</v>
      </c>
      <c r="F4" s="13">
        <v>68738</v>
      </c>
      <c r="G4" s="13">
        <v>0</v>
      </c>
      <c r="H4" s="13">
        <v>0</v>
      </c>
      <c r="I4" s="16">
        <f t="shared" si="645"/>
        <v>68738</v>
      </c>
      <c r="J4" s="17">
        <f t="shared" si="646"/>
        <v>634273</v>
      </c>
      <c r="K4" s="18">
        <f t="shared" si="647"/>
        <v>0</v>
      </c>
      <c r="L4" s="19">
        <f t="shared" si="648"/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f t="shared" si="649"/>
        <v>0</v>
      </c>
      <c r="S4" s="35">
        <f t="shared" si="650"/>
        <v>68738</v>
      </c>
      <c r="T4" s="35">
        <f t="shared" si="651"/>
        <v>-565535</v>
      </c>
      <c r="U4" s="19">
        <f t="shared" si="652"/>
        <v>0.10837289306024378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44"/>
        <v>0</v>
      </c>
      <c r="F5" s="13">
        <v>0</v>
      </c>
      <c r="G5" s="13">
        <v>0</v>
      </c>
      <c r="H5" s="13">
        <v>0</v>
      </c>
      <c r="I5" s="16">
        <f t="shared" si="645"/>
        <v>0</v>
      </c>
      <c r="J5" s="17">
        <f t="shared" si="646"/>
        <v>0</v>
      </c>
      <c r="K5" s="18">
        <f t="shared" si="647"/>
        <v>0</v>
      </c>
      <c r="L5" s="19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f t="shared" si="649"/>
        <v>0</v>
      </c>
      <c r="S5" s="35">
        <f t="shared" si="650"/>
        <v>0</v>
      </c>
      <c r="T5" s="35">
        <f t="shared" si="651"/>
        <v>0</v>
      </c>
      <c r="U5" s="19" t="e">
        <f t="shared" si="652"/>
        <v>#DIV/0!</v>
      </c>
    </row>
    <row r="6">
      <c r="A6" s="9" t="s">
        <v>26</v>
      </c>
      <c r="B6" s="9" t="s">
        <v>27</v>
      </c>
      <c r="C6" s="14">
        <v>347000</v>
      </c>
      <c r="D6" s="11">
        <v>1.1430280588381259</v>
      </c>
      <c r="E6" s="12">
        <f t="shared" si="644"/>
        <v>396630.73641682969</v>
      </c>
      <c r="F6" s="13">
        <v>0</v>
      </c>
      <c r="G6" s="44">
        <v>0</v>
      </c>
      <c r="H6" s="44">
        <v>0</v>
      </c>
      <c r="I6" s="16">
        <f t="shared" si="645"/>
        <v>0</v>
      </c>
      <c r="J6" s="17">
        <f t="shared" si="646"/>
        <v>347000</v>
      </c>
      <c r="K6" s="18">
        <f t="shared" si="647"/>
        <v>0</v>
      </c>
      <c r="L6" s="19">
        <f t="shared" si="648"/>
        <v>0</v>
      </c>
      <c r="M6" s="34">
        <v>63000</v>
      </c>
      <c r="N6" s="34">
        <v>126000</v>
      </c>
      <c r="O6" s="34">
        <v>157000</v>
      </c>
      <c r="P6" s="34">
        <v>63000</v>
      </c>
      <c r="Q6" s="34">
        <v>0</v>
      </c>
      <c r="R6" s="34">
        <f t="shared" si="649"/>
        <v>409000</v>
      </c>
      <c r="S6" s="35">
        <f t="shared" si="650"/>
        <v>409000</v>
      </c>
      <c r="T6" s="35">
        <f t="shared" si="651"/>
        <v>62000</v>
      </c>
      <c r="U6" s="19">
        <f t="shared" si="652"/>
        <v>1.1786743515850144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44"/>
        <v>127089.15534221899</v>
      </c>
      <c r="F7" s="13">
        <v>27450</v>
      </c>
      <c r="G7" s="44">
        <v>61573</v>
      </c>
      <c r="H7" s="13">
        <v>0</v>
      </c>
      <c r="I7" s="16">
        <f t="shared" si="645"/>
        <v>27450</v>
      </c>
      <c r="J7" s="17">
        <f t="shared" si="646"/>
        <v>138811</v>
      </c>
      <c r="K7" s="18">
        <f t="shared" si="647"/>
        <v>39051.324266839918</v>
      </c>
      <c r="L7" s="19">
        <f t="shared" si="648"/>
        <v>0.30727503193867772</v>
      </c>
      <c r="M7" s="34">
        <v>0</v>
      </c>
      <c r="N7" s="34">
        <v>0</v>
      </c>
      <c r="O7" s="34">
        <v>528000</v>
      </c>
      <c r="P7" s="34">
        <v>0</v>
      </c>
      <c r="Q7" s="34">
        <v>0</v>
      </c>
      <c r="R7" s="34">
        <f t="shared" si="649"/>
        <v>528000</v>
      </c>
      <c r="S7" s="35">
        <f t="shared" si="650"/>
        <v>617023</v>
      </c>
      <c r="T7" s="35">
        <f t="shared" si="651"/>
        <v>416639</v>
      </c>
      <c r="U7" s="19">
        <f t="shared" si="652"/>
        <v>3.0792029303736825</v>
      </c>
    </row>
    <row r="8">
      <c r="A8" s="9" t="s">
        <v>30</v>
      </c>
      <c r="B8" s="9" t="s">
        <v>31</v>
      </c>
      <c r="C8" s="14">
        <v>363915</v>
      </c>
      <c r="D8" s="11">
        <v>0.89352805883812592</v>
      </c>
      <c r="E8" s="12">
        <f t="shared" si="644"/>
        <v>325168.26353207661</v>
      </c>
      <c r="F8" s="44">
        <v>0</v>
      </c>
      <c r="G8" s="13">
        <v>0</v>
      </c>
      <c r="H8" s="44">
        <v>0</v>
      </c>
      <c r="I8" s="16">
        <f t="shared" si="645"/>
        <v>0</v>
      </c>
      <c r="J8" s="17">
        <f t="shared" si="646"/>
        <v>363915</v>
      </c>
      <c r="K8" s="18">
        <f t="shared" si="647"/>
        <v>0</v>
      </c>
      <c r="L8" s="19">
        <f t="shared" si="648"/>
        <v>0</v>
      </c>
      <c r="M8" s="34"/>
      <c r="N8" s="34">
        <v>275000</v>
      </c>
      <c r="O8" s="34">
        <v>0</v>
      </c>
      <c r="P8" s="34">
        <v>130000</v>
      </c>
      <c r="Q8" s="34">
        <v>0</v>
      </c>
      <c r="R8" s="34">
        <f t="shared" si="649"/>
        <v>405000</v>
      </c>
      <c r="S8" s="35">
        <f t="shared" si="650"/>
        <v>405000</v>
      </c>
      <c r="T8" s="35">
        <f t="shared" si="651"/>
        <v>41085</v>
      </c>
      <c r="U8" s="19">
        <f t="shared" si="652"/>
        <v>1.1128972424879435</v>
      </c>
    </row>
    <row r="9">
      <c r="A9" s="9" t="s">
        <v>32</v>
      </c>
      <c r="B9" s="9" t="s">
        <v>33</v>
      </c>
      <c r="C9" s="14">
        <v>80000</v>
      </c>
      <c r="D9" s="11">
        <v>1.0683280588381256</v>
      </c>
      <c r="E9" s="12">
        <f t="shared" si="644"/>
        <v>85466.244707050049</v>
      </c>
      <c r="F9" s="13">
        <v>0</v>
      </c>
      <c r="G9" s="13">
        <v>0</v>
      </c>
      <c r="H9" s="13">
        <v>0</v>
      </c>
      <c r="I9" s="16">
        <f t="shared" si="645"/>
        <v>0</v>
      </c>
      <c r="J9" s="17">
        <f t="shared" si="646"/>
        <v>80000</v>
      </c>
      <c r="K9" s="18">
        <f t="shared" si="647"/>
        <v>0</v>
      </c>
      <c r="L9" s="19">
        <f t="shared" si="648"/>
        <v>0</v>
      </c>
      <c r="M9" s="34">
        <v>0</v>
      </c>
      <c r="N9" s="34">
        <v>233000</v>
      </c>
      <c r="O9" s="34">
        <v>0</v>
      </c>
      <c r="P9" s="34">
        <v>0</v>
      </c>
      <c r="Q9" s="34">
        <v>0</v>
      </c>
      <c r="R9" s="34">
        <f t="shared" si="649"/>
        <v>233000</v>
      </c>
      <c r="S9" s="35">
        <f t="shared" si="650"/>
        <v>233000</v>
      </c>
      <c r="T9" s="35">
        <f t="shared" si="651"/>
        <v>153000</v>
      </c>
      <c r="U9" s="19">
        <f t="shared" si="652"/>
        <v>2.9125000000000001</v>
      </c>
    </row>
    <row r="10">
      <c r="A10" s="9" t="s">
        <v>34</v>
      </c>
      <c r="B10" s="9" t="s">
        <v>35</v>
      </c>
      <c r="C10" s="14">
        <v>409183</v>
      </c>
      <c r="D10" s="11">
        <v>2.1696780588381257</v>
      </c>
      <c r="E10" s="12">
        <f t="shared" si="644"/>
        <v>887795.37714956084</v>
      </c>
      <c r="F10" s="13">
        <v>0</v>
      </c>
      <c r="G10" s="13">
        <v>0</v>
      </c>
      <c r="H10" s="13">
        <v>0</v>
      </c>
      <c r="I10" s="16">
        <f t="shared" si="645"/>
        <v>0</v>
      </c>
      <c r="J10" s="17">
        <f t="shared" si="646"/>
        <v>409183</v>
      </c>
      <c r="K10" s="18">
        <f t="shared" si="647"/>
        <v>0</v>
      </c>
      <c r="L10" s="19">
        <f t="shared" si="648"/>
        <v>0</v>
      </c>
      <c r="M10" s="34">
        <v>0</v>
      </c>
      <c r="N10" s="34">
        <v>120000</v>
      </c>
      <c r="O10" s="34">
        <v>0</v>
      </c>
      <c r="P10" s="34">
        <v>237000</v>
      </c>
      <c r="Q10" s="34">
        <v>0</v>
      </c>
      <c r="R10" s="34">
        <f t="shared" si="649"/>
        <v>357000</v>
      </c>
      <c r="S10" s="35">
        <f t="shared" si="650"/>
        <v>357000</v>
      </c>
      <c r="T10" s="35">
        <f t="shared" si="651"/>
        <v>-52183</v>
      </c>
      <c r="U10" s="19">
        <f t="shared" si="652"/>
        <v>0.87247026391614513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44"/>
        <v>0</v>
      </c>
      <c r="F11" s="13">
        <v>0</v>
      </c>
      <c r="G11" s="13">
        <v>0</v>
      </c>
      <c r="H11" s="13">
        <v>0</v>
      </c>
      <c r="I11" s="16">
        <f t="shared" si="645"/>
        <v>0</v>
      </c>
      <c r="J11" s="17">
        <f t="shared" si="646"/>
        <v>0</v>
      </c>
      <c r="K11" s="18">
        <f t="shared" si="647"/>
        <v>0</v>
      </c>
      <c r="L11" s="19" t="e">
        <f t="shared" si="648"/>
        <v>#DIV/0!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f t="shared" si="649"/>
        <v>0</v>
      </c>
      <c r="S11" s="35">
        <f t="shared" si="650"/>
        <v>0</v>
      </c>
      <c r="T11" s="35">
        <f t="shared" si="651"/>
        <v>0</v>
      </c>
      <c r="U11" s="19" t="e">
        <f t="shared" si="652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44"/>
        <v>0</v>
      </c>
      <c r="F12" s="13">
        <v>0</v>
      </c>
      <c r="G12" s="13">
        <v>0</v>
      </c>
      <c r="H12" s="13">
        <v>0</v>
      </c>
      <c r="I12" s="16">
        <f t="shared" si="645"/>
        <v>0</v>
      </c>
      <c r="J12" s="17">
        <f t="shared" si="646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49"/>
        <v>0</v>
      </c>
      <c r="S12" s="35">
        <f t="shared" si="650"/>
        <v>0</v>
      </c>
      <c r="T12" s="35">
        <f t="shared" si="651"/>
        <v>0</v>
      </c>
      <c r="U12" s="19" t="e">
        <f t="shared" si="652"/>
        <v>#DIV/0!</v>
      </c>
    </row>
    <row r="13">
      <c r="A13" s="9" t="s">
        <v>40</v>
      </c>
      <c r="B13" s="9" t="s">
        <v>41</v>
      </c>
      <c r="C13" s="14">
        <v>87200</v>
      </c>
      <c r="D13" s="11">
        <v>4.3295293823675376</v>
      </c>
      <c r="E13" s="12">
        <f t="shared" si="644"/>
        <v>377534.96214244928</v>
      </c>
      <c r="F13" s="13">
        <v>133461</v>
      </c>
      <c r="G13" s="13">
        <v>0</v>
      </c>
      <c r="H13" s="13">
        <v>0</v>
      </c>
      <c r="I13" s="16">
        <f>F13+H13</f>
        <v>133461</v>
      </c>
      <c r="J13" s="17">
        <f t="shared" si="646"/>
        <v>87200</v>
      </c>
      <c r="K13" s="18">
        <f t="shared" si="647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49"/>
        <v>0</v>
      </c>
      <c r="S13" s="35">
        <f t="shared" si="650"/>
        <v>133461</v>
      </c>
      <c r="T13" s="35">
        <f t="shared" si="651"/>
        <v>46261</v>
      </c>
      <c r="U13" s="19">
        <f t="shared" si="652"/>
        <v>1.5305160550458716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44"/>
        <v>138900</v>
      </c>
      <c r="F14" s="13">
        <v>14986</v>
      </c>
      <c r="G14" s="13">
        <v>0</v>
      </c>
      <c r="H14" s="13">
        <v>0</v>
      </c>
      <c r="I14" s="16">
        <f t="shared" si="645"/>
        <v>14986</v>
      </c>
      <c r="J14" s="17">
        <f t="shared" si="646"/>
        <v>15000</v>
      </c>
      <c r="K14" s="18">
        <f t="shared" si="647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49"/>
        <v>0</v>
      </c>
      <c r="S14" s="35">
        <f t="shared" si="650"/>
        <v>14986</v>
      </c>
      <c r="T14" s="35">
        <f t="shared" si="651"/>
        <v>-14</v>
      </c>
      <c r="U14" s="19">
        <f t="shared" si="652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44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646"/>
        <v>10000</v>
      </c>
      <c r="K15" s="18">
        <f t="shared" si="647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49"/>
        <v>0</v>
      </c>
      <c r="S15" s="35">
        <f t="shared" si="650"/>
        <v>9980</v>
      </c>
      <c r="T15" s="35">
        <f t="shared" si="651"/>
        <v>-20</v>
      </c>
      <c r="U15" s="19">
        <f t="shared" si="652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44"/>
        <v>0</v>
      </c>
      <c r="F16" s="13">
        <v>0</v>
      </c>
      <c r="G16" s="13">
        <v>0</v>
      </c>
      <c r="H16" s="13">
        <v>0</v>
      </c>
      <c r="I16" s="16">
        <f t="shared" si="645"/>
        <v>0</v>
      </c>
      <c r="J16" s="17">
        <f t="shared" si="646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49"/>
        <v>0</v>
      </c>
      <c r="S16" s="35">
        <f t="shared" si="650"/>
        <v>0</v>
      </c>
      <c r="T16" s="35">
        <f t="shared" si="651"/>
        <v>0</v>
      </c>
      <c r="U16" s="19" t="e">
        <f t="shared" si="652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44"/>
        <v>0</v>
      </c>
      <c r="F17" s="13">
        <v>0</v>
      </c>
      <c r="G17" s="13">
        <v>0</v>
      </c>
      <c r="H17" s="13">
        <v>0</v>
      </c>
      <c r="I17" s="16">
        <f t="shared" si="645"/>
        <v>0</v>
      </c>
      <c r="J17" s="17">
        <f t="shared" si="646"/>
        <v>0</v>
      </c>
      <c r="K17" s="18">
        <f t="shared" si="647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49"/>
        <v>0</v>
      </c>
      <c r="S17" s="35">
        <f t="shared" si="650"/>
        <v>0</v>
      </c>
      <c r="T17" s="35">
        <f t="shared" si="651"/>
        <v>0</v>
      </c>
      <c r="U17" s="19" t="e">
        <f t="shared" si="652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44"/>
        <v>0</v>
      </c>
      <c r="F18" s="13">
        <v>0</v>
      </c>
      <c r="G18" s="13">
        <v>0</v>
      </c>
      <c r="H18" s="13">
        <v>0</v>
      </c>
      <c r="I18" s="16">
        <f t="shared" si="645"/>
        <v>0</v>
      </c>
      <c r="J18" s="17">
        <f t="shared" si="646"/>
        <v>0</v>
      </c>
      <c r="K18" s="18">
        <f>+G18*D18</f>
        <v>0</v>
      </c>
      <c r="L18" s="19" t="e">
        <f t="shared" ref="L18:L19" si="653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49"/>
        <v>0</v>
      </c>
      <c r="S18" s="35">
        <f t="shared" si="650"/>
        <v>0</v>
      </c>
      <c r="T18" s="35">
        <f t="shared" si="651"/>
        <v>0</v>
      </c>
      <c r="U18" s="19" t="e">
        <f t="shared" si="652"/>
        <v>#DIV/0!</v>
      </c>
    </row>
    <row r="19" ht="16.5">
      <c r="A19" s="21" t="s">
        <v>50</v>
      </c>
      <c r="B19" s="21"/>
      <c r="C19" s="36">
        <f>SUM(C3:C18)</f>
        <v>2534508</v>
      </c>
      <c r="D19" s="23"/>
      <c r="E19" s="22">
        <f t="shared" ref="E19:K19" si="654">SUM(E3:E18)</f>
        <v>4375339.3960383646</v>
      </c>
      <c r="F19" s="24">
        <f t="shared" si="654"/>
        <v>254615</v>
      </c>
      <c r="G19" s="24">
        <f t="shared" si="654"/>
        <v>154719</v>
      </c>
      <c r="H19" s="24">
        <f t="shared" si="654"/>
        <v>0</v>
      </c>
      <c r="I19" s="25">
        <f t="shared" si="654"/>
        <v>254615</v>
      </c>
      <c r="J19" s="26">
        <f t="shared" si="654"/>
        <v>2379789</v>
      </c>
      <c r="K19" s="26">
        <f t="shared" si="654"/>
        <v>308464.77093537594</v>
      </c>
      <c r="L19" s="27">
        <f t="shared" si="653"/>
        <v>0.070500764172643213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49"/>
        <v>0</v>
      </c>
      <c r="S19" s="35">
        <f t="shared" si="650"/>
        <v>409334</v>
      </c>
      <c r="T19" s="41"/>
    </row>
    <row r="20">
      <c r="B20" s="28"/>
      <c r="C20" s="28"/>
      <c r="D20" s="28"/>
      <c r="E20" s="28"/>
      <c r="K20" t="s">
        <v>64</v>
      </c>
    </row>
    <row r="21">
      <c r="B21" s="28"/>
      <c r="C21" s="28"/>
      <c r="D21" s="28"/>
      <c r="E21" s="28"/>
      <c r="F21" s="28"/>
      <c r="G21" s="42"/>
    </row>
    <row r="22" ht="16.5">
      <c r="B22" s="48" t="s">
        <v>64</v>
      </c>
      <c r="C22" s="49" t="s">
        <v>64</v>
      </c>
      <c r="D22" s="45" t="s">
        <v>64</v>
      </c>
      <c r="E22" s="42"/>
      <c r="F22" s="42"/>
      <c r="G22" s="42"/>
      <c r="H22" s="52" t="s">
        <v>64</v>
      </c>
    </row>
    <row r="23" ht="16.5">
      <c r="B23" s="48" t="s">
        <v>64</v>
      </c>
      <c r="C23" s="49" t="s">
        <v>64</v>
      </c>
      <c r="D23" s="45" t="s">
        <v>64</v>
      </c>
      <c r="E23" s="42" t="s">
        <v>64</v>
      </c>
      <c r="F23" s="42"/>
      <c r="G23" s="42"/>
      <c r="H23" s="52" t="s">
        <v>64</v>
      </c>
    </row>
    <row r="24" ht="16.5">
      <c r="B24" s="48" t="s">
        <v>64</v>
      </c>
      <c r="C24" s="49" t="s">
        <v>91</v>
      </c>
      <c r="D24" s="45"/>
      <c r="E24" s="42" t="s">
        <v>64</v>
      </c>
      <c r="F24" s="42"/>
      <c r="G24" s="42"/>
    </row>
    <row r="25" ht="16.5">
      <c r="B25" s="48" t="s">
        <v>64</v>
      </c>
      <c r="C25" s="49" t="s">
        <v>64</v>
      </c>
      <c r="D25" s="28"/>
      <c r="E25" s="28"/>
      <c r="F25" s="28"/>
      <c r="G25" s="28"/>
    </row>
    <row r="26" ht="16.5">
      <c r="B26" s="48" t="s">
        <v>64</v>
      </c>
      <c r="C26" s="49" t="s">
        <v>91</v>
      </c>
      <c r="D26" s="28"/>
      <c r="E26" s="28" t="s">
        <v>64</v>
      </c>
    </row>
    <row r="27" ht="16.5">
      <c r="B27" s="48" t="s">
        <v>64</v>
      </c>
      <c r="C27" s="49" t="s">
        <v>64</v>
      </c>
      <c r="D27" s="28"/>
      <c r="E27" s="28" t="s">
        <v>64</v>
      </c>
    </row>
    <row r="28" ht="16.5">
      <c r="B28" s="48" t="s">
        <v>64</v>
      </c>
      <c r="C28" s="49" t="s">
        <v>64</v>
      </c>
    </row>
    <row r="29" ht="16.5">
      <c r="B29" s="48" t="s">
        <v>64</v>
      </c>
      <c r="C29" s="49" t="s">
        <v>64</v>
      </c>
    </row>
    <row r="30">
      <c r="B30" s="28"/>
      <c r="C30" s="28"/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BD0081-00A8-40E8-BDAC-005C006A0004}">
            <xm:f>$TM21&gt;41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12" operator="greaterThan" id="{00B50001-00EF-405D-B8AC-00090091001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3000AD-00CA-4EAE-9221-00CB00CF007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BE0075-00D2-45BA-AF6C-00D100A6004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9200E2-000D-4E7A-ADD9-008C00D2003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4F00B0-0021-42DB-92CE-002000EB009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8900CE-0020-4845-BE26-0073007B00F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AE003E-0036-4072-B8FA-00C000A000C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750014-00B4-44D7-AA19-00D200CA000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700CA-0020-4256-A122-0070003500A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23006A-00B4-4F5D-AF00-00E5003D009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90074-00E2-4B61-A58F-00A4002B005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B00FA-00FF-40FB-AFA8-00EB004600A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21" activeCellId="0" sqref="G21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134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655">C3*D3</f>
        <v>1301570.1264771565</v>
      </c>
      <c r="F3" s="13">
        <v>0</v>
      </c>
      <c r="G3" s="44">
        <v>279968</v>
      </c>
      <c r="H3" s="13">
        <v>56488</v>
      </c>
      <c r="I3" s="16">
        <f t="shared" ref="I3:I18" si="656">F3+H3</f>
        <v>56488</v>
      </c>
      <c r="J3" s="17">
        <f t="shared" ref="J3:J18" si="657">C3-G3</f>
        <v>170032</v>
      </c>
      <c r="K3" s="18">
        <f t="shared" ref="K3:K17" si="658">+G3*D3</f>
        <v>809773.30037679244</v>
      </c>
      <c r="L3" s="19">
        <f t="shared" ref="L3:L11" si="659">K3/E3</f>
        <v>0.62215111111111121</v>
      </c>
      <c r="M3" s="34">
        <v>0</v>
      </c>
      <c r="N3" s="58">
        <v>0</v>
      </c>
      <c r="O3" s="55">
        <v>92500</v>
      </c>
      <c r="P3" s="34">
        <v>55000</v>
      </c>
      <c r="Q3" s="34">
        <v>0</v>
      </c>
      <c r="R3" s="34">
        <f t="shared" ref="R3:R19" si="660">M3+N3+O3+P3+Q3</f>
        <v>147500</v>
      </c>
      <c r="S3" s="35">
        <f t="shared" ref="S3:S19" si="661">G3+I3+R3</f>
        <v>483956</v>
      </c>
      <c r="T3" s="35">
        <f t="shared" ref="T3:T18" si="662">S3-C3</f>
        <v>33956</v>
      </c>
      <c r="U3" s="19">
        <f t="shared" ref="U3:U18" si="663">S3/C3</f>
        <v>1.0754577777777778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655"/>
        <v>913105.5150918765</v>
      </c>
      <c r="F4" s="13">
        <v>251976</v>
      </c>
      <c r="G4" s="13">
        <v>68737</v>
      </c>
      <c r="H4" s="13">
        <v>0</v>
      </c>
      <c r="I4" s="16">
        <f t="shared" si="656"/>
        <v>251976</v>
      </c>
      <c r="J4" s="17">
        <f t="shared" si="657"/>
        <v>632070</v>
      </c>
      <c r="K4" s="18">
        <f t="shared" si="658"/>
        <v>89559.798619120978</v>
      </c>
      <c r="L4" s="19">
        <f t="shared" si="659"/>
        <v>0.098082639014735865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660"/>
        <v>0</v>
      </c>
      <c r="S4" s="35">
        <f t="shared" si="661"/>
        <v>320713</v>
      </c>
      <c r="T4" s="35">
        <f t="shared" si="662"/>
        <v>-380094</v>
      </c>
      <c r="U4" s="19">
        <f t="shared" si="663"/>
        <v>0.45763384212771846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55"/>
        <v>0</v>
      </c>
      <c r="F5" s="13">
        <v>0</v>
      </c>
      <c r="G5" s="13">
        <v>0</v>
      </c>
      <c r="H5" s="13">
        <v>0</v>
      </c>
      <c r="I5" s="16">
        <f t="shared" si="656"/>
        <v>0</v>
      </c>
      <c r="J5" s="17">
        <f t="shared" si="657"/>
        <v>0</v>
      </c>
      <c r="K5" s="18">
        <f t="shared" si="65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660"/>
        <v>0</v>
      </c>
      <c r="S5" s="35">
        <f t="shared" si="661"/>
        <v>0</v>
      </c>
      <c r="T5" s="35">
        <f t="shared" si="662"/>
        <v>0</v>
      </c>
      <c r="U5" s="19" t="e">
        <f t="shared" si="663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655"/>
        <v>396259.25229770731</v>
      </c>
      <c r="F6" s="13">
        <v>126702</v>
      </c>
      <c r="G6" s="44">
        <v>31587</v>
      </c>
      <c r="H6" s="44">
        <v>0</v>
      </c>
      <c r="I6" s="16">
        <f t="shared" si="656"/>
        <v>126702</v>
      </c>
      <c r="J6" s="17">
        <f t="shared" si="657"/>
        <v>315088</v>
      </c>
      <c r="K6" s="18">
        <f t="shared" si="658"/>
        <v>36104.827294519884</v>
      </c>
      <c r="L6" s="19">
        <f t="shared" si="659"/>
        <v>0.091114155909713709</v>
      </c>
      <c r="M6" s="34">
        <v>0</v>
      </c>
      <c r="N6" s="58">
        <v>0</v>
      </c>
      <c r="O6" s="55">
        <v>157000</v>
      </c>
      <c r="P6" s="34">
        <v>63000</v>
      </c>
      <c r="Q6" s="34">
        <v>0</v>
      </c>
      <c r="R6" s="34">
        <f t="shared" si="660"/>
        <v>220000</v>
      </c>
      <c r="S6" s="35">
        <f t="shared" si="661"/>
        <v>378289</v>
      </c>
      <c r="T6" s="35">
        <f t="shared" si="662"/>
        <v>31614</v>
      </c>
      <c r="U6" s="19">
        <f t="shared" si="663"/>
        <v>1.091192038652917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55"/>
        <v>127089.15534221899</v>
      </c>
      <c r="F7" s="13">
        <v>450</v>
      </c>
      <c r="G7" s="44">
        <v>88573</v>
      </c>
      <c r="H7" s="13">
        <v>0</v>
      </c>
      <c r="I7" s="16">
        <f t="shared" si="656"/>
        <v>450</v>
      </c>
      <c r="J7" s="17">
        <f t="shared" si="657"/>
        <v>111811</v>
      </c>
      <c r="K7" s="18">
        <f t="shared" si="658"/>
        <v>56175.481855469312</v>
      </c>
      <c r="L7" s="19">
        <f t="shared" si="659"/>
        <v>0.44201632864899393</v>
      </c>
      <c r="M7" s="34">
        <v>0</v>
      </c>
      <c r="N7" s="58">
        <v>0</v>
      </c>
      <c r="O7" s="55">
        <v>528000</v>
      </c>
      <c r="P7" s="34">
        <v>0</v>
      </c>
      <c r="Q7" s="34">
        <v>0</v>
      </c>
      <c r="R7" s="34">
        <f t="shared" si="660"/>
        <v>528000</v>
      </c>
      <c r="S7" s="35">
        <f t="shared" si="661"/>
        <v>617023</v>
      </c>
      <c r="T7" s="35">
        <f t="shared" si="662"/>
        <v>416639</v>
      </c>
      <c r="U7" s="19">
        <f t="shared" si="663"/>
        <v>3.0792029303736825</v>
      </c>
    </row>
    <row r="8">
      <c r="A8" s="9" t="s">
        <v>30</v>
      </c>
      <c r="B8" s="9" t="s">
        <v>31</v>
      </c>
      <c r="C8" s="14">
        <v>363915</v>
      </c>
      <c r="D8" s="11">
        <v>0.89352805883812592</v>
      </c>
      <c r="E8" s="12">
        <f t="shared" si="655"/>
        <v>325168.26353207661</v>
      </c>
      <c r="F8" s="44">
        <v>218683</v>
      </c>
      <c r="G8" s="13">
        <v>0</v>
      </c>
      <c r="H8" s="44">
        <v>0</v>
      </c>
      <c r="I8" s="16">
        <f t="shared" si="656"/>
        <v>218683</v>
      </c>
      <c r="J8" s="17">
        <f t="shared" si="657"/>
        <v>363915</v>
      </c>
      <c r="K8" s="18">
        <f t="shared" si="658"/>
        <v>0</v>
      </c>
      <c r="L8" s="19">
        <f t="shared" si="659"/>
        <v>0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660"/>
        <v>130000</v>
      </c>
      <c r="S8" s="35">
        <f t="shared" si="661"/>
        <v>348683</v>
      </c>
      <c r="T8" s="35">
        <f t="shared" si="662"/>
        <v>-15232</v>
      </c>
      <c r="U8" s="19">
        <f t="shared" si="663"/>
        <v>0.95814407210474972</v>
      </c>
    </row>
    <row r="9">
      <c r="A9" s="9" t="s">
        <v>32</v>
      </c>
      <c r="B9" s="9" t="s">
        <v>33</v>
      </c>
      <c r="C9" s="14">
        <v>81500</v>
      </c>
      <c r="D9" s="11">
        <v>1.0683280588381256</v>
      </c>
      <c r="E9" s="12">
        <f t="shared" si="655"/>
        <v>87068.736795307239</v>
      </c>
      <c r="F9" s="13">
        <v>233075</v>
      </c>
      <c r="G9" s="13">
        <v>0</v>
      </c>
      <c r="H9" s="13">
        <v>0</v>
      </c>
      <c r="I9" s="16">
        <f t="shared" si="656"/>
        <v>233075</v>
      </c>
      <c r="J9" s="17">
        <f t="shared" si="657"/>
        <v>81500</v>
      </c>
      <c r="K9" s="18">
        <f t="shared" si="658"/>
        <v>0</v>
      </c>
      <c r="L9" s="19">
        <f t="shared" si="659"/>
        <v>0</v>
      </c>
      <c r="M9" s="34">
        <v>0</v>
      </c>
      <c r="N9" s="58">
        <v>233000</v>
      </c>
      <c r="O9" s="34">
        <v>0</v>
      </c>
      <c r="P9" s="34">
        <v>0</v>
      </c>
      <c r="Q9" s="34">
        <v>0</v>
      </c>
      <c r="R9" s="34">
        <f t="shared" si="660"/>
        <v>233000</v>
      </c>
      <c r="S9" s="35">
        <f t="shared" si="661"/>
        <v>466075</v>
      </c>
      <c r="T9" s="35">
        <f t="shared" si="662"/>
        <v>384575</v>
      </c>
      <c r="U9" s="19">
        <f t="shared" si="663"/>
        <v>5.7187116564417177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655"/>
        <v>841835.08682919282</v>
      </c>
      <c r="F10" s="13">
        <v>0</v>
      </c>
      <c r="G10" s="13">
        <v>0</v>
      </c>
      <c r="H10" s="13">
        <v>0</v>
      </c>
      <c r="I10" s="16">
        <f t="shared" si="656"/>
        <v>0</v>
      </c>
      <c r="J10" s="17">
        <f t="shared" si="657"/>
        <v>388000</v>
      </c>
      <c r="K10" s="18">
        <f t="shared" si="658"/>
        <v>0</v>
      </c>
      <c r="L10" s="19">
        <f t="shared" si="659"/>
        <v>0</v>
      </c>
      <c r="M10" s="34">
        <v>0</v>
      </c>
      <c r="N10" s="58">
        <v>120000</v>
      </c>
      <c r="O10" s="34">
        <v>0</v>
      </c>
      <c r="P10" s="34">
        <v>237000</v>
      </c>
      <c r="Q10" s="34">
        <v>0</v>
      </c>
      <c r="R10" s="34">
        <f t="shared" si="660"/>
        <v>357000</v>
      </c>
      <c r="S10" s="35">
        <f t="shared" si="661"/>
        <v>357000</v>
      </c>
      <c r="T10" s="35">
        <f t="shared" si="662"/>
        <v>-31000</v>
      </c>
      <c r="U10" s="19">
        <f t="shared" si="663"/>
        <v>0.92010309278350511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55"/>
        <v>0</v>
      </c>
      <c r="F11" s="13">
        <v>0</v>
      </c>
      <c r="G11" s="13">
        <v>0</v>
      </c>
      <c r="H11" s="13">
        <v>0</v>
      </c>
      <c r="I11" s="16">
        <f t="shared" si="656"/>
        <v>0</v>
      </c>
      <c r="J11" s="17">
        <f t="shared" si="657"/>
        <v>0</v>
      </c>
      <c r="K11" s="18">
        <f t="shared" si="658"/>
        <v>0</v>
      </c>
      <c r="L11" s="19" t="e">
        <f t="shared" si="659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660"/>
        <v>0</v>
      </c>
      <c r="S11" s="35">
        <f t="shared" si="661"/>
        <v>0</v>
      </c>
      <c r="T11" s="35">
        <f t="shared" si="662"/>
        <v>0</v>
      </c>
      <c r="U11" s="19" t="e">
        <f t="shared" si="66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55"/>
        <v>0</v>
      </c>
      <c r="F12" s="13">
        <v>0</v>
      </c>
      <c r="G12" s="13">
        <v>0</v>
      </c>
      <c r="H12" s="13">
        <v>0</v>
      </c>
      <c r="I12" s="16">
        <f t="shared" si="656"/>
        <v>0</v>
      </c>
      <c r="J12" s="17">
        <f t="shared" si="65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60"/>
        <v>0</v>
      </c>
      <c r="S12" s="35">
        <f t="shared" si="661"/>
        <v>0</v>
      </c>
      <c r="T12" s="35">
        <f t="shared" si="662"/>
        <v>0</v>
      </c>
      <c r="U12" s="19" t="e">
        <f t="shared" si="663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655"/>
        <v>432952.93823675375</v>
      </c>
      <c r="F13" s="13">
        <v>133461</v>
      </c>
      <c r="G13" s="13">
        <v>0</v>
      </c>
      <c r="H13" s="13">
        <v>0</v>
      </c>
      <c r="I13" s="16">
        <f>F13+H13</f>
        <v>133461</v>
      </c>
      <c r="J13" s="17">
        <f t="shared" si="657"/>
        <v>100000</v>
      </c>
      <c r="K13" s="18">
        <f t="shared" si="65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60"/>
        <v>0</v>
      </c>
      <c r="S13" s="35">
        <f t="shared" si="661"/>
        <v>133461</v>
      </c>
      <c r="T13" s="35">
        <f t="shared" si="662"/>
        <v>33461</v>
      </c>
      <c r="U13" s="19">
        <f t="shared" si="663"/>
        <v>1.3346100000000001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55"/>
        <v>138900</v>
      </c>
      <c r="F14" s="13">
        <v>14986</v>
      </c>
      <c r="G14" s="13">
        <v>0</v>
      </c>
      <c r="H14" s="13">
        <v>0</v>
      </c>
      <c r="I14" s="16">
        <f t="shared" si="656"/>
        <v>14986</v>
      </c>
      <c r="J14" s="17">
        <f t="shared" si="657"/>
        <v>15000</v>
      </c>
      <c r="K14" s="18">
        <f t="shared" si="65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60"/>
        <v>0</v>
      </c>
      <c r="S14" s="35">
        <f t="shared" si="661"/>
        <v>14986</v>
      </c>
      <c r="T14" s="35">
        <f t="shared" si="662"/>
        <v>-14</v>
      </c>
      <c r="U14" s="19">
        <f t="shared" si="663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55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657"/>
        <v>10000</v>
      </c>
      <c r="K15" s="18">
        <f t="shared" si="65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60"/>
        <v>0</v>
      </c>
      <c r="S15" s="35">
        <f t="shared" si="661"/>
        <v>9980</v>
      </c>
      <c r="T15" s="35">
        <f t="shared" si="662"/>
        <v>-20</v>
      </c>
      <c r="U15" s="19">
        <f t="shared" si="663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55"/>
        <v>0</v>
      </c>
      <c r="F16" s="13">
        <v>0</v>
      </c>
      <c r="G16" s="13">
        <v>0</v>
      </c>
      <c r="H16" s="13">
        <v>0</v>
      </c>
      <c r="I16" s="16">
        <f t="shared" si="656"/>
        <v>0</v>
      </c>
      <c r="J16" s="17">
        <f t="shared" si="657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60"/>
        <v>0</v>
      </c>
      <c r="S16" s="35">
        <f t="shared" si="661"/>
        <v>0</v>
      </c>
      <c r="T16" s="35">
        <f t="shared" si="662"/>
        <v>0</v>
      </c>
      <c r="U16" s="19" t="e">
        <f t="shared" si="663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55"/>
        <v>0</v>
      </c>
      <c r="F17" s="13">
        <v>0</v>
      </c>
      <c r="G17" s="13">
        <v>0</v>
      </c>
      <c r="H17" s="13">
        <v>0</v>
      </c>
      <c r="I17" s="16">
        <f t="shared" si="656"/>
        <v>0</v>
      </c>
      <c r="J17" s="17">
        <f t="shared" si="657"/>
        <v>0</v>
      </c>
      <c r="K17" s="18">
        <f t="shared" si="658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60"/>
        <v>0</v>
      </c>
      <c r="S17" s="35">
        <f t="shared" si="661"/>
        <v>0</v>
      </c>
      <c r="T17" s="35">
        <f t="shared" si="662"/>
        <v>0</v>
      </c>
      <c r="U17" s="19" t="e">
        <f t="shared" si="663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55"/>
        <v>0</v>
      </c>
      <c r="F18" s="13">
        <v>0</v>
      </c>
      <c r="G18" s="13">
        <v>0</v>
      </c>
      <c r="H18" s="13">
        <v>0</v>
      </c>
      <c r="I18" s="16">
        <f t="shared" si="656"/>
        <v>0</v>
      </c>
      <c r="J18" s="17">
        <f t="shared" si="657"/>
        <v>0</v>
      </c>
      <c r="K18" s="18">
        <f>+G18*D18</f>
        <v>0</v>
      </c>
      <c r="L18" s="19" t="e">
        <f t="shared" ref="L18:L19" si="664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60"/>
        <v>0</v>
      </c>
      <c r="S18" s="35">
        <f t="shared" si="661"/>
        <v>0</v>
      </c>
      <c r="T18" s="35">
        <f t="shared" si="662"/>
        <v>0</v>
      </c>
      <c r="U18" s="19" t="e">
        <f t="shared" si="663"/>
        <v>#DIV/0!</v>
      </c>
    </row>
    <row r="19" ht="16.5">
      <c r="A19" s="21" t="s">
        <v>50</v>
      </c>
      <c r="B19" s="21"/>
      <c r="C19" s="36">
        <f>SUM(C3:C18)</f>
        <v>2656281</v>
      </c>
      <c r="D19" s="23"/>
      <c r="E19" s="22">
        <f t="shared" ref="E19:K19" si="665">SUM(E3:E18)</f>
        <v>4653337.8566612592</v>
      </c>
      <c r="F19" s="24">
        <f t="shared" si="665"/>
        <v>989313</v>
      </c>
      <c r="G19" s="24">
        <f t="shared" si="665"/>
        <v>468865</v>
      </c>
      <c r="H19" s="24">
        <f t="shared" si="665"/>
        <v>56488</v>
      </c>
      <c r="I19" s="25">
        <f t="shared" si="665"/>
        <v>1045801</v>
      </c>
      <c r="J19" s="26">
        <f t="shared" si="665"/>
        <v>2187416</v>
      </c>
      <c r="K19" s="26">
        <f t="shared" si="665"/>
        <v>991613.40814590256</v>
      </c>
      <c r="L19" s="27">
        <f t="shared" si="664"/>
        <v>0.21309723013694495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60"/>
        <v>0</v>
      </c>
      <c r="S19" s="35">
        <f t="shared" si="661"/>
        <v>1514666</v>
      </c>
      <c r="T19" s="41"/>
    </row>
    <row r="20">
      <c r="B20" s="28"/>
      <c r="C20" s="28"/>
      <c r="D20" s="28"/>
      <c r="E20" s="28"/>
      <c r="K20" t="s">
        <v>64</v>
      </c>
    </row>
    <row r="22">
      <c r="F22" t="s">
        <v>64</v>
      </c>
    </row>
    <row r="23">
      <c r="F23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600D2-00E0-4A8B-9C45-0016006A003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BF009D-0072-496B-92CB-000700B7001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D10067-00F9-4524-BAAB-00850041009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8600D6-004F-4651-B9D7-00550052004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E9006B-00E3-41CC-A5D8-001100EC00B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8200C5-0000-45E5-BF0E-00630073009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840037-00E7-4244-88E7-0080004B004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960010-0095-4CDC-AD37-00BF008C003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9F0036-0046-4404-82CB-00DB0021008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DC0020-006A-419A-B352-00A5009900B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C0007E-0079-4487-A492-004200A000B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550077-005B-40D3-90ED-004B003E000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11" activeCellId="0" sqref="G11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135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666">C3*D3</f>
        <v>1301570.1264771565</v>
      </c>
      <c r="F3" s="13">
        <v>18827</v>
      </c>
      <c r="G3" s="44">
        <v>279968</v>
      </c>
      <c r="H3" s="13">
        <v>56488</v>
      </c>
      <c r="I3" s="16">
        <f t="shared" ref="I3:I18" si="667">F3+H3</f>
        <v>75315</v>
      </c>
      <c r="J3" s="17">
        <f t="shared" ref="J3:J18" si="668">C3-G3</f>
        <v>170032</v>
      </c>
      <c r="K3" s="18">
        <f t="shared" ref="K3:K17" si="669">+G3*D3</f>
        <v>809773.30037679244</v>
      </c>
      <c r="L3" s="19">
        <f t="shared" ref="L3:L11" si="670">K3/E3</f>
        <v>0.62215111111111121</v>
      </c>
      <c r="M3" s="34">
        <v>0</v>
      </c>
      <c r="N3" s="58">
        <v>0</v>
      </c>
      <c r="O3" s="55">
        <v>92500</v>
      </c>
      <c r="P3" s="34">
        <v>55000</v>
      </c>
      <c r="Q3" s="34">
        <v>0</v>
      </c>
      <c r="R3" s="34">
        <f t="shared" ref="R3:R19" si="671">M3+N3+O3+P3+Q3</f>
        <v>147500</v>
      </c>
      <c r="S3" s="35">
        <f t="shared" ref="S3:S19" si="672">G3+I3+R3</f>
        <v>502783</v>
      </c>
      <c r="T3" s="35">
        <f t="shared" ref="T3:T18" si="673">S3-C3</f>
        <v>52783</v>
      </c>
      <c r="U3" s="19">
        <f t="shared" ref="U3:U18" si="674">S3/C3</f>
        <v>1.1172955555555555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666"/>
        <v>913105.5150918765</v>
      </c>
      <c r="F4" s="13">
        <v>251976</v>
      </c>
      <c r="G4" s="13">
        <v>68737</v>
      </c>
      <c r="H4" s="13">
        <v>0</v>
      </c>
      <c r="I4" s="16">
        <f t="shared" si="667"/>
        <v>251976</v>
      </c>
      <c r="J4" s="17">
        <f t="shared" si="668"/>
        <v>632070</v>
      </c>
      <c r="K4" s="18">
        <f t="shared" si="669"/>
        <v>89559.798619120978</v>
      </c>
      <c r="L4" s="19">
        <f t="shared" si="670"/>
        <v>0.098082639014735865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671"/>
        <v>0</v>
      </c>
      <c r="S4" s="35">
        <f t="shared" si="672"/>
        <v>320713</v>
      </c>
      <c r="T4" s="35">
        <f t="shared" si="673"/>
        <v>-380094</v>
      </c>
      <c r="U4" s="19">
        <f t="shared" si="674"/>
        <v>0.45763384212771846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66"/>
        <v>0</v>
      </c>
      <c r="F5" s="13">
        <v>0</v>
      </c>
      <c r="G5" s="13">
        <v>0</v>
      </c>
      <c r="H5" s="13">
        <v>0</v>
      </c>
      <c r="I5" s="16">
        <f t="shared" si="667"/>
        <v>0</v>
      </c>
      <c r="J5" s="17">
        <f t="shared" si="668"/>
        <v>0</v>
      </c>
      <c r="K5" s="18">
        <f t="shared" si="669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671"/>
        <v>0</v>
      </c>
      <c r="S5" s="35">
        <f t="shared" si="672"/>
        <v>0</v>
      </c>
      <c r="T5" s="35">
        <f t="shared" si="673"/>
        <v>0</v>
      </c>
      <c r="U5" s="19" t="e">
        <f t="shared" si="674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666"/>
        <v>396259.25229770731</v>
      </c>
      <c r="F6" s="13">
        <v>30914</v>
      </c>
      <c r="G6" s="44">
        <v>31587</v>
      </c>
      <c r="H6" s="44">
        <v>126702</v>
      </c>
      <c r="I6" s="16">
        <f t="shared" si="667"/>
        <v>157616</v>
      </c>
      <c r="J6" s="17">
        <f t="shared" si="668"/>
        <v>315088</v>
      </c>
      <c r="K6" s="18">
        <f t="shared" si="669"/>
        <v>36104.827294519884</v>
      </c>
      <c r="L6" s="19">
        <f t="shared" si="670"/>
        <v>0.091114155909713709</v>
      </c>
      <c r="M6" s="34">
        <v>0</v>
      </c>
      <c r="N6" s="58">
        <v>0</v>
      </c>
      <c r="O6" s="55">
        <v>157000</v>
      </c>
      <c r="P6" s="34">
        <v>63000</v>
      </c>
      <c r="Q6" s="34">
        <v>0</v>
      </c>
      <c r="R6" s="34">
        <f t="shared" si="671"/>
        <v>220000</v>
      </c>
      <c r="S6" s="35">
        <f t="shared" si="672"/>
        <v>409203</v>
      </c>
      <c r="T6" s="35">
        <f t="shared" si="673"/>
        <v>62528</v>
      </c>
      <c r="U6" s="19">
        <f t="shared" si="674"/>
        <v>1.1803648950746377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66"/>
        <v>127089.15534221899</v>
      </c>
      <c r="F7" s="13">
        <v>450</v>
      </c>
      <c r="G7" s="44">
        <v>88573</v>
      </c>
      <c r="H7" s="13">
        <v>0</v>
      </c>
      <c r="I7" s="16">
        <f t="shared" si="667"/>
        <v>450</v>
      </c>
      <c r="J7" s="17">
        <f t="shared" si="668"/>
        <v>111811</v>
      </c>
      <c r="K7" s="18">
        <f t="shared" si="669"/>
        <v>56175.481855469312</v>
      </c>
      <c r="L7" s="19">
        <f t="shared" si="670"/>
        <v>0.44201632864899393</v>
      </c>
      <c r="M7" s="34">
        <v>0</v>
      </c>
      <c r="N7" s="58">
        <v>0</v>
      </c>
      <c r="O7" s="55">
        <v>528000</v>
      </c>
      <c r="P7" s="34">
        <v>0</v>
      </c>
      <c r="Q7" s="34">
        <v>0</v>
      </c>
      <c r="R7" s="34">
        <f t="shared" si="671"/>
        <v>528000</v>
      </c>
      <c r="S7" s="35">
        <f t="shared" si="672"/>
        <v>617023</v>
      </c>
      <c r="T7" s="35">
        <f t="shared" si="673"/>
        <v>416639</v>
      </c>
      <c r="U7" s="19">
        <f t="shared" si="674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666"/>
        <v>325168.26353207661</v>
      </c>
      <c r="F8" s="44">
        <v>44235</v>
      </c>
      <c r="G8" s="13">
        <v>178200</v>
      </c>
      <c r="H8" s="44">
        <v>40483</v>
      </c>
      <c r="I8" s="16">
        <f t="shared" si="667"/>
        <v>84718</v>
      </c>
      <c r="J8" s="17">
        <f t="shared" si="668"/>
        <v>185715</v>
      </c>
      <c r="K8" s="18">
        <f t="shared" si="669"/>
        <v>159226.70008495403</v>
      </c>
      <c r="L8" s="19">
        <f t="shared" si="670"/>
        <v>0.48967478669469516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671"/>
        <v>130000</v>
      </c>
      <c r="S8" s="35">
        <f t="shared" si="672"/>
        <v>392918</v>
      </c>
      <c r="T8" s="35">
        <f t="shared" si="673"/>
        <v>29003</v>
      </c>
      <c r="U8" s="19">
        <f t="shared" si="674"/>
        <v>1.0796971820342662</v>
      </c>
    </row>
    <row r="9">
      <c r="A9" s="9" t="s">
        <v>32</v>
      </c>
      <c r="B9" s="9" t="s">
        <v>33</v>
      </c>
      <c r="C9" s="14">
        <v>81500</v>
      </c>
      <c r="D9" s="11">
        <v>1.0683280588381256</v>
      </c>
      <c r="E9" s="12">
        <f t="shared" si="666"/>
        <v>87068.736795307239</v>
      </c>
      <c r="F9" s="13">
        <v>151575</v>
      </c>
      <c r="G9" s="13">
        <v>0</v>
      </c>
      <c r="H9" s="13">
        <v>81500</v>
      </c>
      <c r="I9" s="16">
        <f t="shared" si="667"/>
        <v>233075</v>
      </c>
      <c r="J9" s="17">
        <f t="shared" si="668"/>
        <v>81500</v>
      </c>
      <c r="K9" s="18">
        <f t="shared" si="669"/>
        <v>0</v>
      </c>
      <c r="L9" s="19">
        <f t="shared" si="670"/>
        <v>0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671"/>
        <v>0</v>
      </c>
      <c r="S9" s="35">
        <f t="shared" si="672"/>
        <v>233075</v>
      </c>
      <c r="T9" s="35">
        <f t="shared" si="673"/>
        <v>151575</v>
      </c>
      <c r="U9" s="19">
        <f t="shared" si="674"/>
        <v>2.8598159509202454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666"/>
        <v>841835.08682919282</v>
      </c>
      <c r="F10" s="13">
        <v>39298</v>
      </c>
      <c r="G10" s="13">
        <v>0</v>
      </c>
      <c r="H10" s="13">
        <v>0</v>
      </c>
      <c r="I10" s="16">
        <f t="shared" si="667"/>
        <v>39298</v>
      </c>
      <c r="J10" s="17">
        <f t="shared" si="668"/>
        <v>388000</v>
      </c>
      <c r="K10" s="18">
        <f t="shared" si="669"/>
        <v>0</v>
      </c>
      <c r="L10" s="19">
        <f t="shared" si="670"/>
        <v>0</v>
      </c>
      <c r="M10" s="34">
        <v>0</v>
      </c>
      <c r="N10" s="58">
        <v>0</v>
      </c>
      <c r="O10" s="55">
        <v>118000</v>
      </c>
      <c r="P10" s="34">
        <v>234000</v>
      </c>
      <c r="Q10" s="34">
        <v>0</v>
      </c>
      <c r="R10" s="34">
        <f t="shared" si="671"/>
        <v>352000</v>
      </c>
      <c r="S10" s="35">
        <f t="shared" si="672"/>
        <v>391298</v>
      </c>
      <c r="T10" s="35">
        <f t="shared" si="673"/>
        <v>3298</v>
      </c>
      <c r="U10" s="19">
        <f t="shared" si="674"/>
        <v>1.0085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66"/>
        <v>0</v>
      </c>
      <c r="F11" s="13">
        <v>0</v>
      </c>
      <c r="G11" s="13">
        <v>0</v>
      </c>
      <c r="H11" s="13">
        <v>0</v>
      </c>
      <c r="I11" s="16">
        <f t="shared" si="667"/>
        <v>0</v>
      </c>
      <c r="J11" s="17">
        <f t="shared" si="668"/>
        <v>0</v>
      </c>
      <c r="K11" s="18">
        <f t="shared" si="669"/>
        <v>0</v>
      </c>
      <c r="L11" s="19" t="e">
        <f t="shared" si="670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671"/>
        <v>0</v>
      </c>
      <c r="S11" s="35">
        <f t="shared" si="672"/>
        <v>0</v>
      </c>
      <c r="T11" s="35">
        <f t="shared" si="673"/>
        <v>0</v>
      </c>
      <c r="U11" s="19" t="e">
        <f t="shared" si="674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66"/>
        <v>0</v>
      </c>
      <c r="F12" s="13">
        <v>0</v>
      </c>
      <c r="G12" s="13">
        <v>0</v>
      </c>
      <c r="H12" s="13">
        <v>0</v>
      </c>
      <c r="I12" s="16">
        <f t="shared" si="667"/>
        <v>0</v>
      </c>
      <c r="J12" s="17">
        <f t="shared" si="668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71"/>
        <v>0</v>
      </c>
      <c r="S12" s="35">
        <f t="shared" si="672"/>
        <v>0</v>
      </c>
      <c r="T12" s="35">
        <f t="shared" si="673"/>
        <v>0</v>
      </c>
      <c r="U12" s="19" t="e">
        <f t="shared" si="674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666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668"/>
        <v>0</v>
      </c>
      <c r="K13" s="18">
        <f t="shared" si="669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71"/>
        <v>0</v>
      </c>
      <c r="S13" s="35">
        <f t="shared" si="672"/>
        <v>133460</v>
      </c>
      <c r="T13" s="35">
        <f t="shared" si="673"/>
        <v>33460</v>
      </c>
      <c r="U13" s="19">
        <f t="shared" si="674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66"/>
        <v>138900</v>
      </c>
      <c r="F14" s="13">
        <v>14986</v>
      </c>
      <c r="G14" s="13">
        <v>0</v>
      </c>
      <c r="H14" s="13">
        <v>0</v>
      </c>
      <c r="I14" s="16">
        <f t="shared" si="667"/>
        <v>14986</v>
      </c>
      <c r="J14" s="17">
        <f t="shared" si="668"/>
        <v>15000</v>
      </c>
      <c r="K14" s="18">
        <f t="shared" si="669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71"/>
        <v>0</v>
      </c>
      <c r="S14" s="35">
        <f t="shared" si="672"/>
        <v>14986</v>
      </c>
      <c r="T14" s="35">
        <f t="shared" si="673"/>
        <v>-14</v>
      </c>
      <c r="U14" s="19">
        <f t="shared" si="674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66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668"/>
        <v>10000</v>
      </c>
      <c r="K15" s="18">
        <f t="shared" si="669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71"/>
        <v>0</v>
      </c>
      <c r="S15" s="35">
        <f t="shared" si="672"/>
        <v>9980</v>
      </c>
      <c r="T15" s="35">
        <f t="shared" si="673"/>
        <v>-20</v>
      </c>
      <c r="U15" s="19">
        <f t="shared" si="674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66"/>
        <v>0</v>
      </c>
      <c r="F16" s="13">
        <v>0</v>
      </c>
      <c r="G16" s="13">
        <v>0</v>
      </c>
      <c r="H16" s="13">
        <v>0</v>
      </c>
      <c r="I16" s="16">
        <f t="shared" si="667"/>
        <v>0</v>
      </c>
      <c r="J16" s="17">
        <f t="shared" si="668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71"/>
        <v>0</v>
      </c>
      <c r="S16" s="35">
        <f t="shared" si="672"/>
        <v>0</v>
      </c>
      <c r="T16" s="35">
        <f t="shared" si="673"/>
        <v>0</v>
      </c>
      <c r="U16" s="19" t="e">
        <f t="shared" si="674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66"/>
        <v>0</v>
      </c>
      <c r="F17" s="13">
        <v>0</v>
      </c>
      <c r="G17" s="13">
        <v>0</v>
      </c>
      <c r="H17" s="13">
        <v>0</v>
      </c>
      <c r="I17" s="16">
        <f t="shared" si="667"/>
        <v>0</v>
      </c>
      <c r="J17" s="17">
        <f t="shared" si="668"/>
        <v>0</v>
      </c>
      <c r="K17" s="18">
        <f t="shared" si="669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71"/>
        <v>0</v>
      </c>
      <c r="S17" s="35">
        <f t="shared" si="672"/>
        <v>0</v>
      </c>
      <c r="T17" s="35">
        <f t="shared" si="673"/>
        <v>0</v>
      </c>
      <c r="U17" s="19" t="e">
        <f t="shared" si="674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66"/>
        <v>0</v>
      </c>
      <c r="F18" s="13">
        <v>0</v>
      </c>
      <c r="G18" s="13">
        <v>0</v>
      </c>
      <c r="H18" s="13">
        <v>0</v>
      </c>
      <c r="I18" s="16">
        <f t="shared" si="667"/>
        <v>0</v>
      </c>
      <c r="J18" s="17">
        <f t="shared" si="668"/>
        <v>0</v>
      </c>
      <c r="K18" s="18">
        <f>+G18*D18</f>
        <v>0</v>
      </c>
      <c r="L18" s="19" t="e">
        <f t="shared" ref="L18:L19" si="675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71"/>
        <v>0</v>
      </c>
      <c r="S18" s="35">
        <f t="shared" si="672"/>
        <v>0</v>
      </c>
      <c r="T18" s="35">
        <f t="shared" si="673"/>
        <v>0</v>
      </c>
      <c r="U18" s="19" t="e">
        <f t="shared" si="674"/>
        <v>#DIV/0!</v>
      </c>
    </row>
    <row r="19" ht="16.5">
      <c r="A19" s="21" t="s">
        <v>50</v>
      </c>
      <c r="B19" s="21"/>
      <c r="C19" s="36">
        <f>SUM(C3:C18)</f>
        <v>2656281</v>
      </c>
      <c r="D19" s="23"/>
      <c r="E19" s="22">
        <f t="shared" ref="E19:K19" si="676">SUM(E3:E18)</f>
        <v>4653337.8566612592</v>
      </c>
      <c r="F19" s="24">
        <f t="shared" si="676"/>
        <v>595701</v>
      </c>
      <c r="G19" s="24">
        <f t="shared" si="676"/>
        <v>747065</v>
      </c>
      <c r="H19" s="24">
        <f t="shared" si="676"/>
        <v>305173</v>
      </c>
      <c r="I19" s="25">
        <f t="shared" si="676"/>
        <v>900874</v>
      </c>
      <c r="J19" s="26">
        <f t="shared" si="676"/>
        <v>1909216</v>
      </c>
      <c r="K19" s="26">
        <f t="shared" si="676"/>
        <v>1583793.0464676104</v>
      </c>
      <c r="L19" s="27">
        <f t="shared" si="675"/>
        <v>0.34035634102957052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71"/>
        <v>0</v>
      </c>
      <c r="S19" s="35">
        <f t="shared" si="672"/>
        <v>1647939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520020-00D9-4A99-BF5B-00A20052007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E500E8-0011-4530-8D29-00F100C5007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A900FA-005E-43A3-93D4-00DF002A00B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1D00C4-0002-4EA0-9389-008A0045009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B20040-00BF-4540-8709-009F0067005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F4009A-00A7-4042-B30E-00BF0031008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74001E-0028-41D8-82FD-002E007A00D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F002B-00A8-4EAB-B249-00E300A9006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0E0001-002D-4E89-BBED-00ED00CA000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3A0095-005E-4868-A86A-00C300C0005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580024-00CE-4EEB-8359-00AF00C300D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BE0021-0090-4BAF-AFED-00650007007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16" activeCellId="0" sqref="G16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136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677">C3*D3</f>
        <v>1301570.1264771565</v>
      </c>
      <c r="F3" s="13">
        <v>0</v>
      </c>
      <c r="G3" s="44">
        <v>279968</v>
      </c>
      <c r="H3" s="13">
        <v>75315</v>
      </c>
      <c r="I3" s="16">
        <f t="shared" ref="I3:I18" si="678">F3+H3</f>
        <v>75315</v>
      </c>
      <c r="J3" s="17">
        <f t="shared" ref="J3:J18" si="679">C3-G3</f>
        <v>170032</v>
      </c>
      <c r="K3" s="18">
        <f t="shared" ref="K3:K17" si="680">+G3*D3</f>
        <v>809773.30037679244</v>
      </c>
      <c r="L3" s="19">
        <f t="shared" ref="L3:L11" si="681">K3/E3</f>
        <v>0.62215111111111121</v>
      </c>
      <c r="M3" s="34">
        <v>0</v>
      </c>
      <c r="N3" s="58">
        <v>0</v>
      </c>
      <c r="O3" s="55">
        <v>92500</v>
      </c>
      <c r="P3" s="34">
        <v>55000</v>
      </c>
      <c r="Q3" s="34">
        <v>0</v>
      </c>
      <c r="R3" s="34">
        <f t="shared" ref="R3:R19" si="682">M3+N3+O3+P3+Q3</f>
        <v>147500</v>
      </c>
      <c r="S3" s="35">
        <f t="shared" ref="S3:S19" si="683">G3+I3+R3</f>
        <v>502783</v>
      </c>
      <c r="T3" s="35">
        <f t="shared" ref="T3:T18" si="684">S3-C3</f>
        <v>52783</v>
      </c>
      <c r="U3" s="19">
        <f t="shared" ref="U3:U18" si="685">S3/C3</f>
        <v>1.1172955555555555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677"/>
        <v>913105.5150918765</v>
      </c>
      <c r="F4" s="13">
        <v>251976</v>
      </c>
      <c r="G4" s="13">
        <v>68737</v>
      </c>
      <c r="H4" s="13">
        <v>0</v>
      </c>
      <c r="I4" s="16">
        <f t="shared" si="678"/>
        <v>251976</v>
      </c>
      <c r="J4" s="17">
        <f t="shared" si="679"/>
        <v>632070</v>
      </c>
      <c r="K4" s="18">
        <f t="shared" si="680"/>
        <v>89559.798619120978</v>
      </c>
      <c r="L4" s="19">
        <f t="shared" si="681"/>
        <v>0.098082639014735865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682"/>
        <v>0</v>
      </c>
      <c r="S4" s="35">
        <f t="shared" si="683"/>
        <v>320713</v>
      </c>
      <c r="T4" s="35">
        <f t="shared" si="684"/>
        <v>-380094</v>
      </c>
      <c r="U4" s="19">
        <f t="shared" si="685"/>
        <v>0.45763384212771846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77"/>
        <v>0</v>
      </c>
      <c r="F5" s="13">
        <v>0</v>
      </c>
      <c r="G5" s="13">
        <v>0</v>
      </c>
      <c r="H5" s="13">
        <v>0</v>
      </c>
      <c r="I5" s="16">
        <f t="shared" si="678"/>
        <v>0</v>
      </c>
      <c r="J5" s="17">
        <f t="shared" si="679"/>
        <v>0</v>
      </c>
      <c r="K5" s="18">
        <f t="shared" si="68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682"/>
        <v>0</v>
      </c>
      <c r="S5" s="35">
        <f t="shared" si="683"/>
        <v>0</v>
      </c>
      <c r="T5" s="35">
        <f t="shared" si="684"/>
        <v>0</v>
      </c>
      <c r="U5" s="19" t="e">
        <f t="shared" si="685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677"/>
        <v>396259.25229770731</v>
      </c>
      <c r="F6" s="13">
        <v>0</v>
      </c>
      <c r="G6" s="44">
        <v>31587</v>
      </c>
      <c r="H6" s="44">
        <v>157616</v>
      </c>
      <c r="I6" s="16">
        <f t="shared" si="678"/>
        <v>157616</v>
      </c>
      <c r="J6" s="17">
        <f t="shared" si="679"/>
        <v>315088</v>
      </c>
      <c r="K6" s="18">
        <f t="shared" si="680"/>
        <v>36104.827294519884</v>
      </c>
      <c r="L6" s="19">
        <f t="shared" si="681"/>
        <v>0.091114155909713709</v>
      </c>
      <c r="M6" s="34">
        <v>0</v>
      </c>
      <c r="N6" s="58">
        <v>0</v>
      </c>
      <c r="O6" s="55">
        <v>157000</v>
      </c>
      <c r="P6" s="34">
        <v>63000</v>
      </c>
      <c r="Q6" s="34">
        <v>0</v>
      </c>
      <c r="R6" s="34">
        <f t="shared" si="682"/>
        <v>220000</v>
      </c>
      <c r="S6" s="35">
        <f t="shared" si="683"/>
        <v>409203</v>
      </c>
      <c r="T6" s="35">
        <f t="shared" si="684"/>
        <v>62528</v>
      </c>
      <c r="U6" s="19">
        <f t="shared" si="685"/>
        <v>1.1803648950746377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77"/>
        <v>127089.15534221899</v>
      </c>
      <c r="F7" s="13">
        <v>0</v>
      </c>
      <c r="G7" s="44">
        <v>88573</v>
      </c>
      <c r="H7" s="13">
        <v>450</v>
      </c>
      <c r="I7" s="16">
        <f t="shared" si="678"/>
        <v>450</v>
      </c>
      <c r="J7" s="17">
        <f t="shared" si="679"/>
        <v>111811</v>
      </c>
      <c r="K7" s="18">
        <f t="shared" si="680"/>
        <v>56175.481855469312</v>
      </c>
      <c r="L7" s="19">
        <f t="shared" si="681"/>
        <v>0.44201632864899393</v>
      </c>
      <c r="M7" s="34">
        <v>0</v>
      </c>
      <c r="N7" s="58">
        <v>0</v>
      </c>
      <c r="O7" s="55">
        <v>528000</v>
      </c>
      <c r="P7" s="34">
        <v>0</v>
      </c>
      <c r="Q7" s="34">
        <v>0</v>
      </c>
      <c r="R7" s="34">
        <f t="shared" si="682"/>
        <v>528000</v>
      </c>
      <c r="S7" s="35">
        <f t="shared" si="683"/>
        <v>617023</v>
      </c>
      <c r="T7" s="35">
        <f t="shared" si="684"/>
        <v>416639</v>
      </c>
      <c r="U7" s="19">
        <f t="shared" si="685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677"/>
        <v>325168.26353207661</v>
      </c>
      <c r="F8" s="44">
        <v>0</v>
      </c>
      <c r="G8" s="13">
        <v>178200</v>
      </c>
      <c r="H8" s="44">
        <v>84718</v>
      </c>
      <c r="I8" s="16">
        <f t="shared" si="678"/>
        <v>84718</v>
      </c>
      <c r="J8" s="17">
        <f t="shared" si="679"/>
        <v>185715</v>
      </c>
      <c r="K8" s="18">
        <f t="shared" si="680"/>
        <v>159226.70008495403</v>
      </c>
      <c r="L8" s="19">
        <f t="shared" si="681"/>
        <v>0.48967478669469516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682"/>
        <v>130000</v>
      </c>
      <c r="S8" s="35">
        <f t="shared" si="683"/>
        <v>392918</v>
      </c>
      <c r="T8" s="35">
        <f t="shared" si="684"/>
        <v>29003</v>
      </c>
      <c r="U8" s="19">
        <f t="shared" si="685"/>
        <v>1.0796971820342662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677"/>
        <v>87015.320392365335</v>
      </c>
      <c r="F9" s="13">
        <v>133075</v>
      </c>
      <c r="G9" s="13">
        <v>81500</v>
      </c>
      <c r="H9" s="13">
        <v>18500</v>
      </c>
      <c r="I9" s="16">
        <f t="shared" si="678"/>
        <v>151575</v>
      </c>
      <c r="J9" s="17">
        <f t="shared" si="679"/>
        <v>-50</v>
      </c>
      <c r="K9" s="18">
        <f t="shared" si="680"/>
        <v>87068.736795307239</v>
      </c>
      <c r="L9" s="19">
        <f t="shared" si="681"/>
        <v>1.0006138735420502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682"/>
        <v>0</v>
      </c>
      <c r="S9" s="35">
        <f t="shared" si="683"/>
        <v>233075</v>
      </c>
      <c r="T9" s="35">
        <f t="shared" si="684"/>
        <v>151625</v>
      </c>
      <c r="U9" s="19">
        <f t="shared" si="685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677"/>
        <v>841835.08682919282</v>
      </c>
      <c r="F10" s="13">
        <v>0</v>
      </c>
      <c r="G10" s="13">
        <v>0</v>
      </c>
      <c r="H10" s="13">
        <v>39298</v>
      </c>
      <c r="I10" s="16">
        <f t="shared" si="678"/>
        <v>39298</v>
      </c>
      <c r="J10" s="17">
        <f t="shared" si="679"/>
        <v>388000</v>
      </c>
      <c r="K10" s="18">
        <f t="shared" si="680"/>
        <v>0</v>
      </c>
      <c r="L10" s="19">
        <f t="shared" si="681"/>
        <v>0</v>
      </c>
      <c r="M10" s="34">
        <v>0</v>
      </c>
      <c r="N10" s="58">
        <v>0</v>
      </c>
      <c r="O10" s="55">
        <v>118000</v>
      </c>
      <c r="P10" s="34">
        <v>234000</v>
      </c>
      <c r="Q10" s="34">
        <v>0</v>
      </c>
      <c r="R10" s="34">
        <f t="shared" si="682"/>
        <v>352000</v>
      </c>
      <c r="S10" s="35">
        <f t="shared" si="683"/>
        <v>391298</v>
      </c>
      <c r="T10" s="35">
        <f t="shared" si="684"/>
        <v>3298</v>
      </c>
      <c r="U10" s="19">
        <f t="shared" si="685"/>
        <v>1.0085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77"/>
        <v>0</v>
      </c>
      <c r="F11" s="13">
        <v>0</v>
      </c>
      <c r="G11" s="13">
        <v>0</v>
      </c>
      <c r="H11" s="13">
        <v>0</v>
      </c>
      <c r="I11" s="16">
        <f t="shared" si="678"/>
        <v>0</v>
      </c>
      <c r="J11" s="17">
        <f t="shared" si="679"/>
        <v>0</v>
      </c>
      <c r="K11" s="18">
        <f t="shared" si="680"/>
        <v>0</v>
      </c>
      <c r="L11" s="19" t="e">
        <f t="shared" si="681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682"/>
        <v>0</v>
      </c>
      <c r="S11" s="35">
        <f t="shared" si="683"/>
        <v>0</v>
      </c>
      <c r="T11" s="35">
        <f t="shared" si="684"/>
        <v>0</v>
      </c>
      <c r="U11" s="19" t="e">
        <f t="shared" si="685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77"/>
        <v>0</v>
      </c>
      <c r="F12" s="13">
        <v>0</v>
      </c>
      <c r="G12" s="13">
        <v>0</v>
      </c>
      <c r="H12" s="13">
        <v>0</v>
      </c>
      <c r="I12" s="16">
        <f t="shared" si="678"/>
        <v>0</v>
      </c>
      <c r="J12" s="17">
        <f t="shared" si="67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82"/>
        <v>0</v>
      </c>
      <c r="S12" s="35">
        <f t="shared" si="683"/>
        <v>0</v>
      </c>
      <c r="T12" s="35">
        <f t="shared" si="684"/>
        <v>0</v>
      </c>
      <c r="U12" s="19" t="e">
        <f t="shared" si="685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677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679"/>
        <v>0</v>
      </c>
      <c r="K13" s="18">
        <f t="shared" si="680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82"/>
        <v>0</v>
      </c>
      <c r="S13" s="35">
        <f t="shared" si="683"/>
        <v>133460</v>
      </c>
      <c r="T13" s="35">
        <f t="shared" si="684"/>
        <v>33460</v>
      </c>
      <c r="U13" s="19">
        <f t="shared" si="685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77"/>
        <v>138900</v>
      </c>
      <c r="F14" s="13">
        <v>14986</v>
      </c>
      <c r="G14" s="13">
        <v>0</v>
      </c>
      <c r="H14" s="13">
        <v>0</v>
      </c>
      <c r="I14" s="16">
        <f t="shared" si="678"/>
        <v>14986</v>
      </c>
      <c r="J14" s="17">
        <f t="shared" si="679"/>
        <v>15000</v>
      </c>
      <c r="K14" s="18">
        <f t="shared" si="68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82"/>
        <v>0</v>
      </c>
      <c r="S14" s="35">
        <f t="shared" si="683"/>
        <v>14986</v>
      </c>
      <c r="T14" s="35">
        <f t="shared" si="684"/>
        <v>-14</v>
      </c>
      <c r="U14" s="19">
        <f t="shared" si="685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77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679"/>
        <v>10000</v>
      </c>
      <c r="K15" s="18">
        <f t="shared" si="68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82"/>
        <v>0</v>
      </c>
      <c r="S15" s="35">
        <f t="shared" si="683"/>
        <v>9980</v>
      </c>
      <c r="T15" s="35">
        <f t="shared" si="684"/>
        <v>-20</v>
      </c>
      <c r="U15" s="19">
        <f t="shared" si="685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77"/>
        <v>0</v>
      </c>
      <c r="F16" s="13">
        <v>0</v>
      </c>
      <c r="G16" s="13">
        <v>0</v>
      </c>
      <c r="H16" s="13">
        <v>0</v>
      </c>
      <c r="I16" s="16">
        <f t="shared" si="678"/>
        <v>0</v>
      </c>
      <c r="J16" s="17">
        <f t="shared" si="679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82"/>
        <v>0</v>
      </c>
      <c r="S16" s="35">
        <f t="shared" si="683"/>
        <v>0</v>
      </c>
      <c r="T16" s="35">
        <f t="shared" si="684"/>
        <v>0</v>
      </c>
      <c r="U16" s="19" t="e">
        <f t="shared" si="685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77"/>
        <v>0</v>
      </c>
      <c r="F17" s="13">
        <v>0</v>
      </c>
      <c r="G17" s="13">
        <v>0</v>
      </c>
      <c r="H17" s="13">
        <v>0</v>
      </c>
      <c r="I17" s="16">
        <f t="shared" si="678"/>
        <v>0</v>
      </c>
      <c r="J17" s="17">
        <f t="shared" si="679"/>
        <v>0</v>
      </c>
      <c r="K17" s="18">
        <f t="shared" si="680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82"/>
        <v>0</v>
      </c>
      <c r="S17" s="35">
        <f t="shared" si="683"/>
        <v>0</v>
      </c>
      <c r="T17" s="35">
        <f t="shared" si="684"/>
        <v>0</v>
      </c>
      <c r="U17" s="19" t="e">
        <f t="shared" si="685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77"/>
        <v>0</v>
      </c>
      <c r="F18" s="13">
        <v>0</v>
      </c>
      <c r="G18" s="13">
        <v>0</v>
      </c>
      <c r="H18" s="13">
        <v>0</v>
      </c>
      <c r="I18" s="16">
        <f t="shared" si="678"/>
        <v>0</v>
      </c>
      <c r="J18" s="17">
        <f t="shared" si="679"/>
        <v>0</v>
      </c>
      <c r="K18" s="18">
        <f>+G18*D18</f>
        <v>0</v>
      </c>
      <c r="L18" s="19" t="e">
        <f t="shared" ref="L18:L19" si="686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82"/>
        <v>0</v>
      </c>
      <c r="S18" s="35">
        <f t="shared" si="683"/>
        <v>0</v>
      </c>
      <c r="T18" s="35">
        <f t="shared" si="684"/>
        <v>0</v>
      </c>
      <c r="U18" s="19" t="e">
        <f t="shared" si="685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687">SUM(E3:E18)</f>
        <v>4653284.4402583167</v>
      </c>
      <c r="F19" s="24">
        <f t="shared" si="687"/>
        <v>443477</v>
      </c>
      <c r="G19" s="24">
        <f t="shared" si="687"/>
        <v>828565</v>
      </c>
      <c r="H19" s="24">
        <f t="shared" si="687"/>
        <v>375897</v>
      </c>
      <c r="I19" s="25">
        <f t="shared" si="687"/>
        <v>819374</v>
      </c>
      <c r="J19" s="26">
        <f t="shared" si="687"/>
        <v>1827666</v>
      </c>
      <c r="K19" s="26">
        <f t="shared" si="687"/>
        <v>1670861.7832629175</v>
      </c>
      <c r="L19" s="27">
        <f t="shared" si="686"/>
        <v>0.35907149126911386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82"/>
        <v>0</v>
      </c>
      <c r="S19" s="35">
        <f t="shared" si="683"/>
        <v>1647939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9900F2-000F-4F3B-8281-000D000E005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EC0071-00CF-4514-BC61-003A00B600C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6600D5-00C0-40EF-A91C-009C0021009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250035-00A9-4ECB-821F-0088003A00C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21008D-00FC-4252-A4EF-0009004300B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2800B2-00CA-4596-B1B8-005900C700B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D50040-007A-430E-A82D-00A5004E00E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2A00A5-0082-4A72-BCB3-004C00C800B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5C0038-00AA-45AA-912C-001D00AE00C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47002F-00D4-485C-AAC0-00220091007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030006-0062-474E-B4FC-002200D4002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900C7-0027-40D4-946C-00820052002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A12" activeCellId="0" sqref="A12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137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688">C3*D3</f>
        <v>1301570.1264771565</v>
      </c>
      <c r="F3" s="13">
        <v>18688</v>
      </c>
      <c r="G3" s="44">
        <v>355283</v>
      </c>
      <c r="H3" s="13">
        <v>0</v>
      </c>
      <c r="I3" s="16">
        <f t="shared" ref="I3:I18" si="689">F3+H3</f>
        <v>18688</v>
      </c>
      <c r="J3" s="17">
        <f t="shared" ref="J3:J18" si="690">C3-G3</f>
        <v>94717</v>
      </c>
      <c r="K3" s="18">
        <f t="shared" ref="K3:K17" si="691">+G3*D3</f>
        <v>1027612.7538781859</v>
      </c>
      <c r="L3" s="19">
        <f t="shared" ref="L3:L11" si="692">K3/E3</f>
        <v>0.78951777777777787</v>
      </c>
      <c r="M3" s="34">
        <v>0</v>
      </c>
      <c r="N3" s="58">
        <v>0</v>
      </c>
      <c r="O3" s="55">
        <v>92500</v>
      </c>
      <c r="P3" s="34">
        <v>55000</v>
      </c>
      <c r="Q3" s="34">
        <v>0</v>
      </c>
      <c r="R3" s="34">
        <f t="shared" ref="R3:R19" si="693">M3+N3+O3+P3+Q3</f>
        <v>147500</v>
      </c>
      <c r="S3" s="35">
        <f t="shared" ref="S3:S19" si="694">G3+I3+R3</f>
        <v>521471</v>
      </c>
      <c r="T3" s="35">
        <f t="shared" ref="T3:T18" si="695">S3-C3</f>
        <v>71471</v>
      </c>
      <c r="U3" s="19">
        <f t="shared" ref="U3:U18" si="696">S3/C3</f>
        <v>1.1588244444444444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688"/>
        <v>913105.5150918765</v>
      </c>
      <c r="F4" s="13">
        <v>251976</v>
      </c>
      <c r="G4" s="13">
        <v>68737</v>
      </c>
      <c r="H4" s="13">
        <v>0</v>
      </c>
      <c r="I4" s="16">
        <f t="shared" si="689"/>
        <v>251976</v>
      </c>
      <c r="J4" s="17">
        <f t="shared" si="690"/>
        <v>632070</v>
      </c>
      <c r="K4" s="18">
        <f t="shared" si="691"/>
        <v>89559.798619120978</v>
      </c>
      <c r="L4" s="19">
        <f t="shared" si="692"/>
        <v>0.098082639014735865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693"/>
        <v>0</v>
      </c>
      <c r="S4" s="35">
        <f t="shared" si="694"/>
        <v>320713</v>
      </c>
      <c r="T4" s="35">
        <f t="shared" si="695"/>
        <v>-380094</v>
      </c>
      <c r="U4" s="19">
        <f t="shared" si="696"/>
        <v>0.45763384212771846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88"/>
        <v>0</v>
      </c>
      <c r="F5" s="13">
        <v>0</v>
      </c>
      <c r="G5" s="13">
        <v>0</v>
      </c>
      <c r="H5" s="13">
        <v>0</v>
      </c>
      <c r="I5" s="16">
        <f t="shared" si="689"/>
        <v>0</v>
      </c>
      <c r="J5" s="17">
        <f t="shared" si="690"/>
        <v>0</v>
      </c>
      <c r="K5" s="18">
        <f t="shared" si="691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693"/>
        <v>0</v>
      </c>
      <c r="S5" s="35">
        <f t="shared" si="694"/>
        <v>0</v>
      </c>
      <c r="T5" s="35">
        <f t="shared" si="695"/>
        <v>0</v>
      </c>
      <c r="U5" s="19" t="e">
        <f t="shared" si="696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688"/>
        <v>396259.25229770731</v>
      </c>
      <c r="F6" s="13">
        <v>158109</v>
      </c>
      <c r="G6" s="44">
        <v>189203</v>
      </c>
      <c r="H6" s="44">
        <v>0</v>
      </c>
      <c r="I6" s="16">
        <f t="shared" si="689"/>
        <v>158109</v>
      </c>
      <c r="J6" s="17">
        <f t="shared" si="690"/>
        <v>157472</v>
      </c>
      <c r="K6" s="18">
        <f t="shared" si="691"/>
        <v>216264.33781634993</v>
      </c>
      <c r="L6" s="19">
        <f t="shared" si="692"/>
        <v>0.54576476527006557</v>
      </c>
      <c r="M6" s="34">
        <v>0</v>
      </c>
      <c r="N6" s="58">
        <v>0</v>
      </c>
      <c r="O6" s="55">
        <v>157000</v>
      </c>
      <c r="P6" s="34">
        <v>63000</v>
      </c>
      <c r="Q6" s="34">
        <v>0</v>
      </c>
      <c r="R6" s="34">
        <f t="shared" si="693"/>
        <v>220000</v>
      </c>
      <c r="S6" s="35">
        <f t="shared" si="694"/>
        <v>567312</v>
      </c>
      <c r="T6" s="35">
        <f t="shared" si="695"/>
        <v>220637</v>
      </c>
      <c r="U6" s="19">
        <f t="shared" si="696"/>
        <v>1.6364375856349607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88"/>
        <v>127089.15534221899</v>
      </c>
      <c r="F7" s="13">
        <v>0</v>
      </c>
      <c r="G7" s="44">
        <v>89023</v>
      </c>
      <c r="H7" s="13">
        <v>0</v>
      </c>
      <c r="I7" s="16">
        <f t="shared" si="689"/>
        <v>0</v>
      </c>
      <c r="J7" s="17">
        <f t="shared" si="690"/>
        <v>111361</v>
      </c>
      <c r="K7" s="18">
        <f t="shared" si="691"/>
        <v>56460.884481946465</v>
      </c>
      <c r="L7" s="19">
        <f t="shared" si="692"/>
        <v>0.44426201692749917</v>
      </c>
      <c r="M7" s="34">
        <v>0</v>
      </c>
      <c r="N7" s="58">
        <v>0</v>
      </c>
      <c r="O7" s="55">
        <v>528000</v>
      </c>
      <c r="P7" s="34">
        <v>0</v>
      </c>
      <c r="Q7" s="34">
        <v>0</v>
      </c>
      <c r="R7" s="34">
        <f t="shared" si="693"/>
        <v>528000</v>
      </c>
      <c r="S7" s="35">
        <f t="shared" si="694"/>
        <v>617023</v>
      </c>
      <c r="T7" s="35">
        <f t="shared" si="695"/>
        <v>416639</v>
      </c>
      <c r="U7" s="19">
        <f t="shared" si="696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688"/>
        <v>325168.26353207661</v>
      </c>
      <c r="F8" s="44">
        <v>262202</v>
      </c>
      <c r="G8" s="13">
        <v>218683</v>
      </c>
      <c r="H8" s="44">
        <v>44235</v>
      </c>
      <c r="I8" s="16">
        <f t="shared" si="689"/>
        <v>306437</v>
      </c>
      <c r="J8" s="17">
        <f t="shared" si="690"/>
        <v>145232</v>
      </c>
      <c r="K8" s="18">
        <f t="shared" si="691"/>
        <v>195399.3964908979</v>
      </c>
      <c r="L8" s="19">
        <f t="shared" si="692"/>
        <v>0.6009177967382493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693"/>
        <v>130000</v>
      </c>
      <c r="S8" s="35">
        <f t="shared" si="694"/>
        <v>655120</v>
      </c>
      <c r="T8" s="35">
        <f t="shared" si="695"/>
        <v>291205</v>
      </c>
      <c r="U8" s="19">
        <f t="shared" si="696"/>
        <v>1.8002005962930905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688"/>
        <v>87015.320392365335</v>
      </c>
      <c r="F9" s="13">
        <v>133075</v>
      </c>
      <c r="G9" s="13">
        <v>100000</v>
      </c>
      <c r="H9" s="13">
        <v>0</v>
      </c>
      <c r="I9" s="16">
        <f t="shared" si="689"/>
        <v>133075</v>
      </c>
      <c r="J9" s="17">
        <f t="shared" si="690"/>
        <v>-18550</v>
      </c>
      <c r="K9" s="18">
        <f t="shared" si="691"/>
        <v>106832.80588381256</v>
      </c>
      <c r="L9" s="19">
        <f t="shared" si="692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693"/>
        <v>0</v>
      </c>
      <c r="S9" s="35">
        <f t="shared" si="694"/>
        <v>233075</v>
      </c>
      <c r="T9" s="35">
        <f t="shared" si="695"/>
        <v>151625</v>
      </c>
      <c r="U9" s="19">
        <f t="shared" si="696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688"/>
        <v>841835.08682919282</v>
      </c>
      <c r="F10" s="13">
        <v>0</v>
      </c>
      <c r="G10" s="13">
        <v>0</v>
      </c>
      <c r="H10" s="13">
        <v>39298</v>
      </c>
      <c r="I10" s="16">
        <f t="shared" si="689"/>
        <v>39298</v>
      </c>
      <c r="J10" s="17">
        <f t="shared" si="690"/>
        <v>388000</v>
      </c>
      <c r="K10" s="18">
        <f t="shared" si="691"/>
        <v>0</v>
      </c>
      <c r="L10" s="19">
        <f t="shared" si="692"/>
        <v>0</v>
      </c>
      <c r="M10" s="34">
        <v>0</v>
      </c>
      <c r="N10" s="58">
        <v>0</v>
      </c>
      <c r="O10" s="55">
        <v>118000</v>
      </c>
      <c r="P10" s="34">
        <v>234000</v>
      </c>
      <c r="Q10" s="34">
        <v>0</v>
      </c>
      <c r="R10" s="34">
        <f t="shared" si="693"/>
        <v>352000</v>
      </c>
      <c r="S10" s="35">
        <f t="shared" si="694"/>
        <v>391298</v>
      </c>
      <c r="T10" s="35">
        <f t="shared" si="695"/>
        <v>3298</v>
      </c>
      <c r="U10" s="19">
        <f t="shared" si="696"/>
        <v>1.0085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88"/>
        <v>0</v>
      </c>
      <c r="F11" s="13">
        <v>0</v>
      </c>
      <c r="G11" s="13">
        <v>0</v>
      </c>
      <c r="H11" s="13">
        <v>0</v>
      </c>
      <c r="I11" s="16">
        <f t="shared" si="689"/>
        <v>0</v>
      </c>
      <c r="J11" s="17">
        <f t="shared" si="690"/>
        <v>0</v>
      </c>
      <c r="K11" s="18">
        <f t="shared" si="691"/>
        <v>0</v>
      </c>
      <c r="L11" s="19" t="e">
        <f t="shared" si="692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693"/>
        <v>0</v>
      </c>
      <c r="S11" s="35">
        <f t="shared" si="694"/>
        <v>0</v>
      </c>
      <c r="T11" s="35">
        <f t="shared" si="695"/>
        <v>0</v>
      </c>
      <c r="U11" s="19" t="e">
        <f t="shared" si="696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88"/>
        <v>0</v>
      </c>
      <c r="F12" s="13">
        <v>0</v>
      </c>
      <c r="G12" s="13">
        <v>0</v>
      </c>
      <c r="H12" s="13">
        <v>0</v>
      </c>
      <c r="I12" s="16">
        <f t="shared" si="689"/>
        <v>0</v>
      </c>
      <c r="J12" s="17">
        <f t="shared" si="690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693"/>
        <v>0</v>
      </c>
      <c r="S12" s="35">
        <f t="shared" si="694"/>
        <v>0</v>
      </c>
      <c r="T12" s="35">
        <f t="shared" si="695"/>
        <v>0</v>
      </c>
      <c r="U12" s="19" t="e">
        <f t="shared" si="696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688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690"/>
        <v>0</v>
      </c>
      <c r="K13" s="18">
        <f t="shared" si="691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693"/>
        <v>0</v>
      </c>
      <c r="S13" s="35">
        <f t="shared" si="694"/>
        <v>133460</v>
      </c>
      <c r="T13" s="35">
        <f t="shared" si="695"/>
        <v>33460</v>
      </c>
      <c r="U13" s="19">
        <f t="shared" si="696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88"/>
        <v>138900</v>
      </c>
      <c r="F14" s="13">
        <v>14986</v>
      </c>
      <c r="G14" s="13">
        <v>0</v>
      </c>
      <c r="H14" s="13">
        <v>0</v>
      </c>
      <c r="I14" s="16">
        <f t="shared" si="689"/>
        <v>14986</v>
      </c>
      <c r="J14" s="17">
        <f t="shared" si="690"/>
        <v>15000</v>
      </c>
      <c r="K14" s="18">
        <f t="shared" si="691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693"/>
        <v>0</v>
      </c>
      <c r="S14" s="35">
        <f t="shared" si="694"/>
        <v>14986</v>
      </c>
      <c r="T14" s="35">
        <f t="shared" si="695"/>
        <v>-14</v>
      </c>
      <c r="U14" s="19">
        <f t="shared" si="696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88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690"/>
        <v>10000</v>
      </c>
      <c r="K15" s="18">
        <f t="shared" si="691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693"/>
        <v>0</v>
      </c>
      <c r="S15" s="35">
        <f t="shared" si="694"/>
        <v>9980</v>
      </c>
      <c r="T15" s="35">
        <f t="shared" si="695"/>
        <v>-20</v>
      </c>
      <c r="U15" s="19">
        <f t="shared" si="696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88"/>
        <v>0</v>
      </c>
      <c r="F16" s="13">
        <v>0</v>
      </c>
      <c r="G16" s="13">
        <v>0</v>
      </c>
      <c r="H16" s="13">
        <v>0</v>
      </c>
      <c r="I16" s="16">
        <f t="shared" si="689"/>
        <v>0</v>
      </c>
      <c r="J16" s="17">
        <f t="shared" si="690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693"/>
        <v>0</v>
      </c>
      <c r="S16" s="35">
        <f t="shared" si="694"/>
        <v>0</v>
      </c>
      <c r="T16" s="35">
        <f t="shared" si="695"/>
        <v>0</v>
      </c>
      <c r="U16" s="19" t="e">
        <f t="shared" si="696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88"/>
        <v>0</v>
      </c>
      <c r="F17" s="13">
        <v>0</v>
      </c>
      <c r="G17" s="13">
        <v>0</v>
      </c>
      <c r="H17" s="13">
        <v>0</v>
      </c>
      <c r="I17" s="16">
        <f t="shared" si="689"/>
        <v>0</v>
      </c>
      <c r="J17" s="17">
        <f t="shared" si="690"/>
        <v>0</v>
      </c>
      <c r="K17" s="18">
        <f t="shared" si="691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693"/>
        <v>0</v>
      </c>
      <c r="S17" s="35">
        <f t="shared" si="694"/>
        <v>0</v>
      </c>
      <c r="T17" s="35">
        <f t="shared" si="695"/>
        <v>0</v>
      </c>
      <c r="U17" s="19" t="e">
        <f t="shared" si="696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88"/>
        <v>0</v>
      </c>
      <c r="F18" s="13">
        <v>0</v>
      </c>
      <c r="G18" s="13">
        <v>0</v>
      </c>
      <c r="H18" s="13">
        <v>0</v>
      </c>
      <c r="I18" s="16">
        <f t="shared" si="689"/>
        <v>0</v>
      </c>
      <c r="J18" s="17">
        <f t="shared" si="690"/>
        <v>0</v>
      </c>
      <c r="K18" s="18">
        <f>+G18*D18</f>
        <v>0</v>
      </c>
      <c r="L18" s="19" t="e">
        <f t="shared" ref="L18:L19" si="697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693"/>
        <v>0</v>
      </c>
      <c r="S18" s="35">
        <f t="shared" si="694"/>
        <v>0</v>
      </c>
      <c r="T18" s="35">
        <f t="shared" si="695"/>
        <v>0</v>
      </c>
      <c r="U18" s="19" t="e">
        <f t="shared" si="696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698">SUM(E3:E18)</f>
        <v>4653284.4402583167</v>
      </c>
      <c r="F19" s="24">
        <f t="shared" si="698"/>
        <v>882476</v>
      </c>
      <c r="G19" s="24">
        <f t="shared" si="698"/>
        <v>1120929</v>
      </c>
      <c r="H19" s="24">
        <f t="shared" si="698"/>
        <v>83533</v>
      </c>
      <c r="I19" s="25">
        <f t="shared" si="698"/>
        <v>966009</v>
      </c>
      <c r="J19" s="26">
        <f t="shared" si="698"/>
        <v>1535302</v>
      </c>
      <c r="K19" s="26">
        <f t="shared" si="698"/>
        <v>2125082.9154070676</v>
      </c>
      <c r="L19" s="27">
        <f t="shared" si="697"/>
        <v>0.45668450804806132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693"/>
        <v>0</v>
      </c>
      <c r="S19" s="35">
        <f t="shared" si="694"/>
        <v>2086938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0000DD-00E9-458F-AF14-00B000E400D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F6001E-0037-46D4-94A2-000800FF007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CD005D-002D-42A2-AFF9-00270040000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DD00ED-0031-4307-A987-006A00E0007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0100A5-003B-4687-B554-005E009E001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F10005-00F6-40E5-AADD-00D800AD003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D800A6-00A9-4359-BA7B-004B002C003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58006E-001A-4342-9C7C-002C0010008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10040-00A2-4D07-966C-00FD00CC00B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440026-0055-470E-B91B-00500018005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A300B2-00C3-431A-8F4E-001D0071008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B1006D-00A2-4BF9-B38D-003400DF00D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8" activeCellId="0" sqref="F8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138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699">C3*D3</f>
        <v>1301570.1264771565</v>
      </c>
      <c r="F3" s="13">
        <v>18688</v>
      </c>
      <c r="G3" s="44">
        <v>355283</v>
      </c>
      <c r="H3" s="13">
        <v>0</v>
      </c>
      <c r="I3" s="16">
        <f t="shared" ref="I3:I18" si="700">F3+H3</f>
        <v>18688</v>
      </c>
      <c r="J3" s="17">
        <f t="shared" ref="J3:J18" si="701">C3-G3</f>
        <v>94717</v>
      </c>
      <c r="K3" s="18">
        <f t="shared" ref="K3:K17" si="702">+G3*D3</f>
        <v>1027612.7538781859</v>
      </c>
      <c r="L3" s="19">
        <f t="shared" ref="L3:L11" si="703">K3/E3</f>
        <v>0.78951777777777787</v>
      </c>
      <c r="M3" s="34">
        <v>0</v>
      </c>
      <c r="N3" s="58">
        <v>0</v>
      </c>
      <c r="O3" s="55">
        <v>92500</v>
      </c>
      <c r="P3" s="34">
        <v>55000</v>
      </c>
      <c r="Q3" s="34">
        <v>0</v>
      </c>
      <c r="R3" s="34">
        <f t="shared" ref="R3:R19" si="704">M3+N3+O3+P3+Q3</f>
        <v>147500</v>
      </c>
      <c r="S3" s="35">
        <f t="shared" ref="S3:S19" si="705">G3+I3+R3</f>
        <v>521471</v>
      </c>
      <c r="T3" s="35">
        <f t="shared" ref="T3:T18" si="706">S3-C3</f>
        <v>71471</v>
      </c>
      <c r="U3" s="19">
        <f t="shared" ref="U3:U18" si="707">S3/C3</f>
        <v>1.1588244444444444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699"/>
        <v>913105.5150918765</v>
      </c>
      <c r="F4" s="13">
        <v>546073</v>
      </c>
      <c r="G4" s="13">
        <v>68737</v>
      </c>
      <c r="H4" s="13">
        <v>0</v>
      </c>
      <c r="I4" s="16">
        <f t="shared" si="700"/>
        <v>546073</v>
      </c>
      <c r="J4" s="17">
        <f t="shared" si="701"/>
        <v>632070</v>
      </c>
      <c r="K4" s="18">
        <f t="shared" si="702"/>
        <v>89559.798619120978</v>
      </c>
      <c r="L4" s="19">
        <f t="shared" si="703"/>
        <v>0.098082639014735865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04"/>
        <v>0</v>
      </c>
      <c r="S4" s="35">
        <f t="shared" si="705"/>
        <v>614810</v>
      </c>
      <c r="T4" s="35">
        <f t="shared" si="706"/>
        <v>-85997</v>
      </c>
      <c r="U4" s="19">
        <f t="shared" si="707"/>
        <v>0.87728861155781834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99"/>
        <v>0</v>
      </c>
      <c r="F5" s="13">
        <v>0</v>
      </c>
      <c r="G5" s="13">
        <v>0</v>
      </c>
      <c r="H5" s="13">
        <v>0</v>
      </c>
      <c r="I5" s="16">
        <f t="shared" si="700"/>
        <v>0</v>
      </c>
      <c r="J5" s="17">
        <f t="shared" si="701"/>
        <v>0</v>
      </c>
      <c r="K5" s="18">
        <f t="shared" si="70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04"/>
        <v>0</v>
      </c>
      <c r="S5" s="35">
        <f t="shared" si="705"/>
        <v>0</v>
      </c>
      <c r="T5" s="35">
        <f t="shared" si="706"/>
        <v>0</v>
      </c>
      <c r="U5" s="19" t="e">
        <f t="shared" si="707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699"/>
        <v>396259.25229770731</v>
      </c>
      <c r="F6" s="13">
        <v>158109</v>
      </c>
      <c r="G6" s="44">
        <v>189203</v>
      </c>
      <c r="H6" s="44">
        <v>0</v>
      </c>
      <c r="I6" s="16">
        <f t="shared" si="700"/>
        <v>158109</v>
      </c>
      <c r="J6" s="17">
        <f t="shared" si="701"/>
        <v>157472</v>
      </c>
      <c r="K6" s="18">
        <f t="shared" si="702"/>
        <v>216264.33781634993</v>
      </c>
      <c r="L6" s="19">
        <f t="shared" si="703"/>
        <v>0.54576476527006557</v>
      </c>
      <c r="M6" s="34">
        <v>0</v>
      </c>
      <c r="N6" s="58">
        <v>0</v>
      </c>
      <c r="O6" s="55">
        <v>157000</v>
      </c>
      <c r="P6" s="34">
        <v>63000</v>
      </c>
      <c r="Q6" s="34">
        <v>0</v>
      </c>
      <c r="R6" s="34">
        <f t="shared" si="704"/>
        <v>220000</v>
      </c>
      <c r="S6" s="35">
        <f t="shared" si="705"/>
        <v>567312</v>
      </c>
      <c r="T6" s="35">
        <f t="shared" si="706"/>
        <v>220637</v>
      </c>
      <c r="U6" s="19">
        <f t="shared" si="707"/>
        <v>1.6364375856349607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699"/>
        <v>127089.15534221899</v>
      </c>
      <c r="F7" s="13">
        <v>0</v>
      </c>
      <c r="G7" s="44">
        <v>89023</v>
      </c>
      <c r="H7" s="13">
        <v>0</v>
      </c>
      <c r="I7" s="16">
        <f t="shared" si="700"/>
        <v>0</v>
      </c>
      <c r="J7" s="17">
        <f t="shared" si="701"/>
        <v>111361</v>
      </c>
      <c r="K7" s="18">
        <f t="shared" si="702"/>
        <v>56460.884481946465</v>
      </c>
      <c r="L7" s="19">
        <f t="shared" si="703"/>
        <v>0.44426201692749917</v>
      </c>
      <c r="M7" s="34">
        <v>0</v>
      </c>
      <c r="N7" s="58">
        <v>0</v>
      </c>
      <c r="O7" s="55">
        <v>528000</v>
      </c>
      <c r="P7" s="34">
        <v>0</v>
      </c>
      <c r="Q7" s="34">
        <v>0</v>
      </c>
      <c r="R7" s="34">
        <f t="shared" si="704"/>
        <v>528000</v>
      </c>
      <c r="S7" s="35">
        <f t="shared" si="705"/>
        <v>617023</v>
      </c>
      <c r="T7" s="35">
        <f t="shared" si="706"/>
        <v>416639</v>
      </c>
      <c r="U7" s="19">
        <f t="shared" si="707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699"/>
        <v>325168.26353207661</v>
      </c>
      <c r="F8" s="44">
        <v>262202</v>
      </c>
      <c r="G8" s="13">
        <v>262918</v>
      </c>
      <c r="H8" s="44">
        <v>0</v>
      </c>
      <c r="I8" s="16">
        <f t="shared" si="700"/>
        <v>262202</v>
      </c>
      <c r="J8" s="17">
        <f t="shared" si="701"/>
        <v>100997</v>
      </c>
      <c r="K8" s="18">
        <f t="shared" si="702"/>
        <v>234924.61017360238</v>
      </c>
      <c r="L8" s="19">
        <f t="shared" si="703"/>
        <v>0.72247090666776581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704"/>
        <v>130000</v>
      </c>
      <c r="S8" s="35">
        <f t="shared" si="705"/>
        <v>655120</v>
      </c>
      <c r="T8" s="35">
        <f t="shared" si="706"/>
        <v>291205</v>
      </c>
      <c r="U8" s="19">
        <f t="shared" si="707"/>
        <v>1.8002005962930905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699"/>
        <v>87015.320392365335</v>
      </c>
      <c r="F9" s="13">
        <v>133075</v>
      </c>
      <c r="G9" s="13">
        <v>100000</v>
      </c>
      <c r="H9" s="13">
        <v>0</v>
      </c>
      <c r="I9" s="16">
        <f t="shared" si="700"/>
        <v>133075</v>
      </c>
      <c r="J9" s="17">
        <f t="shared" si="701"/>
        <v>-18550</v>
      </c>
      <c r="K9" s="18">
        <f t="shared" si="702"/>
        <v>106832.80588381256</v>
      </c>
      <c r="L9" s="19">
        <f t="shared" si="703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04"/>
        <v>0</v>
      </c>
      <c r="S9" s="35">
        <f t="shared" si="705"/>
        <v>233075</v>
      </c>
      <c r="T9" s="35">
        <f t="shared" si="706"/>
        <v>151625</v>
      </c>
      <c r="U9" s="19">
        <f t="shared" si="707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699"/>
        <v>841835.08682919282</v>
      </c>
      <c r="F10" s="13">
        <v>0</v>
      </c>
      <c r="G10" s="13">
        <v>39298</v>
      </c>
      <c r="H10" s="13">
        <v>0</v>
      </c>
      <c r="I10" s="16">
        <f t="shared" si="700"/>
        <v>0</v>
      </c>
      <c r="J10" s="17">
        <f t="shared" si="701"/>
        <v>348702</v>
      </c>
      <c r="K10" s="18">
        <f t="shared" si="702"/>
        <v>85264.008356220671</v>
      </c>
      <c r="L10" s="19">
        <f t="shared" si="703"/>
        <v>0.10128350515463917</v>
      </c>
      <c r="M10" s="34">
        <v>0</v>
      </c>
      <c r="N10" s="58">
        <v>0</v>
      </c>
      <c r="O10" s="55">
        <v>118000</v>
      </c>
      <c r="P10" s="34">
        <v>234000</v>
      </c>
      <c r="Q10" s="34">
        <v>0</v>
      </c>
      <c r="R10" s="34">
        <f t="shared" si="704"/>
        <v>352000</v>
      </c>
      <c r="S10" s="35">
        <f t="shared" si="705"/>
        <v>391298</v>
      </c>
      <c r="T10" s="35">
        <f t="shared" si="706"/>
        <v>3298</v>
      </c>
      <c r="U10" s="19">
        <f t="shared" si="707"/>
        <v>1.0085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699"/>
        <v>0</v>
      </c>
      <c r="F11" s="13">
        <v>0</v>
      </c>
      <c r="G11" s="13">
        <v>0</v>
      </c>
      <c r="H11" s="13">
        <v>0</v>
      </c>
      <c r="I11" s="16">
        <f t="shared" si="700"/>
        <v>0</v>
      </c>
      <c r="J11" s="17">
        <f t="shared" si="701"/>
        <v>0</v>
      </c>
      <c r="K11" s="18">
        <f t="shared" si="702"/>
        <v>0</v>
      </c>
      <c r="L11" s="19" t="e">
        <f t="shared" si="703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04"/>
        <v>0</v>
      </c>
      <c r="S11" s="35">
        <f t="shared" si="705"/>
        <v>0</v>
      </c>
      <c r="T11" s="35">
        <f t="shared" si="706"/>
        <v>0</v>
      </c>
      <c r="U11" s="19" t="e">
        <f t="shared" si="70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99"/>
        <v>0</v>
      </c>
      <c r="F12" s="13">
        <v>0</v>
      </c>
      <c r="G12" s="13">
        <v>0</v>
      </c>
      <c r="H12" s="13">
        <v>0</v>
      </c>
      <c r="I12" s="16">
        <f t="shared" si="700"/>
        <v>0</v>
      </c>
      <c r="J12" s="17">
        <f t="shared" si="70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04"/>
        <v>0</v>
      </c>
      <c r="S12" s="35">
        <f t="shared" si="705"/>
        <v>0</v>
      </c>
      <c r="T12" s="35">
        <f t="shared" si="706"/>
        <v>0</v>
      </c>
      <c r="U12" s="19" t="e">
        <f t="shared" si="707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699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01"/>
        <v>0</v>
      </c>
      <c r="K13" s="18">
        <f t="shared" si="702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04"/>
        <v>0</v>
      </c>
      <c r="S13" s="35">
        <f t="shared" si="705"/>
        <v>133460</v>
      </c>
      <c r="T13" s="35">
        <f t="shared" si="706"/>
        <v>33460</v>
      </c>
      <c r="U13" s="19">
        <f t="shared" si="707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699"/>
        <v>138900</v>
      </c>
      <c r="F14" s="13">
        <v>14986</v>
      </c>
      <c r="G14" s="13">
        <v>0</v>
      </c>
      <c r="H14" s="13">
        <v>0</v>
      </c>
      <c r="I14" s="16">
        <f t="shared" si="700"/>
        <v>14986</v>
      </c>
      <c r="J14" s="17">
        <f t="shared" si="701"/>
        <v>15000</v>
      </c>
      <c r="K14" s="18">
        <f t="shared" si="70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04"/>
        <v>0</v>
      </c>
      <c r="S14" s="35">
        <f t="shared" si="705"/>
        <v>14986</v>
      </c>
      <c r="T14" s="35">
        <f t="shared" si="706"/>
        <v>-14</v>
      </c>
      <c r="U14" s="19">
        <f t="shared" si="707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699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701"/>
        <v>10000</v>
      </c>
      <c r="K15" s="18">
        <f t="shared" si="70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04"/>
        <v>0</v>
      </c>
      <c r="S15" s="35">
        <f t="shared" si="705"/>
        <v>9980</v>
      </c>
      <c r="T15" s="35">
        <f t="shared" si="706"/>
        <v>-20</v>
      </c>
      <c r="U15" s="19">
        <f t="shared" si="707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699"/>
        <v>0</v>
      </c>
      <c r="F16" s="13">
        <v>0</v>
      </c>
      <c r="G16" s="13">
        <v>0</v>
      </c>
      <c r="H16" s="13">
        <v>0</v>
      </c>
      <c r="I16" s="16">
        <f t="shared" si="700"/>
        <v>0</v>
      </c>
      <c r="J16" s="17">
        <f t="shared" si="701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04"/>
        <v>0</v>
      </c>
      <c r="S16" s="35">
        <f t="shared" si="705"/>
        <v>0</v>
      </c>
      <c r="T16" s="35">
        <f t="shared" si="706"/>
        <v>0</v>
      </c>
      <c r="U16" s="19" t="e">
        <f t="shared" si="707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699"/>
        <v>0</v>
      </c>
      <c r="F17" s="13">
        <v>0</v>
      </c>
      <c r="G17" s="13">
        <v>0</v>
      </c>
      <c r="H17" s="13">
        <v>0</v>
      </c>
      <c r="I17" s="16">
        <f t="shared" si="700"/>
        <v>0</v>
      </c>
      <c r="J17" s="17">
        <f t="shared" si="701"/>
        <v>0</v>
      </c>
      <c r="K17" s="18">
        <f t="shared" si="702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04"/>
        <v>0</v>
      </c>
      <c r="S17" s="35">
        <f t="shared" si="705"/>
        <v>0</v>
      </c>
      <c r="T17" s="35">
        <f t="shared" si="706"/>
        <v>0</v>
      </c>
      <c r="U17" s="19" t="e">
        <f t="shared" si="707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699"/>
        <v>0</v>
      </c>
      <c r="F18" s="13">
        <v>0</v>
      </c>
      <c r="G18" s="13">
        <v>0</v>
      </c>
      <c r="H18" s="13">
        <v>0</v>
      </c>
      <c r="I18" s="16">
        <f t="shared" si="700"/>
        <v>0</v>
      </c>
      <c r="J18" s="17">
        <f t="shared" si="701"/>
        <v>0</v>
      </c>
      <c r="K18" s="18">
        <f>+G18*D18</f>
        <v>0</v>
      </c>
      <c r="L18" s="19" t="e">
        <f t="shared" ref="L18:L19" si="708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04"/>
        <v>0</v>
      </c>
      <c r="S18" s="35">
        <f t="shared" si="705"/>
        <v>0</v>
      </c>
      <c r="T18" s="35">
        <f t="shared" si="706"/>
        <v>0</v>
      </c>
      <c r="U18" s="19" t="e">
        <f t="shared" si="707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09">SUM(E3:E18)</f>
        <v>4653284.4402583167</v>
      </c>
      <c r="F19" s="24">
        <f t="shared" si="709"/>
        <v>1176573</v>
      </c>
      <c r="G19" s="24">
        <f t="shared" si="709"/>
        <v>1204462</v>
      </c>
      <c r="H19" s="24">
        <f t="shared" si="709"/>
        <v>0</v>
      </c>
      <c r="I19" s="25">
        <f t="shared" si="709"/>
        <v>1176573</v>
      </c>
      <c r="J19" s="26">
        <f t="shared" si="709"/>
        <v>1451769</v>
      </c>
      <c r="K19" s="26">
        <f t="shared" si="709"/>
        <v>2249872.1374459928</v>
      </c>
      <c r="L19" s="27">
        <f t="shared" si="708"/>
        <v>0.48350195788183886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04"/>
        <v>0</v>
      </c>
      <c r="S19" s="35">
        <f t="shared" si="705"/>
        <v>2381035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5D00B6-0030-450D-AAB9-00F0006A006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DC009C-00B8-455B-BA0D-00920006004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4F00E7-0069-4C7C-B54A-00B600B9002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2B00F2-00D2-41BD-B701-0065001B004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5B00A7-0057-4012-A642-00A000E2003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1A0095-004F-48F1-868B-00B30039005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FD00D3-0046-4BB5-8C6D-005E004C000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8004A-0030-470B-BF9D-003E0038006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9F0080-0039-4342-A53A-009200EB001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A007D-00EE-4B82-B6F4-00580033007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300EC-00E1-4A22-B2B0-000E00DC003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C006D-00ED-4E5A-AEDE-00A2002A001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B6" activeCellId="0" sqref="B6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139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710">C3*D3</f>
        <v>1301570.1264771565</v>
      </c>
      <c r="F3" s="13">
        <v>75374</v>
      </c>
      <c r="G3" s="44">
        <v>373971</v>
      </c>
      <c r="H3" s="13">
        <v>0</v>
      </c>
      <c r="I3" s="16">
        <f t="shared" ref="I3:I18" si="711">F3+H3</f>
        <v>75374</v>
      </c>
      <c r="J3" s="17">
        <f t="shared" ref="J3:J18" si="712">C3-G3</f>
        <v>76029</v>
      </c>
      <c r="K3" s="18">
        <f t="shared" ref="K3:K17" si="713">+G3*D3</f>
        <v>1081665.5150417527</v>
      </c>
      <c r="L3" s="19">
        <f t="shared" ref="L3:L11" si="714">K3/E3</f>
        <v>0.83104666666666671</v>
      </c>
      <c r="M3" s="34">
        <v>0</v>
      </c>
      <c r="N3" s="58">
        <v>0</v>
      </c>
      <c r="O3" s="55">
        <v>92500</v>
      </c>
      <c r="P3" s="34">
        <v>55000</v>
      </c>
      <c r="Q3" s="34">
        <v>0</v>
      </c>
      <c r="R3" s="34">
        <f t="shared" ref="R3:R19" si="715">M3+N3+O3+P3+Q3</f>
        <v>147500</v>
      </c>
      <c r="S3" s="35">
        <f t="shared" ref="S3:S19" si="716">G3+I3+R3</f>
        <v>596845</v>
      </c>
      <c r="T3" s="35">
        <f t="shared" ref="T3:T18" si="717">S3-C3</f>
        <v>146845</v>
      </c>
      <c r="U3" s="19">
        <f t="shared" ref="U3:U18" si="718">S3/C3</f>
        <v>1.3263222222222222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710"/>
        <v>913105.5150918765</v>
      </c>
      <c r="F4" s="13">
        <v>427805</v>
      </c>
      <c r="G4" s="13">
        <v>187005</v>
      </c>
      <c r="H4" s="13">
        <v>0</v>
      </c>
      <c r="I4" s="16">
        <f t="shared" si="711"/>
        <v>427805</v>
      </c>
      <c r="J4" s="17">
        <f t="shared" si="712"/>
        <v>513802</v>
      </c>
      <c r="K4" s="18">
        <f t="shared" si="713"/>
        <v>243655.23867449435</v>
      </c>
      <c r="L4" s="19">
        <f t="shared" si="714"/>
        <v>0.2668423688690324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15"/>
        <v>0</v>
      </c>
      <c r="S4" s="35">
        <f t="shared" si="716"/>
        <v>614810</v>
      </c>
      <c r="T4" s="35">
        <f t="shared" si="717"/>
        <v>-85997</v>
      </c>
      <c r="U4" s="19">
        <f t="shared" si="718"/>
        <v>0.87728861155781834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10"/>
        <v>0</v>
      </c>
      <c r="F5" s="13">
        <v>0</v>
      </c>
      <c r="G5" s="13">
        <v>0</v>
      </c>
      <c r="H5" s="13">
        <v>0</v>
      </c>
      <c r="I5" s="16">
        <f t="shared" si="711"/>
        <v>0</v>
      </c>
      <c r="J5" s="17">
        <f t="shared" si="712"/>
        <v>0</v>
      </c>
      <c r="K5" s="18">
        <f t="shared" si="713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15"/>
        <v>0</v>
      </c>
      <c r="S5" s="35">
        <f t="shared" si="716"/>
        <v>0</v>
      </c>
      <c r="T5" s="35">
        <f t="shared" si="717"/>
        <v>0</v>
      </c>
      <c r="U5" s="19" t="e">
        <f t="shared" si="718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10"/>
        <v>396259.25229770731</v>
      </c>
      <c r="F6" s="13">
        <v>63566</v>
      </c>
      <c r="G6" s="44">
        <v>234169</v>
      </c>
      <c r="H6" s="44">
        <v>113143</v>
      </c>
      <c r="I6" s="16">
        <f t="shared" si="711"/>
        <v>176709</v>
      </c>
      <c r="J6" s="17">
        <f t="shared" si="712"/>
        <v>112506</v>
      </c>
      <c r="K6" s="18">
        <f t="shared" si="713"/>
        <v>267661.73751006508</v>
      </c>
      <c r="L6" s="19">
        <f t="shared" si="714"/>
        <v>0.67547126271003088</v>
      </c>
      <c r="M6" s="34">
        <v>0</v>
      </c>
      <c r="N6" s="58">
        <v>0</v>
      </c>
      <c r="O6" s="55">
        <v>157000</v>
      </c>
      <c r="P6" s="34">
        <v>63000</v>
      </c>
      <c r="Q6" s="34">
        <v>0</v>
      </c>
      <c r="R6" s="34">
        <f t="shared" si="715"/>
        <v>220000</v>
      </c>
      <c r="S6" s="35">
        <f t="shared" si="716"/>
        <v>630878</v>
      </c>
      <c r="T6" s="35">
        <f t="shared" si="717"/>
        <v>284203</v>
      </c>
      <c r="U6" s="19">
        <f t="shared" si="718"/>
        <v>1.8197966395038581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10"/>
        <v>127089.15534221899</v>
      </c>
      <c r="F7" s="13">
        <v>0</v>
      </c>
      <c r="G7" s="44">
        <v>89023</v>
      </c>
      <c r="H7" s="13">
        <v>0</v>
      </c>
      <c r="I7" s="16">
        <f t="shared" si="711"/>
        <v>0</v>
      </c>
      <c r="J7" s="17">
        <f t="shared" si="712"/>
        <v>111361</v>
      </c>
      <c r="K7" s="18">
        <f t="shared" si="713"/>
        <v>56460.884481946465</v>
      </c>
      <c r="L7" s="19">
        <f t="shared" si="714"/>
        <v>0.44426201692749917</v>
      </c>
      <c r="M7" s="34">
        <v>0</v>
      </c>
      <c r="N7" s="58">
        <v>0</v>
      </c>
      <c r="O7" s="55">
        <v>528000</v>
      </c>
      <c r="P7" s="34">
        <v>0</v>
      </c>
      <c r="Q7" s="34">
        <v>0</v>
      </c>
      <c r="R7" s="34">
        <f t="shared" si="715"/>
        <v>528000</v>
      </c>
      <c r="S7" s="35">
        <f t="shared" si="716"/>
        <v>617023</v>
      </c>
      <c r="T7" s="35">
        <f t="shared" si="717"/>
        <v>416639</v>
      </c>
      <c r="U7" s="19">
        <f t="shared" si="718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10"/>
        <v>325168.26353207661</v>
      </c>
      <c r="F8" s="44">
        <v>161205</v>
      </c>
      <c r="G8" s="13">
        <v>262918</v>
      </c>
      <c r="H8" s="44">
        <v>100997</v>
      </c>
      <c r="I8" s="16">
        <f t="shared" si="711"/>
        <v>262202</v>
      </c>
      <c r="J8" s="17">
        <f t="shared" si="712"/>
        <v>100997</v>
      </c>
      <c r="K8" s="18">
        <f t="shared" si="713"/>
        <v>234924.61017360238</v>
      </c>
      <c r="L8" s="19">
        <f t="shared" si="714"/>
        <v>0.72247090666776581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715"/>
        <v>130000</v>
      </c>
      <c r="S8" s="35">
        <f t="shared" si="716"/>
        <v>655120</v>
      </c>
      <c r="T8" s="35">
        <f t="shared" si="717"/>
        <v>291205</v>
      </c>
      <c r="U8" s="19">
        <f t="shared" si="718"/>
        <v>1.8002005962930905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10"/>
        <v>87015.320392365335</v>
      </c>
      <c r="F9" s="13">
        <v>133075</v>
      </c>
      <c r="G9" s="13">
        <v>100000</v>
      </c>
      <c r="H9" s="13">
        <v>0</v>
      </c>
      <c r="I9" s="16">
        <f t="shared" si="711"/>
        <v>133075</v>
      </c>
      <c r="J9" s="17">
        <f t="shared" si="712"/>
        <v>-18550</v>
      </c>
      <c r="K9" s="18">
        <f t="shared" si="713"/>
        <v>106832.80588381256</v>
      </c>
      <c r="L9" s="19">
        <f t="shared" si="714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15"/>
        <v>0</v>
      </c>
      <c r="S9" s="35">
        <f t="shared" si="716"/>
        <v>233075</v>
      </c>
      <c r="T9" s="35">
        <f t="shared" si="717"/>
        <v>151625</v>
      </c>
      <c r="U9" s="19">
        <f t="shared" si="718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10"/>
        <v>841835.08682919282</v>
      </c>
      <c r="F10" s="13">
        <v>38895</v>
      </c>
      <c r="G10" s="13">
        <v>39298</v>
      </c>
      <c r="H10" s="13">
        <v>0</v>
      </c>
      <c r="I10" s="16">
        <f t="shared" si="711"/>
        <v>38895</v>
      </c>
      <c r="J10" s="17">
        <f t="shared" si="712"/>
        <v>348702</v>
      </c>
      <c r="K10" s="18">
        <f t="shared" si="713"/>
        <v>85264.008356220671</v>
      </c>
      <c r="L10" s="19">
        <f t="shared" si="714"/>
        <v>0.10128350515463917</v>
      </c>
      <c r="M10" s="34">
        <v>0</v>
      </c>
      <c r="N10" s="58">
        <v>0</v>
      </c>
      <c r="O10" s="55">
        <v>118000</v>
      </c>
      <c r="P10" s="34">
        <v>234000</v>
      </c>
      <c r="Q10" s="34">
        <v>0</v>
      </c>
      <c r="R10" s="34">
        <f t="shared" si="715"/>
        <v>352000</v>
      </c>
      <c r="S10" s="35">
        <f t="shared" si="716"/>
        <v>430193</v>
      </c>
      <c r="T10" s="35">
        <f t="shared" si="717"/>
        <v>42193</v>
      </c>
      <c r="U10" s="19">
        <f t="shared" si="718"/>
        <v>1.1087448453608248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10"/>
        <v>0</v>
      </c>
      <c r="F11" s="13">
        <v>0</v>
      </c>
      <c r="G11" s="13">
        <v>0</v>
      </c>
      <c r="H11" s="13">
        <v>0</v>
      </c>
      <c r="I11" s="16">
        <f t="shared" si="711"/>
        <v>0</v>
      </c>
      <c r="J11" s="17">
        <f t="shared" si="712"/>
        <v>0</v>
      </c>
      <c r="K11" s="18">
        <f t="shared" si="713"/>
        <v>0</v>
      </c>
      <c r="L11" s="19" t="e">
        <f t="shared" si="714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15"/>
        <v>0</v>
      </c>
      <c r="S11" s="35">
        <f t="shared" si="716"/>
        <v>0</v>
      </c>
      <c r="T11" s="35">
        <f t="shared" si="717"/>
        <v>0</v>
      </c>
      <c r="U11" s="19" t="e">
        <f t="shared" si="718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10"/>
        <v>0</v>
      </c>
      <c r="F12" s="13">
        <v>0</v>
      </c>
      <c r="G12" s="13">
        <v>0</v>
      </c>
      <c r="H12" s="13">
        <v>0</v>
      </c>
      <c r="I12" s="16">
        <f t="shared" si="711"/>
        <v>0</v>
      </c>
      <c r="J12" s="17">
        <f t="shared" si="712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15"/>
        <v>0</v>
      </c>
      <c r="S12" s="35">
        <f t="shared" si="716"/>
        <v>0</v>
      </c>
      <c r="T12" s="35">
        <f t="shared" si="717"/>
        <v>0</v>
      </c>
      <c r="U12" s="19" t="e">
        <f t="shared" si="718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10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12"/>
        <v>0</v>
      </c>
      <c r="K13" s="18">
        <f t="shared" si="713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15"/>
        <v>0</v>
      </c>
      <c r="S13" s="35">
        <f t="shared" si="716"/>
        <v>133460</v>
      </c>
      <c r="T13" s="35">
        <f t="shared" si="717"/>
        <v>33460</v>
      </c>
      <c r="U13" s="19">
        <f t="shared" si="718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10"/>
        <v>138900</v>
      </c>
      <c r="F14" s="13">
        <v>14986</v>
      </c>
      <c r="G14" s="13">
        <v>0</v>
      </c>
      <c r="H14" s="13">
        <v>0</v>
      </c>
      <c r="I14" s="16">
        <f t="shared" si="711"/>
        <v>14986</v>
      </c>
      <c r="J14" s="17">
        <f t="shared" si="712"/>
        <v>15000</v>
      </c>
      <c r="K14" s="18">
        <f t="shared" si="713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15"/>
        <v>0</v>
      </c>
      <c r="S14" s="35">
        <f t="shared" si="716"/>
        <v>14986</v>
      </c>
      <c r="T14" s="35">
        <f t="shared" si="717"/>
        <v>-14</v>
      </c>
      <c r="U14" s="19">
        <f t="shared" si="718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10"/>
        <v>89388.782058969489</v>
      </c>
      <c r="F15" s="13">
        <v>9980</v>
      </c>
      <c r="G15" s="13">
        <v>0</v>
      </c>
      <c r="H15" s="13">
        <v>0</v>
      </c>
      <c r="I15" s="16">
        <f>F15+H15</f>
        <v>9980</v>
      </c>
      <c r="J15" s="17">
        <f t="shared" si="712"/>
        <v>10000</v>
      </c>
      <c r="K15" s="18">
        <f t="shared" si="713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15"/>
        <v>0</v>
      </c>
      <c r="S15" s="35">
        <f t="shared" si="716"/>
        <v>9980</v>
      </c>
      <c r="T15" s="35">
        <f t="shared" si="717"/>
        <v>-20</v>
      </c>
      <c r="U15" s="19">
        <f t="shared" si="718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10"/>
        <v>0</v>
      </c>
      <c r="F16" s="13">
        <v>0</v>
      </c>
      <c r="G16" s="13">
        <v>0</v>
      </c>
      <c r="H16" s="13">
        <v>0</v>
      </c>
      <c r="I16" s="16">
        <f t="shared" si="711"/>
        <v>0</v>
      </c>
      <c r="J16" s="17">
        <f t="shared" si="712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15"/>
        <v>0</v>
      </c>
      <c r="S16" s="35">
        <f t="shared" si="716"/>
        <v>0</v>
      </c>
      <c r="T16" s="35">
        <f t="shared" si="717"/>
        <v>0</v>
      </c>
      <c r="U16" s="19" t="e">
        <f t="shared" si="718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710"/>
        <v>0</v>
      </c>
      <c r="F17" s="13">
        <v>0</v>
      </c>
      <c r="G17" s="13">
        <v>0</v>
      </c>
      <c r="H17" s="13">
        <v>0</v>
      </c>
      <c r="I17" s="16">
        <f t="shared" si="711"/>
        <v>0</v>
      </c>
      <c r="J17" s="17">
        <f t="shared" si="712"/>
        <v>0</v>
      </c>
      <c r="K17" s="18">
        <f t="shared" si="713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15"/>
        <v>0</v>
      </c>
      <c r="S17" s="35">
        <f t="shared" si="716"/>
        <v>0</v>
      </c>
      <c r="T17" s="35">
        <f t="shared" si="717"/>
        <v>0</v>
      </c>
      <c r="U17" s="19" t="e">
        <f t="shared" si="718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710"/>
        <v>0</v>
      </c>
      <c r="F18" s="13">
        <v>0</v>
      </c>
      <c r="G18" s="13">
        <v>0</v>
      </c>
      <c r="H18" s="13">
        <v>0</v>
      </c>
      <c r="I18" s="16">
        <f t="shared" si="711"/>
        <v>0</v>
      </c>
      <c r="J18" s="17">
        <f t="shared" si="712"/>
        <v>0</v>
      </c>
      <c r="K18" s="18">
        <f>+G18*D18</f>
        <v>0</v>
      </c>
      <c r="L18" s="19" t="e">
        <f t="shared" ref="L18:L19" si="719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15"/>
        <v>0</v>
      </c>
      <c r="S18" s="35">
        <f t="shared" si="716"/>
        <v>0</v>
      </c>
      <c r="T18" s="35">
        <f t="shared" si="717"/>
        <v>0</v>
      </c>
      <c r="U18" s="19" t="e">
        <f t="shared" si="718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20">SUM(E3:E18)</f>
        <v>4653284.4402583167</v>
      </c>
      <c r="F19" s="24">
        <f t="shared" si="720"/>
        <v>958346</v>
      </c>
      <c r="G19" s="24">
        <f t="shared" si="720"/>
        <v>1386384</v>
      </c>
      <c r="H19" s="24">
        <f t="shared" si="720"/>
        <v>214140</v>
      </c>
      <c r="I19" s="25">
        <f t="shared" si="720"/>
        <v>1172486</v>
      </c>
      <c r="J19" s="26">
        <f t="shared" si="720"/>
        <v>1269847</v>
      </c>
      <c r="K19" s="26">
        <f t="shared" si="720"/>
        <v>2509417.738358648</v>
      </c>
      <c r="L19" s="27">
        <f t="shared" si="719"/>
        <v>0.53927881920309673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15"/>
        <v>0</v>
      </c>
      <c r="S19" s="35">
        <f t="shared" si="716"/>
        <v>2558870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AA00B9-0010-4D38-94B8-009000FF00D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3A004F-008A-4E00-AD21-000D0012004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59000C-0015-483F-8B44-0029005D006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730005-00EB-449B-8EEC-007E00AE003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E900CC-0047-48A6-AEFB-008D009500E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CA0093-00FE-4F63-B09E-00AF00D9005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1000F4-005E-48D1-8D2C-005200BC005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7001C-00AE-485D-A6F7-00A90072000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900D3-0035-42F0-8BC2-006900A9004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DC003B-0035-4780-B21F-00A20082000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F900D2-006B-4BEC-81EC-0077008E00F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D0081-00BE-4129-A91B-00A2007B00D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6" activeCellId="0" sqref="G6:H6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140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59" t="s">
        <v>21</v>
      </c>
      <c r="C3" s="14">
        <v>450000</v>
      </c>
      <c r="D3" s="11">
        <v>2.8923780588381258</v>
      </c>
      <c r="E3" s="12">
        <f t="shared" ref="E3:E18" si="721">C3*D3</f>
        <v>1301570.1264771565</v>
      </c>
      <c r="F3" s="13">
        <v>75374</v>
      </c>
      <c r="G3" s="44">
        <v>373971</v>
      </c>
      <c r="H3" s="13">
        <v>0</v>
      </c>
      <c r="I3" s="16">
        <f t="shared" ref="I3:I18" si="722">F3+H3</f>
        <v>75374</v>
      </c>
      <c r="J3" s="17">
        <f t="shared" ref="J3:J18" si="723">C3-G3</f>
        <v>76029</v>
      </c>
      <c r="K3" s="18">
        <f t="shared" ref="K3:K17" si="724">+G3*D3</f>
        <v>1081665.5150417527</v>
      </c>
      <c r="L3" s="19">
        <f t="shared" ref="L3:L11" si="725">K3/E3</f>
        <v>0.83104666666666671</v>
      </c>
      <c r="M3" s="34">
        <v>0</v>
      </c>
      <c r="N3" s="58">
        <v>0</v>
      </c>
      <c r="O3" s="34">
        <v>0</v>
      </c>
      <c r="P3" s="34">
        <v>74000</v>
      </c>
      <c r="Q3" s="34">
        <v>0</v>
      </c>
      <c r="R3" s="34">
        <f t="shared" ref="R3:R19" si="726">M3+N3+O3+P3+Q3</f>
        <v>74000</v>
      </c>
      <c r="S3" s="35">
        <f t="shared" ref="S3:S19" si="727">G3+I3+R3</f>
        <v>523345</v>
      </c>
      <c r="T3" s="35">
        <f t="shared" ref="T3:T18" si="728">S3-C3</f>
        <v>73345</v>
      </c>
      <c r="U3" s="19">
        <f t="shared" ref="U3:U18" si="729">S3/C3</f>
        <v>1.1629888888888888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721"/>
        <v>913105.5150918765</v>
      </c>
      <c r="F4" s="13">
        <v>575395</v>
      </c>
      <c r="G4" s="13">
        <v>187005</v>
      </c>
      <c r="H4" s="13">
        <v>0</v>
      </c>
      <c r="I4" s="16">
        <f t="shared" si="722"/>
        <v>575395</v>
      </c>
      <c r="J4" s="17">
        <f t="shared" si="723"/>
        <v>513802</v>
      </c>
      <c r="K4" s="18">
        <f t="shared" si="724"/>
        <v>243655.23867449435</v>
      </c>
      <c r="L4" s="19">
        <f t="shared" si="725"/>
        <v>0.2668423688690324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26"/>
        <v>0</v>
      </c>
      <c r="S4" s="35">
        <f t="shared" si="727"/>
        <v>762400</v>
      </c>
      <c r="T4" s="35">
        <f t="shared" si="728"/>
        <v>61593</v>
      </c>
      <c r="U4" s="19">
        <f t="shared" si="729"/>
        <v>1.0878886769110467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21"/>
        <v>0</v>
      </c>
      <c r="F5" s="13">
        <v>0</v>
      </c>
      <c r="G5" s="13">
        <v>0</v>
      </c>
      <c r="H5" s="13">
        <v>0</v>
      </c>
      <c r="I5" s="16">
        <f t="shared" si="722"/>
        <v>0</v>
      </c>
      <c r="J5" s="17">
        <f t="shared" si="723"/>
        <v>0</v>
      </c>
      <c r="K5" s="18">
        <f t="shared" si="72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26"/>
        <v>0</v>
      </c>
      <c r="S5" s="35">
        <f t="shared" si="727"/>
        <v>0</v>
      </c>
      <c r="T5" s="35">
        <f t="shared" si="728"/>
        <v>0</v>
      </c>
      <c r="U5" s="19" t="e">
        <f t="shared" si="729"/>
        <v>#DIV/0!</v>
      </c>
    </row>
    <row r="6">
      <c r="A6" s="9" t="s">
        <v>26</v>
      </c>
      <c r="B6" s="59" t="s">
        <v>27</v>
      </c>
      <c r="C6" s="14">
        <v>346675</v>
      </c>
      <c r="D6" s="11">
        <v>1.1430280588381259</v>
      </c>
      <c r="E6" s="12">
        <f t="shared" si="721"/>
        <v>396259.25229770731</v>
      </c>
      <c r="F6" s="13">
        <v>63566</v>
      </c>
      <c r="G6" s="44">
        <v>284089</v>
      </c>
      <c r="H6" s="44">
        <v>63223</v>
      </c>
      <c r="I6" s="16">
        <f t="shared" si="722"/>
        <v>126789</v>
      </c>
      <c r="J6" s="17">
        <f t="shared" si="723"/>
        <v>62586</v>
      </c>
      <c r="K6" s="18">
        <f t="shared" si="724"/>
        <v>324721.69820726436</v>
      </c>
      <c r="L6" s="19">
        <f t="shared" si="725"/>
        <v>0.81946780125477747</v>
      </c>
      <c r="M6" s="34">
        <v>0</v>
      </c>
      <c r="N6" s="58">
        <v>0</v>
      </c>
      <c r="O6" s="34">
        <v>0</v>
      </c>
      <c r="P6" s="34">
        <v>63000</v>
      </c>
      <c r="Q6" s="34">
        <v>0</v>
      </c>
      <c r="R6" s="34">
        <f t="shared" si="726"/>
        <v>63000</v>
      </c>
      <c r="S6" s="35">
        <f t="shared" si="727"/>
        <v>473878</v>
      </c>
      <c r="T6" s="35">
        <f t="shared" si="728"/>
        <v>127203</v>
      </c>
      <c r="U6" s="19">
        <f t="shared" si="729"/>
        <v>1.3669229105069589</v>
      </c>
    </row>
    <row r="7">
      <c r="A7" s="9" t="s">
        <v>28</v>
      </c>
      <c r="B7" s="59" t="s">
        <v>29</v>
      </c>
      <c r="C7" s="14">
        <v>200384</v>
      </c>
      <c r="D7" s="11">
        <v>0.63422805883812572</v>
      </c>
      <c r="E7" s="12">
        <f t="shared" si="721"/>
        <v>127089.15534221899</v>
      </c>
      <c r="F7" s="13">
        <v>0</v>
      </c>
      <c r="G7" s="44">
        <v>89023</v>
      </c>
      <c r="H7" s="13">
        <v>0</v>
      </c>
      <c r="I7" s="16">
        <f t="shared" si="722"/>
        <v>0</v>
      </c>
      <c r="J7" s="17">
        <f t="shared" si="723"/>
        <v>111361</v>
      </c>
      <c r="K7" s="18">
        <f t="shared" si="724"/>
        <v>56460.884481946465</v>
      </c>
      <c r="L7" s="19">
        <f t="shared" si="725"/>
        <v>0.44426201692749917</v>
      </c>
      <c r="M7" s="34">
        <v>0</v>
      </c>
      <c r="N7" s="58">
        <v>0</v>
      </c>
      <c r="O7" s="34">
        <v>0</v>
      </c>
      <c r="P7" s="34">
        <v>528000</v>
      </c>
      <c r="Q7" s="34">
        <v>0</v>
      </c>
      <c r="R7" s="34">
        <f t="shared" si="726"/>
        <v>528000</v>
      </c>
      <c r="S7" s="35">
        <f t="shared" si="727"/>
        <v>617023</v>
      </c>
      <c r="T7" s="35">
        <f t="shared" si="728"/>
        <v>416639</v>
      </c>
      <c r="U7" s="19">
        <f t="shared" si="729"/>
        <v>3.0792029303736825</v>
      </c>
    </row>
    <row r="8">
      <c r="A8" s="9" t="s">
        <v>30</v>
      </c>
      <c r="B8" s="59" t="s">
        <v>31</v>
      </c>
      <c r="C8" s="14">
        <v>363915</v>
      </c>
      <c r="D8" s="50">
        <v>0.89352805883812592</v>
      </c>
      <c r="E8" s="14">
        <f t="shared" si="721"/>
        <v>325168.26353207661</v>
      </c>
      <c r="F8" s="44">
        <v>161205</v>
      </c>
      <c r="G8" s="13">
        <v>331515</v>
      </c>
      <c r="H8" s="44">
        <v>32400</v>
      </c>
      <c r="I8" s="16">
        <f t="shared" si="722"/>
        <v>193605</v>
      </c>
      <c r="J8" s="17">
        <f t="shared" si="723"/>
        <v>32400</v>
      </c>
      <c r="K8" s="18">
        <f t="shared" si="724"/>
        <v>296217.95442572131</v>
      </c>
      <c r="L8" s="19">
        <f t="shared" si="725"/>
        <v>0.9109682206009645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726"/>
        <v>130000</v>
      </c>
      <c r="S8" s="35">
        <f t="shared" si="727"/>
        <v>655120</v>
      </c>
      <c r="T8" s="35">
        <f t="shared" si="728"/>
        <v>291205</v>
      </c>
      <c r="U8" s="19">
        <f t="shared" si="729"/>
        <v>1.8002005962930905</v>
      </c>
    </row>
    <row r="9">
      <c r="A9" s="9" t="s">
        <v>32</v>
      </c>
      <c r="B9" s="59" t="s">
        <v>33</v>
      </c>
      <c r="C9" s="14">
        <v>81450</v>
      </c>
      <c r="D9" s="11">
        <v>1.0683280588381256</v>
      </c>
      <c r="E9" s="12">
        <f t="shared" si="721"/>
        <v>87015.320392365335</v>
      </c>
      <c r="F9" s="13">
        <v>133075</v>
      </c>
      <c r="G9" s="13">
        <v>100000</v>
      </c>
      <c r="H9" s="13">
        <v>0</v>
      </c>
      <c r="I9" s="16">
        <f t="shared" si="722"/>
        <v>133075</v>
      </c>
      <c r="J9" s="17">
        <f t="shared" si="723"/>
        <v>-18550</v>
      </c>
      <c r="K9" s="18">
        <f t="shared" si="724"/>
        <v>106832.80588381256</v>
      </c>
      <c r="L9" s="19">
        <f t="shared" si="725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26"/>
        <v>0</v>
      </c>
      <c r="S9" s="35">
        <f t="shared" si="727"/>
        <v>233075</v>
      </c>
      <c r="T9" s="35">
        <f t="shared" si="728"/>
        <v>151625</v>
      </c>
      <c r="U9" s="19">
        <f t="shared" si="729"/>
        <v>2.8615715162676487</v>
      </c>
    </row>
    <row r="10">
      <c r="A10" s="9" t="s">
        <v>34</v>
      </c>
      <c r="B10" s="59" t="s">
        <v>35</v>
      </c>
      <c r="C10" s="14">
        <v>388000</v>
      </c>
      <c r="D10" s="11">
        <v>2.1696780588381257</v>
      </c>
      <c r="E10" s="12">
        <f t="shared" si="721"/>
        <v>841835.08682919282</v>
      </c>
      <c r="F10" s="13">
        <v>38895</v>
      </c>
      <c r="G10" s="13">
        <v>39298</v>
      </c>
      <c r="H10" s="13">
        <v>0</v>
      </c>
      <c r="I10" s="16">
        <f t="shared" si="722"/>
        <v>38895</v>
      </c>
      <c r="J10" s="17">
        <f t="shared" si="723"/>
        <v>348702</v>
      </c>
      <c r="K10" s="18">
        <f t="shared" si="724"/>
        <v>85264.008356220671</v>
      </c>
      <c r="L10" s="19">
        <f t="shared" si="725"/>
        <v>0.10128350515463917</v>
      </c>
      <c r="M10" s="34">
        <v>0</v>
      </c>
      <c r="N10" s="58">
        <v>0</v>
      </c>
      <c r="O10" s="34">
        <v>0</v>
      </c>
      <c r="P10" s="34">
        <v>234000</v>
      </c>
      <c r="Q10" s="34">
        <v>0</v>
      </c>
      <c r="R10" s="34">
        <f t="shared" si="726"/>
        <v>234000</v>
      </c>
      <c r="S10" s="35">
        <f t="shared" si="727"/>
        <v>312193</v>
      </c>
      <c r="T10" s="35">
        <f t="shared" si="728"/>
        <v>-75807</v>
      </c>
      <c r="U10" s="19">
        <f t="shared" si="729"/>
        <v>0.80462113402061852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21"/>
        <v>0</v>
      </c>
      <c r="F11" s="13">
        <v>0</v>
      </c>
      <c r="G11" s="13">
        <v>0</v>
      </c>
      <c r="H11" s="13">
        <v>0</v>
      </c>
      <c r="I11" s="16">
        <f t="shared" si="722"/>
        <v>0</v>
      </c>
      <c r="J11" s="17">
        <f t="shared" si="723"/>
        <v>0</v>
      </c>
      <c r="K11" s="18">
        <f t="shared" si="724"/>
        <v>0</v>
      </c>
      <c r="L11" s="19" t="e">
        <f t="shared" si="725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26"/>
        <v>0</v>
      </c>
      <c r="S11" s="35">
        <f t="shared" si="727"/>
        <v>0</v>
      </c>
      <c r="T11" s="35">
        <f t="shared" si="728"/>
        <v>0</v>
      </c>
      <c r="U11" s="19" t="e">
        <f t="shared" si="72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21"/>
        <v>0</v>
      </c>
      <c r="F12" s="13">
        <v>0</v>
      </c>
      <c r="G12" s="13">
        <v>0</v>
      </c>
      <c r="H12" s="13">
        <v>0</v>
      </c>
      <c r="I12" s="16">
        <f t="shared" si="722"/>
        <v>0</v>
      </c>
      <c r="J12" s="17">
        <f t="shared" si="72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26"/>
        <v>0</v>
      </c>
      <c r="S12" s="35">
        <f t="shared" si="727"/>
        <v>0</v>
      </c>
      <c r="T12" s="35">
        <f t="shared" si="728"/>
        <v>0</v>
      </c>
      <c r="U12" s="19" t="e">
        <f t="shared" si="729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21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23"/>
        <v>0</v>
      </c>
      <c r="K13" s="18">
        <f t="shared" si="724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26"/>
        <v>0</v>
      </c>
      <c r="S13" s="35">
        <f t="shared" si="727"/>
        <v>133460</v>
      </c>
      <c r="T13" s="35">
        <f t="shared" si="728"/>
        <v>33460</v>
      </c>
      <c r="U13" s="19">
        <f t="shared" si="729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21"/>
        <v>138900</v>
      </c>
      <c r="F14" s="13">
        <v>14986</v>
      </c>
      <c r="G14" s="13">
        <v>14986</v>
      </c>
      <c r="H14" s="13">
        <v>0</v>
      </c>
      <c r="I14" s="16">
        <f t="shared" si="722"/>
        <v>14986</v>
      </c>
      <c r="J14" s="17">
        <f t="shared" si="723"/>
        <v>14</v>
      </c>
      <c r="K14" s="18">
        <f t="shared" si="724"/>
        <v>138770.35999999999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26"/>
        <v>0</v>
      </c>
      <c r="S14" s="35">
        <f t="shared" si="727"/>
        <v>29972</v>
      </c>
      <c r="T14" s="35">
        <f t="shared" si="728"/>
        <v>14972</v>
      </c>
      <c r="U14" s="19">
        <f t="shared" si="729"/>
        <v>1.9981333333333333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21"/>
        <v>89388.782058969489</v>
      </c>
      <c r="F15" s="13">
        <v>9980</v>
      </c>
      <c r="G15" s="13">
        <v>9980</v>
      </c>
      <c r="H15" s="13">
        <v>0</v>
      </c>
      <c r="I15" s="16">
        <f>F15+H15</f>
        <v>9980</v>
      </c>
      <c r="J15" s="17">
        <f t="shared" si="723"/>
        <v>20</v>
      </c>
      <c r="K15" s="18">
        <f t="shared" si="724"/>
        <v>89210.004494851542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26"/>
        <v>0</v>
      </c>
      <c r="S15" s="35">
        <f t="shared" si="727"/>
        <v>19960</v>
      </c>
      <c r="T15" s="35">
        <f t="shared" si="728"/>
        <v>9960</v>
      </c>
      <c r="U15" s="19">
        <f t="shared" si="729"/>
        <v>1.996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21"/>
        <v>0</v>
      </c>
      <c r="F16" s="13">
        <v>0</v>
      </c>
      <c r="G16" s="13">
        <v>0</v>
      </c>
      <c r="H16" s="13">
        <v>0</v>
      </c>
      <c r="I16" s="16">
        <f t="shared" si="722"/>
        <v>0</v>
      </c>
      <c r="J16" s="17">
        <f t="shared" si="723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26"/>
        <v>0</v>
      </c>
      <c r="S16" s="35">
        <f t="shared" si="727"/>
        <v>0</v>
      </c>
      <c r="T16" s="35">
        <f t="shared" si="728"/>
        <v>0</v>
      </c>
      <c r="U16" s="19" t="e">
        <f t="shared" si="729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721"/>
        <v>0</v>
      </c>
      <c r="F17" s="13">
        <v>0</v>
      </c>
      <c r="G17" s="13">
        <v>0</v>
      </c>
      <c r="H17" s="13">
        <v>0</v>
      </c>
      <c r="I17" s="16">
        <f t="shared" si="722"/>
        <v>0</v>
      </c>
      <c r="J17" s="17">
        <f t="shared" si="723"/>
        <v>0</v>
      </c>
      <c r="K17" s="18">
        <f t="shared" si="724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26"/>
        <v>0</v>
      </c>
      <c r="S17" s="35">
        <f t="shared" si="727"/>
        <v>0</v>
      </c>
      <c r="T17" s="35">
        <f t="shared" si="728"/>
        <v>0</v>
      </c>
      <c r="U17" s="19" t="e">
        <f t="shared" si="729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721"/>
        <v>0</v>
      </c>
      <c r="F18" s="13">
        <v>0</v>
      </c>
      <c r="G18" s="13">
        <v>0</v>
      </c>
      <c r="H18" s="13">
        <v>0</v>
      </c>
      <c r="I18" s="16">
        <f t="shared" si="722"/>
        <v>0</v>
      </c>
      <c r="J18" s="17">
        <f t="shared" si="723"/>
        <v>0</v>
      </c>
      <c r="K18" s="18">
        <f>+G18*D18</f>
        <v>0</v>
      </c>
      <c r="L18" s="19" t="e">
        <f t="shared" ref="L18:L19" si="730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26"/>
        <v>0</v>
      </c>
      <c r="S18" s="35">
        <f t="shared" si="727"/>
        <v>0</v>
      </c>
      <c r="T18" s="35">
        <f t="shared" si="728"/>
        <v>0</v>
      </c>
      <c r="U18" s="19" t="e">
        <f t="shared" si="729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31">SUM(E3:E18)</f>
        <v>4653284.4402583167</v>
      </c>
      <c r="F19" s="24">
        <f t="shared" si="731"/>
        <v>1105936</v>
      </c>
      <c r="G19" s="24">
        <f t="shared" si="731"/>
        <v>1529867</v>
      </c>
      <c r="H19" s="24">
        <f t="shared" si="731"/>
        <v>95623</v>
      </c>
      <c r="I19" s="25">
        <f t="shared" si="731"/>
        <v>1201559</v>
      </c>
      <c r="J19" s="26">
        <f t="shared" si="731"/>
        <v>1126364</v>
      </c>
      <c r="K19" s="26">
        <f t="shared" si="731"/>
        <v>2855751.4078028179</v>
      </c>
      <c r="L19" s="27">
        <f t="shared" si="730"/>
        <v>0.6137066075514368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26"/>
        <v>0</v>
      </c>
      <c r="S19" s="35">
        <f t="shared" si="727"/>
        <v>2731426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D00A1-0029-4A1F-A024-005600EA006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6B0008-00DA-4279-BEF7-009F004400A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C9004E-0000-42EB-A93B-002D0080006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160012-0085-43AE-8EF1-000300F0007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3D00BC-000F-4A92-8438-006E0068006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9E0038-0072-4C36-84A1-0069005B005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E100A6-0042-4365-91AE-00F3006500F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9E00F7-0098-412F-ACE2-008600AA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C800D0-00EA-4574-90C9-002D0065000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9D001A-00CD-41AB-92F6-00950039004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20079-0021-4F4F-B094-007B000D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70099-005A-4B97-A4F9-006300FF00C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21" activeCellId="0" sqref="H21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141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732">C3*D3</f>
        <v>1301570.1264771565</v>
      </c>
      <c r="F3" s="13">
        <v>75031</v>
      </c>
      <c r="G3" s="44">
        <v>449345</v>
      </c>
      <c r="H3" s="13">
        <v>0</v>
      </c>
      <c r="I3" s="16">
        <f t="shared" ref="I3:I18" si="733">F3+H3</f>
        <v>75031</v>
      </c>
      <c r="J3" s="17">
        <f t="shared" ref="J3:J18" si="734">C3-G3</f>
        <v>655</v>
      </c>
      <c r="K3" s="18">
        <f t="shared" ref="K3:K17" si="735">+G3*D3</f>
        <v>1299675.6188486177</v>
      </c>
      <c r="L3" s="19">
        <f t="shared" ref="L3:L11" si="736">K3/E3</f>
        <v>0.99854444444444457</v>
      </c>
      <c r="M3" s="34">
        <v>0</v>
      </c>
      <c r="N3" s="58">
        <v>0</v>
      </c>
      <c r="O3" s="34">
        <v>0</v>
      </c>
      <c r="P3" s="34">
        <v>74000</v>
      </c>
      <c r="Q3" s="34">
        <v>0</v>
      </c>
      <c r="R3" s="34">
        <f t="shared" ref="R3:R19" si="737">M3+N3+O3+P3+Q3</f>
        <v>74000</v>
      </c>
      <c r="S3" s="35">
        <f t="shared" ref="S3:S19" si="738">G3+I3+R3</f>
        <v>598376</v>
      </c>
      <c r="T3" s="35">
        <f t="shared" ref="T3:T18" si="739">S3-C3</f>
        <v>148376</v>
      </c>
      <c r="U3" s="19">
        <f t="shared" ref="U3:U18" si="740">S3/C3</f>
        <v>1.3297244444444445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732"/>
        <v>913105.5150918765</v>
      </c>
      <c r="F4" s="13">
        <v>441729</v>
      </c>
      <c r="G4" s="13">
        <v>320671</v>
      </c>
      <c r="H4" s="13">
        <v>0</v>
      </c>
      <c r="I4" s="16">
        <f t="shared" si="733"/>
        <v>441729</v>
      </c>
      <c r="J4" s="17">
        <f t="shared" si="734"/>
        <v>380136</v>
      </c>
      <c r="K4" s="18">
        <f t="shared" si="735"/>
        <v>417813.26189668069</v>
      </c>
      <c r="L4" s="19">
        <f t="shared" si="736"/>
        <v>0.45757391121949403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37"/>
        <v>0</v>
      </c>
      <c r="S4" s="35">
        <f t="shared" si="738"/>
        <v>762400</v>
      </c>
      <c r="T4" s="35">
        <f t="shared" si="739"/>
        <v>61593</v>
      </c>
      <c r="U4" s="19">
        <f t="shared" si="740"/>
        <v>1.0878886769110467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32"/>
        <v>0</v>
      </c>
      <c r="F5" s="13">
        <v>0</v>
      </c>
      <c r="G5" s="13">
        <v>0</v>
      </c>
      <c r="H5" s="13">
        <v>0</v>
      </c>
      <c r="I5" s="16">
        <f t="shared" si="733"/>
        <v>0</v>
      </c>
      <c r="J5" s="17">
        <f t="shared" si="734"/>
        <v>0</v>
      </c>
      <c r="K5" s="18">
        <f t="shared" si="735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37"/>
        <v>0</v>
      </c>
      <c r="S5" s="35">
        <f t="shared" si="738"/>
        <v>0</v>
      </c>
      <c r="T5" s="35">
        <f t="shared" si="739"/>
        <v>0</v>
      </c>
      <c r="U5" s="19" t="e">
        <f t="shared" si="740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32"/>
        <v>396259.25229770731</v>
      </c>
      <c r="F6" s="13">
        <v>101329</v>
      </c>
      <c r="G6" s="44">
        <v>284089</v>
      </c>
      <c r="H6" s="44">
        <v>115911</v>
      </c>
      <c r="I6" s="16">
        <f t="shared" si="733"/>
        <v>217240</v>
      </c>
      <c r="J6" s="17">
        <f t="shared" si="734"/>
        <v>62586</v>
      </c>
      <c r="K6" s="18">
        <f t="shared" si="735"/>
        <v>324721.69820726436</v>
      </c>
      <c r="L6" s="19">
        <f t="shared" si="736"/>
        <v>0.81946780125477747</v>
      </c>
      <c r="M6" s="34">
        <v>0</v>
      </c>
      <c r="N6" s="58">
        <v>0</v>
      </c>
      <c r="O6" s="34">
        <v>0</v>
      </c>
      <c r="P6" s="34">
        <v>63000</v>
      </c>
      <c r="Q6" s="34">
        <v>0</v>
      </c>
      <c r="R6" s="34">
        <f t="shared" si="737"/>
        <v>63000</v>
      </c>
      <c r="S6" s="35">
        <f t="shared" si="738"/>
        <v>564329</v>
      </c>
      <c r="T6" s="35">
        <f t="shared" si="739"/>
        <v>217654</v>
      </c>
      <c r="U6" s="19">
        <f t="shared" si="740"/>
        <v>1.6278329847840196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32"/>
        <v>127089.15534221899</v>
      </c>
      <c r="F7" s="13">
        <v>0</v>
      </c>
      <c r="G7" s="44">
        <v>89023</v>
      </c>
      <c r="H7" s="13">
        <v>0</v>
      </c>
      <c r="I7" s="16">
        <f t="shared" si="733"/>
        <v>0</v>
      </c>
      <c r="J7" s="17">
        <f t="shared" si="734"/>
        <v>111361</v>
      </c>
      <c r="K7" s="18">
        <f t="shared" si="735"/>
        <v>56460.884481946465</v>
      </c>
      <c r="L7" s="19">
        <f t="shared" si="736"/>
        <v>0.44426201692749917</v>
      </c>
      <c r="M7" s="34">
        <v>0</v>
      </c>
      <c r="N7" s="58">
        <v>0</v>
      </c>
      <c r="O7" s="34">
        <v>0</v>
      </c>
      <c r="P7" s="34">
        <v>528000</v>
      </c>
      <c r="Q7" s="34">
        <v>0</v>
      </c>
      <c r="R7" s="34">
        <f t="shared" si="737"/>
        <v>528000</v>
      </c>
      <c r="S7" s="35">
        <f t="shared" si="738"/>
        <v>617023</v>
      </c>
      <c r="T7" s="35">
        <f t="shared" si="739"/>
        <v>416639</v>
      </c>
      <c r="U7" s="19">
        <f t="shared" si="740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32"/>
        <v>325168.26353207661</v>
      </c>
      <c r="F8" s="44">
        <v>125120</v>
      </c>
      <c r="G8" s="13">
        <v>363915</v>
      </c>
      <c r="H8" s="44">
        <v>36085</v>
      </c>
      <c r="I8" s="16">
        <f t="shared" si="733"/>
        <v>161205</v>
      </c>
      <c r="J8" s="17">
        <f t="shared" si="734"/>
        <v>0</v>
      </c>
      <c r="K8" s="18">
        <f t="shared" si="735"/>
        <v>325168.26353207661</v>
      </c>
      <c r="L8" s="19">
        <f t="shared" si="736"/>
        <v>1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737"/>
        <v>130000</v>
      </c>
      <c r="S8" s="35">
        <f t="shared" si="738"/>
        <v>655120</v>
      </c>
      <c r="T8" s="35">
        <f t="shared" si="739"/>
        <v>291205</v>
      </c>
      <c r="U8" s="19">
        <f t="shared" si="740"/>
        <v>1.8002005962930905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32"/>
        <v>87015.320392365335</v>
      </c>
      <c r="F9" s="13">
        <v>133075</v>
      </c>
      <c r="G9" s="13">
        <v>100000</v>
      </c>
      <c r="H9" s="13">
        <v>0</v>
      </c>
      <c r="I9" s="16">
        <f t="shared" si="733"/>
        <v>133075</v>
      </c>
      <c r="J9" s="17">
        <f t="shared" si="734"/>
        <v>-18550</v>
      </c>
      <c r="K9" s="18">
        <f t="shared" si="735"/>
        <v>106832.80588381256</v>
      </c>
      <c r="L9" s="19">
        <f t="shared" si="736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37"/>
        <v>0</v>
      </c>
      <c r="S9" s="35">
        <f t="shared" si="738"/>
        <v>233075</v>
      </c>
      <c r="T9" s="35">
        <f t="shared" si="739"/>
        <v>151625</v>
      </c>
      <c r="U9" s="19">
        <f t="shared" si="740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32"/>
        <v>841835.08682919282</v>
      </c>
      <c r="F10" s="13">
        <v>39121</v>
      </c>
      <c r="G10" s="13">
        <v>78193</v>
      </c>
      <c r="H10" s="13">
        <v>117000</v>
      </c>
      <c r="I10" s="16">
        <f t="shared" si="733"/>
        <v>156121</v>
      </c>
      <c r="J10" s="17">
        <f t="shared" si="734"/>
        <v>309807</v>
      </c>
      <c r="K10" s="18">
        <f t="shared" si="735"/>
        <v>169653.63645472957</v>
      </c>
      <c r="L10" s="19">
        <f t="shared" si="736"/>
        <v>0.20152835051546392</v>
      </c>
      <c r="M10" s="34">
        <v>0</v>
      </c>
      <c r="N10" s="58">
        <v>0</v>
      </c>
      <c r="O10" s="34">
        <v>0</v>
      </c>
      <c r="P10" s="34">
        <v>234000</v>
      </c>
      <c r="Q10" s="34">
        <v>0</v>
      </c>
      <c r="R10" s="34">
        <f t="shared" si="737"/>
        <v>234000</v>
      </c>
      <c r="S10" s="35">
        <f t="shared" si="738"/>
        <v>468314</v>
      </c>
      <c r="T10" s="35">
        <f t="shared" si="739"/>
        <v>80314</v>
      </c>
      <c r="U10" s="19">
        <f t="shared" si="740"/>
        <v>1.2069948453608248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32"/>
        <v>0</v>
      </c>
      <c r="F11" s="13">
        <v>0</v>
      </c>
      <c r="G11" s="13">
        <v>0</v>
      </c>
      <c r="H11" s="13">
        <v>0</v>
      </c>
      <c r="I11" s="16">
        <f t="shared" si="733"/>
        <v>0</v>
      </c>
      <c r="J11" s="17">
        <f t="shared" si="734"/>
        <v>0</v>
      </c>
      <c r="K11" s="18">
        <f t="shared" si="735"/>
        <v>0</v>
      </c>
      <c r="L11" s="19" t="e">
        <f t="shared" si="736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37"/>
        <v>0</v>
      </c>
      <c r="S11" s="35">
        <f t="shared" si="738"/>
        <v>0</v>
      </c>
      <c r="T11" s="35">
        <f t="shared" si="739"/>
        <v>0</v>
      </c>
      <c r="U11" s="19" t="e">
        <f t="shared" si="740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32"/>
        <v>0</v>
      </c>
      <c r="F12" s="13">
        <v>0</v>
      </c>
      <c r="G12" s="13">
        <v>0</v>
      </c>
      <c r="H12" s="13">
        <v>0</v>
      </c>
      <c r="I12" s="16">
        <f t="shared" si="733"/>
        <v>0</v>
      </c>
      <c r="J12" s="17">
        <f t="shared" si="734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37"/>
        <v>0</v>
      </c>
      <c r="S12" s="35">
        <f t="shared" si="738"/>
        <v>0</v>
      </c>
      <c r="T12" s="35">
        <f t="shared" si="739"/>
        <v>0</v>
      </c>
      <c r="U12" s="19" t="e">
        <f t="shared" si="740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32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34"/>
        <v>0</v>
      </c>
      <c r="K13" s="18">
        <f t="shared" si="735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37"/>
        <v>0</v>
      </c>
      <c r="S13" s="35">
        <f t="shared" si="738"/>
        <v>133460</v>
      </c>
      <c r="T13" s="35">
        <f t="shared" si="739"/>
        <v>33460</v>
      </c>
      <c r="U13" s="19">
        <f t="shared" si="740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32"/>
        <v>138900</v>
      </c>
      <c r="F14" s="13">
        <v>14986</v>
      </c>
      <c r="G14" s="13">
        <v>14986</v>
      </c>
      <c r="H14" s="13">
        <v>0</v>
      </c>
      <c r="I14" s="16">
        <f t="shared" si="733"/>
        <v>14986</v>
      </c>
      <c r="J14" s="17">
        <f t="shared" si="734"/>
        <v>14</v>
      </c>
      <c r="K14" s="18">
        <f t="shared" si="735"/>
        <v>138770.35999999999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37"/>
        <v>0</v>
      </c>
      <c r="S14" s="35">
        <f t="shared" si="738"/>
        <v>29972</v>
      </c>
      <c r="T14" s="35">
        <f t="shared" si="739"/>
        <v>14972</v>
      </c>
      <c r="U14" s="19">
        <f t="shared" si="740"/>
        <v>1.9981333333333333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32"/>
        <v>89388.782058969489</v>
      </c>
      <c r="F15" s="13">
        <v>9980</v>
      </c>
      <c r="G15" s="13">
        <v>9980</v>
      </c>
      <c r="H15" s="13">
        <v>0</v>
      </c>
      <c r="I15" s="16">
        <f>F15+H15</f>
        <v>9980</v>
      </c>
      <c r="J15" s="17">
        <f t="shared" si="734"/>
        <v>20</v>
      </c>
      <c r="K15" s="18">
        <f t="shared" si="735"/>
        <v>89210.004494851542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37"/>
        <v>0</v>
      </c>
      <c r="S15" s="35">
        <f t="shared" si="738"/>
        <v>19960</v>
      </c>
      <c r="T15" s="35">
        <f t="shared" si="739"/>
        <v>9960</v>
      </c>
      <c r="U15" s="19">
        <f t="shared" si="740"/>
        <v>1.996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32"/>
        <v>0</v>
      </c>
      <c r="F16" s="13">
        <v>0</v>
      </c>
      <c r="G16" s="13">
        <v>0</v>
      </c>
      <c r="H16" s="13">
        <v>0</v>
      </c>
      <c r="I16" s="16">
        <f t="shared" si="733"/>
        <v>0</v>
      </c>
      <c r="J16" s="17">
        <f t="shared" si="734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37"/>
        <v>0</v>
      </c>
      <c r="S16" s="35">
        <f t="shared" si="738"/>
        <v>0</v>
      </c>
      <c r="T16" s="35">
        <f t="shared" si="739"/>
        <v>0</v>
      </c>
      <c r="U16" s="19" t="e">
        <f t="shared" si="740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732"/>
        <v>0</v>
      </c>
      <c r="F17" s="13">
        <v>0</v>
      </c>
      <c r="G17" s="13">
        <v>0</v>
      </c>
      <c r="H17" s="13">
        <v>0</v>
      </c>
      <c r="I17" s="16">
        <f t="shared" si="733"/>
        <v>0</v>
      </c>
      <c r="J17" s="17">
        <f t="shared" si="734"/>
        <v>0</v>
      </c>
      <c r="K17" s="18">
        <f t="shared" si="735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37"/>
        <v>0</v>
      </c>
      <c r="S17" s="35">
        <f t="shared" si="738"/>
        <v>0</v>
      </c>
      <c r="T17" s="35">
        <f t="shared" si="739"/>
        <v>0</v>
      </c>
      <c r="U17" s="19" t="e">
        <f t="shared" si="740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732"/>
        <v>0</v>
      </c>
      <c r="F18" s="13">
        <v>0</v>
      </c>
      <c r="G18" s="13">
        <v>0</v>
      </c>
      <c r="H18" s="13">
        <v>0</v>
      </c>
      <c r="I18" s="16">
        <f t="shared" si="733"/>
        <v>0</v>
      </c>
      <c r="J18" s="17">
        <f t="shared" si="734"/>
        <v>0</v>
      </c>
      <c r="K18" s="18">
        <f>+G18*D18</f>
        <v>0</v>
      </c>
      <c r="L18" s="19" t="e">
        <f t="shared" ref="L18:L19" si="741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37"/>
        <v>0</v>
      </c>
      <c r="S18" s="35">
        <f t="shared" si="738"/>
        <v>0</v>
      </c>
      <c r="T18" s="35">
        <f t="shared" si="739"/>
        <v>0</v>
      </c>
      <c r="U18" s="19" t="e">
        <f t="shared" si="740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42">SUM(E3:E18)</f>
        <v>4653284.4402583167</v>
      </c>
      <c r="F19" s="24">
        <f t="shared" si="742"/>
        <v>973831</v>
      </c>
      <c r="G19" s="24">
        <f t="shared" si="742"/>
        <v>1810202</v>
      </c>
      <c r="H19" s="24">
        <f t="shared" si="742"/>
        <v>268996</v>
      </c>
      <c r="I19" s="25">
        <f t="shared" si="742"/>
        <v>1242827</v>
      </c>
      <c r="J19" s="26">
        <f t="shared" si="742"/>
        <v>846029</v>
      </c>
      <c r="K19" s="26">
        <f t="shared" si="742"/>
        <v>3361259.4720367328</v>
      </c>
      <c r="L19" s="27">
        <f t="shared" si="741"/>
        <v>0.72234128714687817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37"/>
        <v>0</v>
      </c>
      <c r="S19" s="35">
        <f t="shared" si="738"/>
        <v>3053029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F600FB-00FA-46B0-B36B-002A00C600B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90007C-008B-455D-911A-00710090003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E4006A-00A1-4919-B499-002800F7009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E600CE-0078-4627-921D-00DF00CD00A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2600E5-0015-48F2-8547-001A00F8003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7B0093-0081-44E2-B24A-0005005600A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FC0076-00CE-405C-98FC-006300BB007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0C00A9-0002-41CD-B559-00330055009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7F0013-00E0-4CD9-9E7F-00FB00C300F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120093-0016-4099-A2D6-00820018003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0002A-001B-46C5-A171-00A400F700D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5A004A-00CD-4F60-BE15-0023005E007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Q9" activeCellId="0" sqref="Q9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63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58">C3*D3</f>
        <v>1870761.2046759115</v>
      </c>
      <c r="F3" s="13">
        <v>0</v>
      </c>
      <c r="G3" s="13">
        <v>317850</v>
      </c>
      <c r="H3" s="13">
        <v>130068</v>
      </c>
      <c r="I3" s="16">
        <f t="shared" ref="I3:I17" si="59">F3+H3</f>
        <v>130068</v>
      </c>
      <c r="J3" s="17">
        <f t="shared" ref="J3:J17" si="60">C3-G3</f>
        <v>328940</v>
      </c>
      <c r="K3" s="18">
        <f t="shared" ref="K3:K17" si="61">+G3*D3</f>
        <v>919342.3660016983</v>
      </c>
      <c r="L3" s="19">
        <f t="shared" ref="L3:L11" si="62">K3/E3</f>
        <v>0.4914268928091034</v>
      </c>
      <c r="M3" s="33">
        <v>0</v>
      </c>
      <c r="N3" s="33">
        <v>0</v>
      </c>
      <c r="O3" s="33">
        <v>0</v>
      </c>
      <c r="P3" s="33">
        <v>222000</v>
      </c>
      <c r="Q3" s="40">
        <f>7*18500</f>
        <v>129500</v>
      </c>
      <c r="R3" s="34">
        <f t="shared" ref="R3:R18" si="63">M3+N3+O3+P3+Q3</f>
        <v>351500</v>
      </c>
      <c r="S3" s="35">
        <f t="shared" ref="S3:S18" si="64">G3+I3+R3</f>
        <v>799418</v>
      </c>
      <c r="T3" s="35">
        <f t="shared" ref="T3:T17" si="65">S3-C3</f>
        <v>152628</v>
      </c>
      <c r="U3" s="19">
        <f t="shared" ref="U3:U17" si="66">S3/C3</f>
        <v>1.2359776743610755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58"/>
        <v>390880.30588673195</v>
      </c>
      <c r="F4" s="13">
        <v>142793</v>
      </c>
      <c r="G4" s="13">
        <v>299987</v>
      </c>
      <c r="H4" s="13">
        <v>0</v>
      </c>
      <c r="I4" s="16">
        <f t="shared" si="59"/>
        <v>142793</v>
      </c>
      <c r="J4" s="17">
        <f t="shared" si="60"/>
        <v>13</v>
      </c>
      <c r="K4" s="18">
        <f t="shared" si="61"/>
        <v>390863.3677401435</v>
      </c>
      <c r="L4" s="19">
        <f t="shared" si="6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63"/>
        <v>0</v>
      </c>
      <c r="S4" s="35">
        <f t="shared" si="64"/>
        <v>442780</v>
      </c>
      <c r="T4" s="35">
        <f t="shared" si="65"/>
        <v>142780</v>
      </c>
      <c r="U4" s="19">
        <f t="shared" si="6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58"/>
        <v>0</v>
      </c>
      <c r="F5" s="13">
        <v>0</v>
      </c>
      <c r="G5" s="13">
        <v>0</v>
      </c>
      <c r="H5" s="13">
        <v>0</v>
      </c>
      <c r="I5" s="16">
        <f t="shared" si="59"/>
        <v>0</v>
      </c>
      <c r="J5" s="17">
        <f t="shared" si="60"/>
        <v>0</v>
      </c>
      <c r="K5" s="18">
        <f t="shared" si="6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63"/>
        <v>0</v>
      </c>
      <c r="S5" s="35">
        <f t="shared" si="64"/>
        <v>0</v>
      </c>
      <c r="T5" s="35">
        <f t="shared" si="65"/>
        <v>0</v>
      </c>
      <c r="U5" s="19" t="e">
        <f t="shared" si="6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58"/>
        <v>644777.55587835144</v>
      </c>
      <c r="F6" s="13">
        <v>189503</v>
      </c>
      <c r="G6" s="13">
        <v>316593</v>
      </c>
      <c r="H6" s="13">
        <v>94980</v>
      </c>
      <c r="I6" s="16">
        <f t="shared" si="59"/>
        <v>284483</v>
      </c>
      <c r="J6" s="17">
        <f t="shared" si="60"/>
        <v>247503</v>
      </c>
      <c r="K6" s="18">
        <f t="shared" si="61"/>
        <v>361874.68223173876</v>
      </c>
      <c r="L6" s="19">
        <f t="shared" si="62"/>
        <v>0.56123957624234166</v>
      </c>
      <c r="M6" s="33">
        <v>0</v>
      </c>
      <c r="N6" s="33">
        <v>0</v>
      </c>
      <c r="O6" s="33">
        <v>0</v>
      </c>
      <c r="P6" s="33">
        <v>346500</v>
      </c>
      <c r="Q6" s="33">
        <v>93500</v>
      </c>
      <c r="R6" s="34">
        <f t="shared" si="63"/>
        <v>440000</v>
      </c>
      <c r="S6" s="35">
        <f t="shared" si="64"/>
        <v>1041076</v>
      </c>
      <c r="T6" s="35">
        <f t="shared" si="65"/>
        <v>476980</v>
      </c>
      <c r="U6" s="19">
        <f t="shared" si="66"/>
        <v>1.8455652938506921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58"/>
        <v>221472.43814627349</v>
      </c>
      <c r="F7" s="13">
        <v>0</v>
      </c>
      <c r="G7" s="13">
        <v>0</v>
      </c>
      <c r="H7" s="13">
        <v>0</v>
      </c>
      <c r="I7" s="16">
        <f t="shared" si="59"/>
        <v>0</v>
      </c>
      <c r="J7" s="17">
        <f t="shared" si="60"/>
        <v>349200</v>
      </c>
      <c r="K7" s="18">
        <f t="shared" si="61"/>
        <v>0</v>
      </c>
      <c r="L7" s="19">
        <f t="shared" si="62"/>
        <v>0</v>
      </c>
      <c r="M7" s="33">
        <v>0</v>
      </c>
      <c r="N7" s="33">
        <v>0</v>
      </c>
      <c r="O7" s="33">
        <v>0</v>
      </c>
      <c r="P7" s="33">
        <f>3*87000</f>
        <v>261000</v>
      </c>
      <c r="Q7" s="33">
        <v>0</v>
      </c>
      <c r="R7" s="34">
        <f t="shared" si="63"/>
        <v>261000</v>
      </c>
      <c r="S7" s="35">
        <f t="shared" si="64"/>
        <v>261000</v>
      </c>
      <c r="T7" s="35">
        <f t="shared" si="65"/>
        <v>-88200</v>
      </c>
      <c r="U7" s="19">
        <f t="shared" si="66"/>
        <v>0.74742268041237114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58"/>
        <v>585037.49652426294</v>
      </c>
      <c r="F8" s="13">
        <v>0</v>
      </c>
      <c r="G8" s="13">
        <v>481535</v>
      </c>
      <c r="H8" s="13">
        <v>0</v>
      </c>
      <c r="I8" s="16">
        <f t="shared" si="59"/>
        <v>0</v>
      </c>
      <c r="J8" s="17">
        <f t="shared" si="60"/>
        <v>173215</v>
      </c>
      <c r="K8" s="18">
        <f t="shared" si="61"/>
        <v>430265.03381261695</v>
      </c>
      <c r="L8" s="19">
        <f t="shared" si="62"/>
        <v>0.73544864452080949</v>
      </c>
      <c r="M8" s="33">
        <v>0</v>
      </c>
      <c r="N8" s="33">
        <v>0</v>
      </c>
      <c r="O8" s="33">
        <v>0</v>
      </c>
      <c r="P8" s="33">
        <v>261000</v>
      </c>
      <c r="Q8" s="33">
        <v>0</v>
      </c>
      <c r="R8" s="34">
        <f t="shared" si="63"/>
        <v>261000</v>
      </c>
      <c r="S8" s="35">
        <f t="shared" si="64"/>
        <v>742535</v>
      </c>
      <c r="T8" s="35">
        <f t="shared" si="65"/>
        <v>87785</v>
      </c>
      <c r="U8" s="19">
        <f t="shared" si="66"/>
        <v>1.134074074074074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58"/>
        <v>216656.93033237188</v>
      </c>
      <c r="F9" s="13">
        <v>0</v>
      </c>
      <c r="G9" s="13">
        <v>0</v>
      </c>
      <c r="H9" s="13">
        <v>0</v>
      </c>
      <c r="I9" s="16">
        <f t="shared" si="59"/>
        <v>0</v>
      </c>
      <c r="J9" s="17">
        <f t="shared" si="60"/>
        <v>202800</v>
      </c>
      <c r="K9" s="18">
        <f t="shared" si="61"/>
        <v>0</v>
      </c>
      <c r="L9" s="19">
        <f t="shared" si="62"/>
        <v>0</v>
      </c>
      <c r="M9" s="33">
        <v>0</v>
      </c>
      <c r="N9" s="33">
        <v>0</v>
      </c>
      <c r="O9" s="33">
        <v>0</v>
      </c>
      <c r="P9" s="33">
        <v>234000</v>
      </c>
      <c r="Q9" s="33">
        <v>0</v>
      </c>
      <c r="R9" s="34">
        <f t="shared" si="63"/>
        <v>234000</v>
      </c>
      <c r="S9" s="35">
        <f t="shared" si="64"/>
        <v>234000</v>
      </c>
      <c r="T9" s="35">
        <f t="shared" si="65"/>
        <v>31200</v>
      </c>
      <c r="U9" s="19">
        <f t="shared" si="66"/>
        <v>1.1538461538461537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58"/>
        <v>505114.07016586867</v>
      </c>
      <c r="F10" s="13">
        <v>0</v>
      </c>
      <c r="G10" s="13">
        <v>169346</v>
      </c>
      <c r="H10" s="13">
        <v>64000</v>
      </c>
      <c r="I10" s="16">
        <f t="shared" si="59"/>
        <v>64000</v>
      </c>
      <c r="J10" s="17">
        <f t="shared" si="60"/>
        <v>63460</v>
      </c>
      <c r="K10" s="18">
        <f t="shared" si="61"/>
        <v>367426.30055200122</v>
      </c>
      <c r="L10" s="19">
        <f t="shared" si="62"/>
        <v>0.72741252373220622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63"/>
        <v>6</v>
      </c>
      <c r="S10" s="35">
        <f t="shared" si="64"/>
        <v>233352</v>
      </c>
      <c r="T10" s="35">
        <f t="shared" si="65"/>
        <v>546</v>
      </c>
      <c r="U10" s="19">
        <f t="shared" si="6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58"/>
        <v>58121.655911310321</v>
      </c>
      <c r="F11" s="13">
        <v>0</v>
      </c>
      <c r="G11" s="13">
        <v>37379</v>
      </c>
      <c r="H11" s="13">
        <v>0</v>
      </c>
      <c r="I11" s="16">
        <f t="shared" si="59"/>
        <v>0</v>
      </c>
      <c r="J11" s="17">
        <f t="shared" si="60"/>
        <v>0</v>
      </c>
      <c r="K11" s="18">
        <f t="shared" si="61"/>
        <v>58121.655911310321</v>
      </c>
      <c r="L11" s="19">
        <f t="shared" si="6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63"/>
        <v>0</v>
      </c>
      <c r="S11" s="35">
        <f t="shared" si="64"/>
        <v>37379</v>
      </c>
      <c r="T11" s="35">
        <f t="shared" si="65"/>
        <v>0</v>
      </c>
      <c r="U11" s="19">
        <f t="shared" si="6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58"/>
        <v>0</v>
      </c>
      <c r="F12" s="13"/>
      <c r="G12" s="13">
        <v>0</v>
      </c>
      <c r="H12" s="13">
        <v>0</v>
      </c>
      <c r="I12" s="16">
        <f t="shared" si="59"/>
        <v>0</v>
      </c>
      <c r="J12" s="17">
        <f t="shared" si="60"/>
        <v>0</v>
      </c>
      <c r="K12" s="18">
        <f t="shared" si="6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63"/>
        <v>0</v>
      </c>
      <c r="S12" s="35">
        <f t="shared" si="64"/>
        <v>0</v>
      </c>
      <c r="T12" s="35">
        <f t="shared" si="65"/>
        <v>0</v>
      </c>
      <c r="U12" s="19" t="e">
        <f t="shared" si="6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58"/>
        <v>0</v>
      </c>
      <c r="F13" s="13"/>
      <c r="G13" s="13">
        <v>0</v>
      </c>
      <c r="H13" s="13">
        <v>0</v>
      </c>
      <c r="I13" s="16">
        <f t="shared" si="59"/>
        <v>0</v>
      </c>
      <c r="J13" s="17">
        <f t="shared" si="60"/>
        <v>0</v>
      </c>
      <c r="K13" s="18">
        <f t="shared" si="6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63"/>
        <v>0</v>
      </c>
      <c r="S13" s="35">
        <f t="shared" si="64"/>
        <v>0</v>
      </c>
      <c r="T13" s="35">
        <f t="shared" si="65"/>
        <v>0</v>
      </c>
      <c r="U13" s="19" t="e">
        <f t="shared" si="6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58"/>
        <v>0</v>
      </c>
      <c r="F14" s="13"/>
      <c r="G14" s="13">
        <v>0</v>
      </c>
      <c r="H14" s="13">
        <v>0</v>
      </c>
      <c r="I14" s="16">
        <f t="shared" si="59"/>
        <v>0</v>
      </c>
      <c r="J14" s="17">
        <f t="shared" si="60"/>
        <v>0</v>
      </c>
      <c r="K14" s="18">
        <f t="shared" si="6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63"/>
        <v>0</v>
      </c>
      <c r="S14" s="35">
        <f t="shared" si="64"/>
        <v>0</v>
      </c>
      <c r="T14" s="35">
        <f t="shared" si="65"/>
        <v>0</v>
      </c>
      <c r="U14" s="19" t="e">
        <f t="shared" si="6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58"/>
        <v>0</v>
      </c>
      <c r="F15" s="13"/>
      <c r="G15" s="13">
        <v>0</v>
      </c>
      <c r="H15" s="13">
        <v>0</v>
      </c>
      <c r="I15" s="16">
        <f t="shared" si="59"/>
        <v>0</v>
      </c>
      <c r="J15" s="17">
        <f t="shared" si="60"/>
        <v>0</v>
      </c>
      <c r="K15" s="18">
        <f t="shared" si="6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63"/>
        <v>0</v>
      </c>
      <c r="S15" s="35">
        <f t="shared" si="64"/>
        <v>0</v>
      </c>
      <c r="T15" s="35">
        <f t="shared" si="65"/>
        <v>0</v>
      </c>
      <c r="U15" s="19" t="e">
        <f t="shared" si="6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58"/>
        <v>0</v>
      </c>
      <c r="F16" s="13"/>
      <c r="G16" s="13">
        <v>0</v>
      </c>
      <c r="H16" s="13">
        <v>0</v>
      </c>
      <c r="I16" s="16">
        <f t="shared" si="59"/>
        <v>0</v>
      </c>
      <c r="J16" s="17">
        <f t="shared" si="60"/>
        <v>0</v>
      </c>
      <c r="K16" s="18">
        <f t="shared" si="6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63"/>
        <v>0</v>
      </c>
      <c r="S16" s="35">
        <f t="shared" si="64"/>
        <v>0</v>
      </c>
      <c r="T16" s="35">
        <f t="shared" si="65"/>
        <v>0</v>
      </c>
      <c r="U16" s="19" t="e">
        <f t="shared" si="6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58"/>
        <v>3629.0452579287512</v>
      </c>
      <c r="F17" s="13">
        <v>50000</v>
      </c>
      <c r="G17" s="13">
        <v>787</v>
      </c>
      <c r="H17" s="13">
        <v>0</v>
      </c>
      <c r="I17" s="16">
        <f t="shared" si="59"/>
        <v>50000</v>
      </c>
      <c r="J17" s="17">
        <f t="shared" si="60"/>
        <v>400</v>
      </c>
      <c r="K17" s="18">
        <f t="shared" si="61"/>
        <v>2406.1150951894924</v>
      </c>
      <c r="L17" s="19">
        <f t="shared" ref="L17:L18" si="6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63"/>
        <v>0</v>
      </c>
      <c r="S17" s="35">
        <f t="shared" si="64"/>
        <v>50787</v>
      </c>
      <c r="T17" s="35">
        <f t="shared" si="65"/>
        <v>49600</v>
      </c>
      <c r="U17" s="19">
        <f t="shared" si="6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1623477</v>
      </c>
      <c r="H18" s="24">
        <f>SUM(H3:H17)</f>
        <v>289048</v>
      </c>
      <c r="I18" s="25">
        <f>SUM(I3:I17)</f>
        <v>671344</v>
      </c>
      <c r="J18" s="26">
        <f>SUM(J3:J17)</f>
        <v>1365531</v>
      </c>
      <c r="K18" s="26">
        <f>SUM(K3:K17)</f>
        <v>2530299.521344698</v>
      </c>
      <c r="L18" s="27">
        <f t="shared" si="67"/>
        <v>0.56273262815510405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63"/>
        <v>0</v>
      </c>
      <c r="S18" s="35">
        <f t="shared" si="64"/>
        <v>2294821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D90088-00FB-41EA-B180-009900EB0051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00001E-007A-4591-9373-0006006D00F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280010-009A-4A85-B5FE-00D600E100E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B0002F-002D-455F-A85E-001400B900B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BA00DC-00C3-47C3-B100-003B00C8001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4500C2-0092-485D-9F48-007400E2003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E70022-00D5-4933-97BC-00C50099007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6" activeCellId="0" sqref="G6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142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743">C3*D3</f>
        <v>1301570.1264771565</v>
      </c>
      <c r="F3" s="13">
        <v>0</v>
      </c>
      <c r="G3" s="44">
        <v>449345</v>
      </c>
      <c r="H3" s="13">
        <v>75031</v>
      </c>
      <c r="I3" s="16">
        <f t="shared" ref="I3:I18" si="744">F3+H3</f>
        <v>75031</v>
      </c>
      <c r="J3" s="17">
        <f t="shared" ref="J3:J18" si="745">C3-G3</f>
        <v>655</v>
      </c>
      <c r="K3" s="18">
        <f t="shared" ref="K3:K17" si="746">+G3*D3</f>
        <v>1299675.6188486177</v>
      </c>
      <c r="L3" s="19">
        <f t="shared" ref="L3:L11" si="747">K3/E3</f>
        <v>0.99854444444444457</v>
      </c>
      <c r="M3" s="34">
        <v>0</v>
      </c>
      <c r="N3" s="58">
        <v>0</v>
      </c>
      <c r="O3" s="34">
        <v>0</v>
      </c>
      <c r="P3" s="34">
        <v>74000</v>
      </c>
      <c r="Q3" s="34">
        <v>0</v>
      </c>
      <c r="R3" s="34">
        <f t="shared" ref="R3:R19" si="748">M3+N3+O3+P3+Q3</f>
        <v>74000</v>
      </c>
      <c r="S3" s="35">
        <f t="shared" ref="S3:S19" si="749">G3+I3+R3</f>
        <v>598376</v>
      </c>
      <c r="T3" s="35">
        <f t="shared" ref="T3:T18" si="750">S3-C3</f>
        <v>148376</v>
      </c>
      <c r="U3" s="19">
        <f t="shared" ref="U3:U18" si="751">S3/C3</f>
        <v>1.3297244444444445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743"/>
        <v>913105.5150918765</v>
      </c>
      <c r="F4" s="13">
        <v>441729</v>
      </c>
      <c r="G4" s="13">
        <v>320671</v>
      </c>
      <c r="H4" s="13">
        <v>0</v>
      </c>
      <c r="I4" s="16">
        <f t="shared" si="744"/>
        <v>441729</v>
      </c>
      <c r="J4" s="17">
        <f t="shared" si="745"/>
        <v>380136</v>
      </c>
      <c r="K4" s="18">
        <f t="shared" si="746"/>
        <v>417813.26189668069</v>
      </c>
      <c r="L4" s="19">
        <f t="shared" si="747"/>
        <v>0.45757391121949403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48"/>
        <v>0</v>
      </c>
      <c r="S4" s="35">
        <f t="shared" si="749"/>
        <v>762400</v>
      </c>
      <c r="T4" s="35">
        <f t="shared" si="750"/>
        <v>61593</v>
      </c>
      <c r="U4" s="19">
        <f t="shared" si="751"/>
        <v>1.0878886769110467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43"/>
        <v>0</v>
      </c>
      <c r="F5" s="13">
        <v>0</v>
      </c>
      <c r="G5" s="13">
        <v>0</v>
      </c>
      <c r="H5" s="13">
        <v>0</v>
      </c>
      <c r="I5" s="16">
        <f t="shared" si="744"/>
        <v>0</v>
      </c>
      <c r="J5" s="17">
        <f t="shared" si="745"/>
        <v>0</v>
      </c>
      <c r="K5" s="18">
        <f t="shared" si="74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48"/>
        <v>0</v>
      </c>
      <c r="S5" s="35">
        <f t="shared" si="749"/>
        <v>0</v>
      </c>
      <c r="T5" s="35">
        <f t="shared" si="750"/>
        <v>0</v>
      </c>
      <c r="U5" s="19" t="e">
        <f t="shared" si="751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43"/>
        <v>396259.25229770731</v>
      </c>
      <c r="F6" s="13">
        <v>101329</v>
      </c>
      <c r="G6" s="44">
        <v>284089</v>
      </c>
      <c r="H6" s="44">
        <v>115911</v>
      </c>
      <c r="I6" s="16">
        <f t="shared" si="744"/>
        <v>217240</v>
      </c>
      <c r="J6" s="17">
        <f t="shared" si="745"/>
        <v>62586</v>
      </c>
      <c r="K6" s="18">
        <f t="shared" si="746"/>
        <v>324721.69820726436</v>
      </c>
      <c r="L6" s="19">
        <f t="shared" si="747"/>
        <v>0.81946780125477747</v>
      </c>
      <c r="M6" s="34">
        <v>0</v>
      </c>
      <c r="N6" s="58">
        <v>0</v>
      </c>
      <c r="O6" s="34">
        <v>0</v>
      </c>
      <c r="P6" s="34">
        <v>63000</v>
      </c>
      <c r="Q6" s="34">
        <v>0</v>
      </c>
      <c r="R6" s="34">
        <f t="shared" si="748"/>
        <v>63000</v>
      </c>
      <c r="S6" s="35">
        <f t="shared" si="749"/>
        <v>564329</v>
      </c>
      <c r="T6" s="35">
        <f t="shared" si="750"/>
        <v>217654</v>
      </c>
      <c r="U6" s="19">
        <f t="shared" si="751"/>
        <v>1.6278329847840196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43"/>
        <v>127089.15534221899</v>
      </c>
      <c r="F7" s="13">
        <v>0</v>
      </c>
      <c r="G7" s="44">
        <v>89023</v>
      </c>
      <c r="H7" s="13">
        <v>0</v>
      </c>
      <c r="I7" s="16">
        <f t="shared" si="744"/>
        <v>0</v>
      </c>
      <c r="J7" s="17">
        <f t="shared" si="745"/>
        <v>111361</v>
      </c>
      <c r="K7" s="18">
        <f t="shared" si="746"/>
        <v>56460.884481946465</v>
      </c>
      <c r="L7" s="19">
        <f t="shared" si="747"/>
        <v>0.44426201692749917</v>
      </c>
      <c r="M7" s="34">
        <v>0</v>
      </c>
      <c r="N7" s="58">
        <v>0</v>
      </c>
      <c r="O7" s="34">
        <v>0</v>
      </c>
      <c r="P7" s="34">
        <v>528000</v>
      </c>
      <c r="Q7" s="34">
        <v>0</v>
      </c>
      <c r="R7" s="34">
        <f t="shared" si="748"/>
        <v>528000</v>
      </c>
      <c r="S7" s="35">
        <f t="shared" si="749"/>
        <v>617023</v>
      </c>
      <c r="T7" s="35">
        <f t="shared" si="750"/>
        <v>416639</v>
      </c>
      <c r="U7" s="19">
        <f t="shared" si="751"/>
        <v>3.0792029303736825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43"/>
        <v>325168.26353207661</v>
      </c>
      <c r="F8" s="44">
        <v>125120</v>
      </c>
      <c r="G8" s="13">
        <v>363915</v>
      </c>
      <c r="H8" s="44">
        <v>36085</v>
      </c>
      <c r="I8" s="16">
        <f t="shared" si="744"/>
        <v>161205</v>
      </c>
      <c r="J8" s="17">
        <f t="shared" si="745"/>
        <v>0</v>
      </c>
      <c r="K8" s="18">
        <f t="shared" si="746"/>
        <v>325168.26353207661</v>
      </c>
      <c r="L8" s="19">
        <f t="shared" si="747"/>
        <v>1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748"/>
        <v>130000</v>
      </c>
      <c r="S8" s="35">
        <f t="shared" si="749"/>
        <v>655120</v>
      </c>
      <c r="T8" s="35">
        <f t="shared" si="750"/>
        <v>291205</v>
      </c>
      <c r="U8" s="19">
        <f t="shared" si="751"/>
        <v>1.8002005962930905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43"/>
        <v>87015.320392365335</v>
      </c>
      <c r="F9" s="13">
        <v>133075</v>
      </c>
      <c r="G9" s="13">
        <v>100000</v>
      </c>
      <c r="H9" s="13">
        <v>0</v>
      </c>
      <c r="I9" s="16">
        <f t="shared" si="744"/>
        <v>133075</v>
      </c>
      <c r="J9" s="17">
        <f t="shared" si="745"/>
        <v>-18550</v>
      </c>
      <c r="K9" s="18">
        <f t="shared" si="746"/>
        <v>106832.80588381256</v>
      </c>
      <c r="L9" s="19">
        <f t="shared" si="747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48"/>
        <v>0</v>
      </c>
      <c r="S9" s="35">
        <f t="shared" si="749"/>
        <v>233075</v>
      </c>
      <c r="T9" s="35">
        <f t="shared" si="750"/>
        <v>151625</v>
      </c>
      <c r="U9" s="19">
        <f t="shared" si="751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43"/>
        <v>841835.08682919282</v>
      </c>
      <c r="F10" s="13">
        <v>0</v>
      </c>
      <c r="G10" s="13">
        <v>78193</v>
      </c>
      <c r="H10" s="13">
        <v>39121</v>
      </c>
      <c r="I10" s="16">
        <f t="shared" si="744"/>
        <v>39121</v>
      </c>
      <c r="J10" s="17">
        <f t="shared" si="745"/>
        <v>309807</v>
      </c>
      <c r="K10" s="18">
        <f t="shared" si="746"/>
        <v>169653.63645472957</v>
      </c>
      <c r="L10" s="19">
        <f t="shared" si="747"/>
        <v>0.20152835051546392</v>
      </c>
      <c r="M10" s="34">
        <v>0</v>
      </c>
      <c r="N10" s="58">
        <v>0</v>
      </c>
      <c r="O10" s="34">
        <v>0</v>
      </c>
      <c r="P10" s="34">
        <v>234000</v>
      </c>
      <c r="Q10" s="34">
        <v>0</v>
      </c>
      <c r="R10" s="34">
        <f t="shared" si="748"/>
        <v>234000</v>
      </c>
      <c r="S10" s="35">
        <f t="shared" si="749"/>
        <v>351314</v>
      </c>
      <c r="T10" s="35">
        <f t="shared" si="750"/>
        <v>-36686</v>
      </c>
      <c r="U10" s="19">
        <f t="shared" si="751"/>
        <v>0.90544845360824744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43"/>
        <v>0</v>
      </c>
      <c r="F11" s="13">
        <v>0</v>
      </c>
      <c r="G11" s="13">
        <v>0</v>
      </c>
      <c r="H11" s="13">
        <v>0</v>
      </c>
      <c r="I11" s="16">
        <f t="shared" si="744"/>
        <v>0</v>
      </c>
      <c r="J11" s="17">
        <f t="shared" si="745"/>
        <v>0</v>
      </c>
      <c r="K11" s="18">
        <f t="shared" si="746"/>
        <v>0</v>
      </c>
      <c r="L11" s="19" t="e">
        <f t="shared" si="747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48"/>
        <v>0</v>
      </c>
      <c r="S11" s="35">
        <f t="shared" si="749"/>
        <v>0</v>
      </c>
      <c r="T11" s="35">
        <f t="shared" si="750"/>
        <v>0</v>
      </c>
      <c r="U11" s="19" t="e">
        <f t="shared" si="75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43"/>
        <v>0</v>
      </c>
      <c r="F12" s="13">
        <v>0</v>
      </c>
      <c r="G12" s="13">
        <v>0</v>
      </c>
      <c r="H12" s="13">
        <v>0</v>
      </c>
      <c r="I12" s="16">
        <f t="shared" si="744"/>
        <v>0</v>
      </c>
      <c r="J12" s="17">
        <f t="shared" si="74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48"/>
        <v>0</v>
      </c>
      <c r="S12" s="35">
        <f t="shared" si="749"/>
        <v>0</v>
      </c>
      <c r="T12" s="35">
        <f t="shared" si="750"/>
        <v>0</v>
      </c>
      <c r="U12" s="19" t="e">
        <f t="shared" si="751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43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45"/>
        <v>0</v>
      </c>
      <c r="K13" s="18">
        <f t="shared" si="746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48"/>
        <v>0</v>
      </c>
      <c r="S13" s="35">
        <f t="shared" si="749"/>
        <v>133460</v>
      </c>
      <c r="T13" s="35">
        <f t="shared" si="750"/>
        <v>33460</v>
      </c>
      <c r="U13" s="19">
        <f t="shared" si="751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43"/>
        <v>138900</v>
      </c>
      <c r="F14" s="13">
        <v>14986</v>
      </c>
      <c r="G14" s="13">
        <v>14986</v>
      </c>
      <c r="H14" s="13">
        <v>0</v>
      </c>
      <c r="I14" s="16">
        <f t="shared" si="744"/>
        <v>14986</v>
      </c>
      <c r="J14" s="17">
        <f t="shared" si="745"/>
        <v>14</v>
      </c>
      <c r="K14" s="18">
        <f t="shared" si="746"/>
        <v>138770.35999999999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48"/>
        <v>0</v>
      </c>
      <c r="S14" s="35">
        <f t="shared" si="749"/>
        <v>29972</v>
      </c>
      <c r="T14" s="35">
        <f t="shared" si="750"/>
        <v>14972</v>
      </c>
      <c r="U14" s="19">
        <f t="shared" si="751"/>
        <v>1.9981333333333333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43"/>
        <v>89388.782058969489</v>
      </c>
      <c r="F15" s="13">
        <v>9980</v>
      </c>
      <c r="G15" s="13">
        <v>9980</v>
      </c>
      <c r="H15" s="13">
        <v>0</v>
      </c>
      <c r="I15" s="16">
        <f>F15+H15</f>
        <v>9980</v>
      </c>
      <c r="J15" s="17">
        <f t="shared" si="745"/>
        <v>20</v>
      </c>
      <c r="K15" s="18">
        <f t="shared" si="746"/>
        <v>89210.004494851542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48"/>
        <v>0</v>
      </c>
      <c r="S15" s="35">
        <f t="shared" si="749"/>
        <v>19960</v>
      </c>
      <c r="T15" s="35">
        <f t="shared" si="750"/>
        <v>9960</v>
      </c>
      <c r="U15" s="19">
        <f t="shared" si="751"/>
        <v>1.996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43"/>
        <v>0</v>
      </c>
      <c r="F16" s="13">
        <v>0</v>
      </c>
      <c r="G16" s="13">
        <v>0</v>
      </c>
      <c r="H16" s="13">
        <v>0</v>
      </c>
      <c r="I16" s="16">
        <f t="shared" si="744"/>
        <v>0</v>
      </c>
      <c r="J16" s="17">
        <f t="shared" si="745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48"/>
        <v>0</v>
      </c>
      <c r="S16" s="35">
        <f t="shared" si="749"/>
        <v>0</v>
      </c>
      <c r="T16" s="35">
        <f t="shared" si="750"/>
        <v>0</v>
      </c>
      <c r="U16" s="19" t="e">
        <f t="shared" si="751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743"/>
        <v>0</v>
      </c>
      <c r="F17" s="13">
        <v>0</v>
      </c>
      <c r="G17" s="13">
        <v>0</v>
      </c>
      <c r="H17" s="13">
        <v>0</v>
      </c>
      <c r="I17" s="16">
        <f t="shared" si="744"/>
        <v>0</v>
      </c>
      <c r="J17" s="17">
        <f t="shared" si="745"/>
        <v>0</v>
      </c>
      <c r="K17" s="18">
        <f t="shared" si="746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48"/>
        <v>0</v>
      </c>
      <c r="S17" s="35">
        <f t="shared" si="749"/>
        <v>0</v>
      </c>
      <c r="T17" s="35">
        <f t="shared" si="750"/>
        <v>0</v>
      </c>
      <c r="U17" s="19" t="e">
        <f t="shared" si="751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743"/>
        <v>0</v>
      </c>
      <c r="F18" s="13">
        <v>0</v>
      </c>
      <c r="G18" s="13">
        <v>0</v>
      </c>
      <c r="H18" s="13">
        <v>0</v>
      </c>
      <c r="I18" s="16">
        <f t="shared" si="744"/>
        <v>0</v>
      </c>
      <c r="J18" s="17">
        <f t="shared" si="745"/>
        <v>0</v>
      </c>
      <c r="K18" s="18">
        <f>+G18*D18</f>
        <v>0</v>
      </c>
      <c r="L18" s="19" t="e">
        <f t="shared" ref="L18:L19" si="752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48"/>
        <v>0</v>
      </c>
      <c r="S18" s="35">
        <f t="shared" si="749"/>
        <v>0</v>
      </c>
      <c r="T18" s="35">
        <f t="shared" si="750"/>
        <v>0</v>
      </c>
      <c r="U18" s="19" t="e">
        <f t="shared" si="751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53">SUM(E3:E18)</f>
        <v>4653284.4402583167</v>
      </c>
      <c r="F19" s="24">
        <f t="shared" si="753"/>
        <v>859679</v>
      </c>
      <c r="G19" s="24">
        <f t="shared" si="753"/>
        <v>1810202</v>
      </c>
      <c r="H19" s="24">
        <f t="shared" si="753"/>
        <v>266148</v>
      </c>
      <c r="I19" s="25">
        <f t="shared" si="753"/>
        <v>1125827</v>
      </c>
      <c r="J19" s="26">
        <f t="shared" si="753"/>
        <v>846029</v>
      </c>
      <c r="K19" s="26">
        <f t="shared" si="753"/>
        <v>3361259.4720367328</v>
      </c>
      <c r="L19" s="27">
        <f t="shared" si="752"/>
        <v>0.72234128714687817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48"/>
        <v>0</v>
      </c>
      <c r="S19" s="35">
        <f t="shared" si="749"/>
        <v>2936029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5B00E8-005A-4E25-93D3-00470045009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52001E-0007-4F81-8BA1-0074006B007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4E0024-00AB-4FDE-980E-008000C300F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A500C3-00D6-4214-9A5F-008C0047000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D8009C-00F7-4365-81A4-000E000B001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160035-0002-4417-9772-00E40010006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6A00F2-00FD-4161-8DBC-00D900B600C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7000FE-0096-4A55-895D-00D3007E004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6600DF-004D-4204-80FC-00B1000D00A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B008A-007E-45C5-B663-004900C3005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A600FF-0020-4C61-BB46-002E0064003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0A0064-00FE-4869-B716-000000D2009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10" activeCellId="0" sqref="F10:H10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143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754">C3*D3</f>
        <v>1301570.1264771565</v>
      </c>
      <c r="F3" s="13">
        <v>0</v>
      </c>
      <c r="G3" s="60">
        <v>500000</v>
      </c>
      <c r="H3" s="13">
        <v>24376</v>
      </c>
      <c r="I3" s="16">
        <f t="shared" ref="I3:I18" si="755">F3+H3</f>
        <v>24376</v>
      </c>
      <c r="J3" s="17">
        <f t="shared" ref="J3:J18" si="756">C3-G3</f>
        <v>-50000</v>
      </c>
      <c r="K3" s="18">
        <f t="shared" ref="K3:K17" si="757">+G3*D3</f>
        <v>1446189.0294190629</v>
      </c>
      <c r="L3" s="19">
        <f t="shared" ref="L3:L11" si="758">K3/E3</f>
        <v>1.1111111111111112</v>
      </c>
      <c r="M3" s="34">
        <v>0</v>
      </c>
      <c r="N3" s="58">
        <v>0</v>
      </c>
      <c r="O3" s="34">
        <v>0</v>
      </c>
      <c r="P3" s="34">
        <v>74000</v>
      </c>
      <c r="Q3" s="34">
        <v>0</v>
      </c>
      <c r="R3" s="34">
        <f t="shared" ref="R3:R19" si="759">M3+N3+O3+P3+Q3</f>
        <v>74000</v>
      </c>
      <c r="S3" s="35">
        <f t="shared" ref="S3:S19" si="760">G3+I3+R3</f>
        <v>598376</v>
      </c>
      <c r="T3" s="35">
        <f t="shared" ref="T3:T18" si="761">S3-C3</f>
        <v>148376</v>
      </c>
      <c r="U3" s="19">
        <f t="shared" ref="U3:U18" si="762">S3/C3</f>
        <v>1.3297244444444445</v>
      </c>
    </row>
    <row r="4">
      <c r="A4" s="9" t="s">
        <v>22</v>
      </c>
      <c r="B4" s="9" t="s">
        <v>23</v>
      </c>
      <c r="C4" s="14">
        <v>700807</v>
      </c>
      <c r="D4" s="11">
        <v>1.3029343529557731</v>
      </c>
      <c r="E4" s="12">
        <f t="shared" si="754"/>
        <v>913105.5150918765</v>
      </c>
      <c r="F4" s="13">
        <v>441729</v>
      </c>
      <c r="G4" s="13">
        <v>320671</v>
      </c>
      <c r="H4" s="13">
        <v>0</v>
      </c>
      <c r="I4" s="16">
        <f t="shared" si="755"/>
        <v>441729</v>
      </c>
      <c r="J4" s="17">
        <f t="shared" si="756"/>
        <v>380136</v>
      </c>
      <c r="K4" s="18">
        <f t="shared" si="757"/>
        <v>417813.26189668069</v>
      </c>
      <c r="L4" s="19">
        <f t="shared" si="758"/>
        <v>0.45757391121949403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59"/>
        <v>0</v>
      </c>
      <c r="S4" s="35">
        <f t="shared" si="760"/>
        <v>762400</v>
      </c>
      <c r="T4" s="35">
        <f t="shared" si="761"/>
        <v>61593</v>
      </c>
      <c r="U4" s="19">
        <f t="shared" si="762"/>
        <v>1.0878886769110467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54"/>
        <v>0</v>
      </c>
      <c r="F5" s="13">
        <v>0</v>
      </c>
      <c r="G5" s="13">
        <v>0</v>
      </c>
      <c r="H5" s="13">
        <v>0</v>
      </c>
      <c r="I5" s="16">
        <f t="shared" si="755"/>
        <v>0</v>
      </c>
      <c r="J5" s="17">
        <f t="shared" si="756"/>
        <v>0</v>
      </c>
      <c r="K5" s="18">
        <f t="shared" si="757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59"/>
        <v>0</v>
      </c>
      <c r="S5" s="35">
        <f t="shared" si="760"/>
        <v>0</v>
      </c>
      <c r="T5" s="35">
        <f t="shared" si="761"/>
        <v>0</v>
      </c>
      <c r="U5" s="19" t="e">
        <f t="shared" si="762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54"/>
        <v>396259.25229770731</v>
      </c>
      <c r="F6" s="13">
        <v>133059</v>
      </c>
      <c r="G6" s="60">
        <v>400000</v>
      </c>
      <c r="H6" s="44">
        <v>0</v>
      </c>
      <c r="I6" s="16">
        <f t="shared" si="755"/>
        <v>133059</v>
      </c>
      <c r="J6" s="17">
        <f t="shared" si="756"/>
        <v>-53325</v>
      </c>
      <c r="K6" s="18">
        <f t="shared" si="757"/>
        <v>457211.22353525035</v>
      </c>
      <c r="L6" s="19">
        <f t="shared" si="758"/>
        <v>1.1538184178264945</v>
      </c>
      <c r="M6" s="34">
        <v>0</v>
      </c>
      <c r="N6" s="58">
        <v>0</v>
      </c>
      <c r="O6" s="34">
        <v>0</v>
      </c>
      <c r="P6" s="34">
        <v>63000</v>
      </c>
      <c r="Q6" s="34">
        <v>0</v>
      </c>
      <c r="R6" s="34">
        <f t="shared" si="759"/>
        <v>63000</v>
      </c>
      <c r="S6" s="35">
        <f t="shared" si="760"/>
        <v>596059</v>
      </c>
      <c r="T6" s="35">
        <f t="shared" si="761"/>
        <v>249384</v>
      </c>
      <c r="U6" s="19">
        <f t="shared" si="762"/>
        <v>1.7193596307781063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54"/>
        <v>127089.15534221899</v>
      </c>
      <c r="F7" s="13">
        <v>528975</v>
      </c>
      <c r="G7" s="44">
        <v>89023</v>
      </c>
      <c r="H7" s="13">
        <v>0</v>
      </c>
      <c r="I7" s="16">
        <f t="shared" si="755"/>
        <v>528975</v>
      </c>
      <c r="J7" s="17">
        <f t="shared" si="756"/>
        <v>111361</v>
      </c>
      <c r="K7" s="18">
        <f t="shared" si="757"/>
        <v>56460.884481946465</v>
      </c>
      <c r="L7" s="19">
        <f t="shared" si="758"/>
        <v>0.44426201692749917</v>
      </c>
      <c r="M7" s="34">
        <v>0</v>
      </c>
      <c r="N7" s="58">
        <v>0</v>
      </c>
      <c r="O7" s="34">
        <v>0</v>
      </c>
      <c r="P7" s="34">
        <v>528000</v>
      </c>
      <c r="Q7" s="34">
        <v>0</v>
      </c>
      <c r="R7" s="34">
        <f t="shared" si="759"/>
        <v>528000</v>
      </c>
      <c r="S7" s="35">
        <f t="shared" si="760"/>
        <v>1145998</v>
      </c>
      <c r="T7" s="35">
        <f t="shared" si="761"/>
        <v>945614</v>
      </c>
      <c r="U7" s="19">
        <f t="shared" si="762"/>
        <v>5.7190095017566271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54"/>
        <v>325168.26353207661</v>
      </c>
      <c r="F8" s="44">
        <v>125120</v>
      </c>
      <c r="G8" s="61">
        <v>400000</v>
      </c>
      <c r="H8" s="44">
        <v>0</v>
      </c>
      <c r="I8" s="16">
        <f t="shared" si="755"/>
        <v>125120</v>
      </c>
      <c r="J8" s="17">
        <f t="shared" si="756"/>
        <v>-36085</v>
      </c>
      <c r="K8" s="18">
        <f t="shared" si="757"/>
        <v>357411.22353525035</v>
      </c>
      <c r="L8" s="19">
        <f t="shared" si="758"/>
        <v>1.0991577703584627</v>
      </c>
      <c r="M8" s="34">
        <v>0</v>
      </c>
      <c r="N8" s="58">
        <v>0</v>
      </c>
      <c r="O8" s="34">
        <v>0</v>
      </c>
      <c r="P8" s="34">
        <v>130000</v>
      </c>
      <c r="Q8" s="34">
        <v>0</v>
      </c>
      <c r="R8" s="34">
        <f t="shared" si="759"/>
        <v>130000</v>
      </c>
      <c r="S8" s="35">
        <f t="shared" si="760"/>
        <v>655120</v>
      </c>
      <c r="T8" s="35">
        <f t="shared" si="761"/>
        <v>291205</v>
      </c>
      <c r="U8" s="19">
        <f t="shared" si="762"/>
        <v>1.8002005962930905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54"/>
        <v>87015.320392365335</v>
      </c>
      <c r="F9" s="13">
        <v>133075</v>
      </c>
      <c r="G9" s="61">
        <v>100000</v>
      </c>
      <c r="H9" s="13">
        <v>0</v>
      </c>
      <c r="I9" s="16">
        <f t="shared" si="755"/>
        <v>133075</v>
      </c>
      <c r="J9" s="17">
        <f t="shared" si="756"/>
        <v>-18550</v>
      </c>
      <c r="K9" s="18">
        <f t="shared" si="757"/>
        <v>106832.80588381256</v>
      </c>
      <c r="L9" s="19">
        <f t="shared" si="758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59"/>
        <v>0</v>
      </c>
      <c r="S9" s="35">
        <f t="shared" si="760"/>
        <v>233075</v>
      </c>
      <c r="T9" s="35">
        <f t="shared" si="761"/>
        <v>151625</v>
      </c>
      <c r="U9" s="19">
        <f t="shared" si="762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54"/>
        <v>841835.08682919282</v>
      </c>
      <c r="F10" s="13">
        <v>37484</v>
      </c>
      <c r="G10" s="13">
        <v>117314</v>
      </c>
      <c r="H10" s="13">
        <v>115258</v>
      </c>
      <c r="I10" s="16">
        <f t="shared" si="755"/>
        <v>152742</v>
      </c>
      <c r="J10" s="17">
        <f t="shared" si="756"/>
        <v>270686</v>
      </c>
      <c r="K10" s="18">
        <f t="shared" si="757"/>
        <v>254533.61179453589</v>
      </c>
      <c r="L10" s="19">
        <f t="shared" si="758"/>
        <v>0.30235567010309278</v>
      </c>
      <c r="M10" s="34">
        <v>0</v>
      </c>
      <c r="N10" s="58">
        <v>0</v>
      </c>
      <c r="O10" s="34">
        <v>0</v>
      </c>
      <c r="P10" s="34">
        <v>234000</v>
      </c>
      <c r="Q10" s="34">
        <v>0</v>
      </c>
      <c r="R10" s="34">
        <f t="shared" si="759"/>
        <v>234000</v>
      </c>
      <c r="S10" s="35">
        <f t="shared" si="760"/>
        <v>504056</v>
      </c>
      <c r="T10" s="35">
        <f t="shared" si="761"/>
        <v>116056</v>
      </c>
      <c r="U10" s="19">
        <f t="shared" si="762"/>
        <v>1.2991134020618558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54"/>
        <v>0</v>
      </c>
      <c r="F11" s="13">
        <v>0</v>
      </c>
      <c r="G11" s="13">
        <v>0</v>
      </c>
      <c r="H11" s="13">
        <v>0</v>
      </c>
      <c r="I11" s="16">
        <f t="shared" si="755"/>
        <v>0</v>
      </c>
      <c r="J11" s="17">
        <f t="shared" si="756"/>
        <v>0</v>
      </c>
      <c r="K11" s="18">
        <f t="shared" si="757"/>
        <v>0</v>
      </c>
      <c r="L11" s="19" t="e">
        <f t="shared" si="758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59"/>
        <v>0</v>
      </c>
      <c r="S11" s="35">
        <f t="shared" si="760"/>
        <v>0</v>
      </c>
      <c r="T11" s="35">
        <f t="shared" si="761"/>
        <v>0</v>
      </c>
      <c r="U11" s="19" t="e">
        <f t="shared" si="762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54"/>
        <v>0</v>
      </c>
      <c r="F12" s="13">
        <v>0</v>
      </c>
      <c r="G12" s="13">
        <v>0</v>
      </c>
      <c r="H12" s="13">
        <v>0</v>
      </c>
      <c r="I12" s="16">
        <f t="shared" si="755"/>
        <v>0</v>
      </c>
      <c r="J12" s="17">
        <f t="shared" si="756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59"/>
        <v>0</v>
      </c>
      <c r="S12" s="35">
        <f t="shared" si="760"/>
        <v>0</v>
      </c>
      <c r="T12" s="35">
        <f t="shared" si="761"/>
        <v>0</v>
      </c>
      <c r="U12" s="19" t="e">
        <f t="shared" si="762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54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56"/>
        <v>0</v>
      </c>
      <c r="K13" s="18">
        <f t="shared" si="757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59"/>
        <v>0</v>
      </c>
      <c r="S13" s="35">
        <f t="shared" si="760"/>
        <v>133460</v>
      </c>
      <c r="T13" s="35">
        <f t="shared" si="761"/>
        <v>33460</v>
      </c>
      <c r="U13" s="19">
        <f t="shared" si="762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54"/>
        <v>138900</v>
      </c>
      <c r="F14" s="13">
        <v>14986</v>
      </c>
      <c r="G14" s="13">
        <v>14986</v>
      </c>
      <c r="H14" s="13">
        <v>0</v>
      </c>
      <c r="I14" s="16">
        <f t="shared" si="755"/>
        <v>14986</v>
      </c>
      <c r="J14" s="17">
        <f t="shared" si="756"/>
        <v>14</v>
      </c>
      <c r="K14" s="18">
        <f t="shared" si="757"/>
        <v>138770.35999999999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59"/>
        <v>0</v>
      </c>
      <c r="S14" s="35">
        <f t="shared" si="760"/>
        <v>29972</v>
      </c>
      <c r="T14" s="35">
        <f t="shared" si="761"/>
        <v>14972</v>
      </c>
      <c r="U14" s="19">
        <f t="shared" si="762"/>
        <v>1.9981333333333333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54"/>
        <v>89388.782058969489</v>
      </c>
      <c r="F15" s="13">
        <v>9980</v>
      </c>
      <c r="G15" s="13">
        <v>9980</v>
      </c>
      <c r="H15" s="13">
        <v>0</v>
      </c>
      <c r="I15" s="16">
        <f>F15+H15</f>
        <v>9980</v>
      </c>
      <c r="J15" s="17">
        <f t="shared" si="756"/>
        <v>20</v>
      </c>
      <c r="K15" s="18">
        <f t="shared" si="757"/>
        <v>89210.004494851542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59"/>
        <v>0</v>
      </c>
      <c r="S15" s="35">
        <f t="shared" si="760"/>
        <v>19960</v>
      </c>
      <c r="T15" s="35">
        <f t="shared" si="761"/>
        <v>9960</v>
      </c>
      <c r="U15" s="19">
        <f t="shared" si="762"/>
        <v>1.996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54"/>
        <v>0</v>
      </c>
      <c r="F16" s="13">
        <v>0</v>
      </c>
      <c r="G16" s="13">
        <v>0</v>
      </c>
      <c r="H16" s="13">
        <v>0</v>
      </c>
      <c r="I16" s="16">
        <f t="shared" si="755"/>
        <v>0</v>
      </c>
      <c r="J16" s="17">
        <f t="shared" si="756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59"/>
        <v>0</v>
      </c>
      <c r="S16" s="35">
        <f t="shared" si="760"/>
        <v>0</v>
      </c>
      <c r="T16" s="35">
        <f t="shared" si="761"/>
        <v>0</v>
      </c>
      <c r="U16" s="19" t="e">
        <f t="shared" si="762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754"/>
        <v>0</v>
      </c>
      <c r="F17" s="13">
        <v>0</v>
      </c>
      <c r="G17" s="13">
        <v>0</v>
      </c>
      <c r="H17" s="13">
        <v>0</v>
      </c>
      <c r="I17" s="16">
        <f t="shared" si="755"/>
        <v>0</v>
      </c>
      <c r="J17" s="17">
        <f t="shared" si="756"/>
        <v>0</v>
      </c>
      <c r="K17" s="18">
        <f t="shared" si="757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59"/>
        <v>0</v>
      </c>
      <c r="S17" s="35">
        <f t="shared" si="760"/>
        <v>0</v>
      </c>
      <c r="T17" s="35">
        <f t="shared" si="761"/>
        <v>0</v>
      </c>
      <c r="U17" s="19" t="e">
        <f t="shared" si="762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754"/>
        <v>0</v>
      </c>
      <c r="F18" s="13">
        <v>0</v>
      </c>
      <c r="G18" s="13">
        <v>0</v>
      </c>
      <c r="H18" s="13">
        <v>0</v>
      </c>
      <c r="I18" s="16">
        <f t="shared" si="755"/>
        <v>0</v>
      </c>
      <c r="J18" s="17">
        <f t="shared" si="756"/>
        <v>0</v>
      </c>
      <c r="K18" s="18">
        <f>+G18*D18</f>
        <v>0</v>
      </c>
      <c r="L18" s="19" t="e">
        <f t="shared" ref="L18:L19" si="763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59"/>
        <v>0</v>
      </c>
      <c r="S18" s="35">
        <f t="shared" si="760"/>
        <v>0</v>
      </c>
      <c r="T18" s="35">
        <f t="shared" si="761"/>
        <v>0</v>
      </c>
      <c r="U18" s="19" t="e">
        <f t="shared" si="762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64">SUM(E3:E18)</f>
        <v>4653284.4402583167</v>
      </c>
      <c r="F19" s="24">
        <f t="shared" si="764"/>
        <v>1457868</v>
      </c>
      <c r="G19" s="24">
        <f t="shared" si="764"/>
        <v>2051974</v>
      </c>
      <c r="H19" s="24">
        <f t="shared" si="764"/>
        <v>139634</v>
      </c>
      <c r="I19" s="25">
        <f t="shared" si="764"/>
        <v>1597502</v>
      </c>
      <c r="J19" s="26">
        <f t="shared" si="764"/>
        <v>604257</v>
      </c>
      <c r="K19" s="26">
        <f t="shared" si="764"/>
        <v>3757385.343278145</v>
      </c>
      <c r="L19" s="27">
        <f t="shared" si="763"/>
        <v>0.80746951782504017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59"/>
        <v>0</v>
      </c>
      <c r="S19" s="35">
        <f t="shared" si="760"/>
        <v>3649476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2">
      <c r="F22" t="s">
        <v>64</v>
      </c>
    </row>
    <row r="23">
      <c r="E23" t="s">
        <v>64</v>
      </c>
      <c r="F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BF0075-00F0-4662-B69E-00110015000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710004-00BE-4B3D-BAB5-003400BE00B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F2002A-0006-4853-8F6A-00070032002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34004C-004A-4F29-96EA-00E6002A00D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020082-00B9-4E4E-BB9B-0044005E006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970026-007F-4374-B897-007B00B6007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0D00F6-0045-4334-9D36-001B002D00B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8700CD-009B-4B27-9690-004F00DC007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3004A-00CB-49CB-BFAD-0049001100F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F5008D-001E-4D44-83D3-00F800C5008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5D008D-00F0-43ED-B3CA-00FA00A8004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71007B-00C4-4D77-9648-00F600DC00C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A10" activeCellId="0" sqref="A10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144</v>
      </c>
      <c r="J2" s="7" t="s">
        <v>17</v>
      </c>
      <c r="K2" s="7" t="s">
        <v>18</v>
      </c>
      <c r="L2" s="7" t="s">
        <v>19</v>
      </c>
      <c r="M2" s="53" t="s">
        <v>128</v>
      </c>
      <c r="N2" s="53" t="s">
        <v>129</v>
      </c>
      <c r="O2" s="53" t="s">
        <v>130</v>
      </c>
      <c r="P2" s="53" t="s">
        <v>131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18" si="765">C3*D3</f>
        <v>1301570.1264771565</v>
      </c>
      <c r="F3" s="13">
        <v>56739</v>
      </c>
      <c r="G3" s="44">
        <v>500000</v>
      </c>
      <c r="H3" s="13">
        <v>24376</v>
      </c>
      <c r="I3" s="16">
        <f t="shared" ref="I3:I18" si="766">F3+H3</f>
        <v>81115</v>
      </c>
      <c r="J3" s="17">
        <f t="shared" ref="J3:J18" si="767">C3-G3</f>
        <v>-50000</v>
      </c>
      <c r="K3" s="18">
        <f t="shared" ref="K3:K17" si="768">+G3*D3</f>
        <v>1446189.0294190629</v>
      </c>
      <c r="L3" s="19">
        <f t="shared" ref="L3:L11" si="769">K3/E3</f>
        <v>1.1111111111111112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19" si="770">M3+N3+O3+P3+Q3</f>
        <v>410559</v>
      </c>
      <c r="S3" s="35">
        <f t="shared" ref="S3:S19" si="771">G3+I3+R3</f>
        <v>991674</v>
      </c>
      <c r="T3" s="35">
        <f t="shared" ref="T3:T18" si="772">S3-C3</f>
        <v>541674</v>
      </c>
      <c r="U3" s="19">
        <f t="shared" ref="U3:U18" si="773">S3/C3</f>
        <v>2.2037200000000001</v>
      </c>
    </row>
    <row r="4">
      <c r="A4" s="9" t="s">
        <v>22</v>
      </c>
      <c r="B4" s="9" t="s">
        <v>23</v>
      </c>
      <c r="C4" s="14">
        <v>700807</v>
      </c>
      <c r="D4" s="50">
        <v>1.3029343529557731</v>
      </c>
      <c r="E4" s="14">
        <f t="shared" si="765"/>
        <v>913105.5150918765</v>
      </c>
      <c r="F4" s="13">
        <v>147568</v>
      </c>
      <c r="G4" s="13">
        <v>614763</v>
      </c>
      <c r="H4" s="13">
        <v>0</v>
      </c>
      <c r="I4" s="16">
        <f t="shared" si="766"/>
        <v>147568</v>
      </c>
      <c r="J4" s="17">
        <f t="shared" si="767"/>
        <v>86044</v>
      </c>
      <c r="K4" s="18">
        <f t="shared" si="768"/>
        <v>800995.83162614994</v>
      </c>
      <c r="L4" s="19">
        <f t="shared" si="769"/>
        <v>0.87722154601766245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770"/>
        <v>0</v>
      </c>
      <c r="S4" s="35">
        <f t="shared" si="771"/>
        <v>762331</v>
      </c>
      <c r="T4" s="35">
        <f t="shared" si="772"/>
        <v>61524</v>
      </c>
      <c r="U4" s="19">
        <f t="shared" si="773"/>
        <v>1.0877902189903925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65"/>
        <v>0</v>
      </c>
      <c r="F5" s="13">
        <v>0</v>
      </c>
      <c r="G5" s="13">
        <v>0</v>
      </c>
      <c r="H5" s="13">
        <v>0</v>
      </c>
      <c r="I5" s="16">
        <f t="shared" si="766"/>
        <v>0</v>
      </c>
      <c r="J5" s="17">
        <f t="shared" si="767"/>
        <v>0</v>
      </c>
      <c r="K5" s="18">
        <f t="shared" si="76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70"/>
        <v>0</v>
      </c>
      <c r="S5" s="35">
        <f t="shared" si="771"/>
        <v>0</v>
      </c>
      <c r="T5" s="35">
        <f t="shared" si="772"/>
        <v>0</v>
      </c>
      <c r="U5" s="19" t="e">
        <f t="shared" si="773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65"/>
        <v>396259.25229770731</v>
      </c>
      <c r="F6" s="13">
        <v>132877</v>
      </c>
      <c r="G6" s="44">
        <v>400000</v>
      </c>
      <c r="H6" s="44">
        <v>0</v>
      </c>
      <c r="I6" s="16">
        <f t="shared" si="766"/>
        <v>132877</v>
      </c>
      <c r="J6" s="17">
        <f t="shared" si="767"/>
        <v>-53325</v>
      </c>
      <c r="K6" s="18">
        <f t="shared" si="768"/>
        <v>457211.22353525035</v>
      </c>
      <c r="L6" s="19">
        <f t="shared" si="769"/>
        <v>1.1538184178264945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770"/>
        <v>285490</v>
      </c>
      <c r="S6" s="35">
        <f t="shared" si="771"/>
        <v>818367</v>
      </c>
      <c r="T6" s="35">
        <f t="shared" si="772"/>
        <v>471692</v>
      </c>
      <c r="U6" s="19">
        <f t="shared" si="773"/>
        <v>2.3606172928535374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65"/>
        <v>127089.15534221899</v>
      </c>
      <c r="F7" s="13">
        <v>407998</v>
      </c>
      <c r="G7" s="44">
        <v>134923</v>
      </c>
      <c r="H7" s="13">
        <v>75077</v>
      </c>
      <c r="I7" s="16">
        <f t="shared" si="766"/>
        <v>483075</v>
      </c>
      <c r="J7" s="17">
        <f t="shared" si="767"/>
        <v>65461</v>
      </c>
      <c r="K7" s="18">
        <f t="shared" si="768"/>
        <v>85571.952382616437</v>
      </c>
      <c r="L7" s="19">
        <f t="shared" si="769"/>
        <v>0.67332222133503672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770"/>
        <v>0</v>
      </c>
      <c r="S7" s="35">
        <f t="shared" si="771"/>
        <v>617998</v>
      </c>
      <c r="T7" s="35">
        <f t="shared" si="772"/>
        <v>417614</v>
      </c>
      <c r="U7" s="19">
        <f t="shared" si="773"/>
        <v>3.0840685883104437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65"/>
        <v>325168.26353207661</v>
      </c>
      <c r="F8" s="44">
        <v>125120</v>
      </c>
      <c r="G8" s="13">
        <v>400000</v>
      </c>
      <c r="H8" s="44">
        <v>0</v>
      </c>
      <c r="I8" s="16">
        <f t="shared" si="766"/>
        <v>125120</v>
      </c>
      <c r="J8" s="17">
        <f t="shared" si="767"/>
        <v>-36085</v>
      </c>
      <c r="K8" s="18">
        <f t="shared" si="768"/>
        <v>357411.22353525035</v>
      </c>
      <c r="L8" s="19">
        <f t="shared" si="769"/>
        <v>1.0991577703584627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770"/>
        <v>525036</v>
      </c>
      <c r="S8" s="35">
        <f t="shared" si="771"/>
        <v>1050156</v>
      </c>
      <c r="T8" s="35">
        <f t="shared" si="772"/>
        <v>686241</v>
      </c>
      <c r="U8" s="19">
        <f t="shared" si="773"/>
        <v>2.8857178187214045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65"/>
        <v>87015.320392365335</v>
      </c>
      <c r="F9" s="13">
        <v>133075</v>
      </c>
      <c r="G9" s="13">
        <v>100000</v>
      </c>
      <c r="H9" s="13">
        <v>0</v>
      </c>
      <c r="I9" s="16">
        <f t="shared" si="766"/>
        <v>133075</v>
      </c>
      <c r="J9" s="17">
        <f t="shared" si="767"/>
        <v>-18550</v>
      </c>
      <c r="K9" s="18">
        <f t="shared" si="768"/>
        <v>106832.80588381256</v>
      </c>
      <c r="L9" s="19">
        <f t="shared" si="769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70"/>
        <v>0</v>
      </c>
      <c r="S9" s="35">
        <f t="shared" si="771"/>
        <v>233075</v>
      </c>
      <c r="T9" s="35">
        <f t="shared" si="772"/>
        <v>151625</v>
      </c>
      <c r="U9" s="19">
        <f t="shared" si="773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65"/>
        <v>841835.08682919282</v>
      </c>
      <c r="F10" s="13">
        <v>115258</v>
      </c>
      <c r="G10" s="13">
        <v>117314</v>
      </c>
      <c r="H10" s="13">
        <v>37484</v>
      </c>
      <c r="I10" s="16">
        <f t="shared" si="766"/>
        <v>152742</v>
      </c>
      <c r="J10" s="17">
        <f t="shared" si="767"/>
        <v>270686</v>
      </c>
      <c r="K10" s="18">
        <f t="shared" si="768"/>
        <v>254533.61179453589</v>
      </c>
      <c r="L10" s="19">
        <f t="shared" si="769"/>
        <v>0.30235567010309278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770"/>
        <v>230838</v>
      </c>
      <c r="S10" s="35">
        <f t="shared" si="771"/>
        <v>500894</v>
      </c>
      <c r="T10" s="35">
        <f t="shared" si="772"/>
        <v>112894</v>
      </c>
      <c r="U10" s="19">
        <f t="shared" si="773"/>
        <v>1.2909639175257732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65"/>
        <v>0</v>
      </c>
      <c r="F11" s="13">
        <v>0</v>
      </c>
      <c r="G11" s="13">
        <v>0</v>
      </c>
      <c r="H11" s="13">
        <v>0</v>
      </c>
      <c r="I11" s="16">
        <f t="shared" si="766"/>
        <v>0</v>
      </c>
      <c r="J11" s="17">
        <f t="shared" si="767"/>
        <v>0</v>
      </c>
      <c r="K11" s="18">
        <f t="shared" si="768"/>
        <v>0</v>
      </c>
      <c r="L11" s="19" t="e">
        <f t="shared" si="769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70"/>
        <v>0</v>
      </c>
      <c r="S11" s="35">
        <f t="shared" si="771"/>
        <v>0</v>
      </c>
      <c r="T11" s="35">
        <f t="shared" si="772"/>
        <v>0</v>
      </c>
      <c r="U11" s="19" t="e">
        <f t="shared" si="77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65"/>
        <v>0</v>
      </c>
      <c r="F12" s="13">
        <v>0</v>
      </c>
      <c r="G12" s="13">
        <v>0</v>
      </c>
      <c r="H12" s="13">
        <v>0</v>
      </c>
      <c r="I12" s="16">
        <f t="shared" si="766"/>
        <v>0</v>
      </c>
      <c r="J12" s="17">
        <f t="shared" si="76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70"/>
        <v>0</v>
      </c>
      <c r="S12" s="35">
        <f t="shared" si="771"/>
        <v>0</v>
      </c>
      <c r="T12" s="35">
        <f t="shared" si="772"/>
        <v>0</v>
      </c>
      <c r="U12" s="19" t="e">
        <f t="shared" si="773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65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67"/>
        <v>0</v>
      </c>
      <c r="K13" s="18">
        <f t="shared" si="768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70"/>
        <v>0</v>
      </c>
      <c r="S13" s="35">
        <f t="shared" si="771"/>
        <v>133460</v>
      </c>
      <c r="T13" s="35">
        <f t="shared" si="772"/>
        <v>33460</v>
      </c>
      <c r="U13" s="19">
        <f t="shared" si="773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65"/>
        <v>138900</v>
      </c>
      <c r="F14" s="13">
        <v>14986</v>
      </c>
      <c r="G14" s="13">
        <v>14986</v>
      </c>
      <c r="H14" s="13">
        <v>0</v>
      </c>
      <c r="I14" s="16">
        <f t="shared" si="766"/>
        <v>14986</v>
      </c>
      <c r="J14" s="17">
        <f t="shared" si="767"/>
        <v>14</v>
      </c>
      <c r="K14" s="18">
        <f t="shared" si="768"/>
        <v>138770.35999999999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70"/>
        <v>0</v>
      </c>
      <c r="S14" s="35">
        <f t="shared" si="771"/>
        <v>29972</v>
      </c>
      <c r="T14" s="35">
        <f t="shared" si="772"/>
        <v>14972</v>
      </c>
      <c r="U14" s="19">
        <f t="shared" si="773"/>
        <v>1.9981333333333333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65"/>
        <v>89388.782058969489</v>
      </c>
      <c r="F15" s="13">
        <v>9980</v>
      </c>
      <c r="G15" s="13">
        <v>9980</v>
      </c>
      <c r="H15" s="13">
        <v>0</v>
      </c>
      <c r="I15" s="16">
        <f>F15+H15</f>
        <v>9980</v>
      </c>
      <c r="J15" s="17">
        <f t="shared" si="767"/>
        <v>20</v>
      </c>
      <c r="K15" s="18">
        <f t="shared" si="768"/>
        <v>89210.004494851542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70"/>
        <v>0</v>
      </c>
      <c r="S15" s="35">
        <f t="shared" si="771"/>
        <v>19960</v>
      </c>
      <c r="T15" s="35">
        <f t="shared" si="772"/>
        <v>9960</v>
      </c>
      <c r="U15" s="19">
        <f t="shared" si="773"/>
        <v>1.996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65"/>
        <v>0</v>
      </c>
      <c r="F16" s="13">
        <v>0</v>
      </c>
      <c r="G16" s="13">
        <v>0</v>
      </c>
      <c r="H16" s="13">
        <v>0</v>
      </c>
      <c r="I16" s="16">
        <f t="shared" si="766"/>
        <v>0</v>
      </c>
      <c r="J16" s="17">
        <f t="shared" si="767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770"/>
        <v>0</v>
      </c>
      <c r="S16" s="35">
        <f t="shared" si="771"/>
        <v>0</v>
      </c>
      <c r="T16" s="35">
        <f t="shared" si="772"/>
        <v>0</v>
      </c>
      <c r="U16" s="19" t="e">
        <f t="shared" si="773"/>
        <v>#DIV/0!</v>
      </c>
    </row>
    <row r="17">
      <c r="A17" s="57" t="s">
        <v>46</v>
      </c>
      <c r="B17" s="9" t="s">
        <v>47</v>
      </c>
      <c r="C17" s="14">
        <v>0</v>
      </c>
      <c r="D17" s="11">
        <v>0.40322805883812579</v>
      </c>
      <c r="E17" s="12">
        <f t="shared" si="765"/>
        <v>0</v>
      </c>
      <c r="F17" s="13">
        <v>0</v>
      </c>
      <c r="G17" s="13">
        <v>0</v>
      </c>
      <c r="H17" s="13">
        <v>0</v>
      </c>
      <c r="I17" s="16">
        <f t="shared" si="766"/>
        <v>0</v>
      </c>
      <c r="J17" s="17">
        <f t="shared" si="767"/>
        <v>0</v>
      </c>
      <c r="K17" s="18">
        <f t="shared" si="768"/>
        <v>0</v>
      </c>
      <c r="L17" s="19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770"/>
        <v>0</v>
      </c>
      <c r="S17" s="35">
        <f t="shared" si="771"/>
        <v>0</v>
      </c>
      <c r="T17" s="35">
        <f t="shared" si="772"/>
        <v>0</v>
      </c>
      <c r="U17" s="19" t="e">
        <f t="shared" si="773"/>
        <v>#DIV/0!</v>
      </c>
    </row>
    <row r="18">
      <c r="A18" s="57" t="s">
        <v>48</v>
      </c>
      <c r="B18" s="9" t="s">
        <v>49</v>
      </c>
      <c r="C18" s="14">
        <v>0</v>
      </c>
      <c r="D18" s="11">
        <v>3.0573254068481477</v>
      </c>
      <c r="E18" s="12">
        <f t="shared" si="765"/>
        <v>0</v>
      </c>
      <c r="F18" s="13">
        <v>0</v>
      </c>
      <c r="G18" s="13">
        <v>0</v>
      </c>
      <c r="H18" s="13">
        <v>0</v>
      </c>
      <c r="I18" s="16">
        <f t="shared" si="766"/>
        <v>0</v>
      </c>
      <c r="J18" s="17">
        <f t="shared" si="767"/>
        <v>0</v>
      </c>
      <c r="K18" s="18">
        <f>+G18*D18</f>
        <v>0</v>
      </c>
      <c r="L18" s="19" t="e">
        <f t="shared" ref="L18:L19" si="774">K18/E18</f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770"/>
        <v>0</v>
      </c>
      <c r="S18" s="35">
        <f t="shared" si="771"/>
        <v>0</v>
      </c>
      <c r="T18" s="35">
        <f t="shared" si="772"/>
        <v>0</v>
      </c>
      <c r="U18" s="19" t="e">
        <f t="shared" si="773"/>
        <v>#DIV/0!</v>
      </c>
    </row>
    <row r="19" ht="16.5">
      <c r="A19" s="21" t="s">
        <v>50</v>
      </c>
      <c r="B19" s="21"/>
      <c r="C19" s="36">
        <f>SUM(C3:C18)</f>
        <v>2656231</v>
      </c>
      <c r="D19" s="23"/>
      <c r="E19" s="22">
        <f t="shared" ref="E19:K19" si="775">SUM(E3:E18)</f>
        <v>4653284.4402583167</v>
      </c>
      <c r="F19" s="24">
        <f t="shared" si="775"/>
        <v>1177061</v>
      </c>
      <c r="G19" s="24">
        <f t="shared" si="775"/>
        <v>2391966</v>
      </c>
      <c r="H19" s="24">
        <f t="shared" si="775"/>
        <v>136937</v>
      </c>
      <c r="I19" s="25">
        <f t="shared" si="775"/>
        <v>1313998</v>
      </c>
      <c r="J19" s="26">
        <f t="shared" si="775"/>
        <v>264265</v>
      </c>
      <c r="K19" s="26">
        <f t="shared" si="775"/>
        <v>4169678.980908284</v>
      </c>
      <c r="L19" s="27">
        <f t="shared" si="774"/>
        <v>0.89607223337432895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70"/>
        <v>0</v>
      </c>
      <c r="S19" s="35">
        <f t="shared" si="771"/>
        <v>3705964</v>
      </c>
      <c r="T19" s="41"/>
    </row>
    <row r="20">
      <c r="B20" s="28"/>
      <c r="C20" s="28"/>
      <c r="D20" s="28"/>
      <c r="E20" s="28"/>
      <c r="K20" t="s">
        <v>64</v>
      </c>
    </row>
    <row r="21">
      <c r="E21" t="s">
        <v>64</v>
      </c>
    </row>
    <row r="23">
      <c r="E23" t="s">
        <v>64</v>
      </c>
      <c r="G23" t="s">
        <v>64</v>
      </c>
    </row>
    <row r="24">
      <c r="G24" t="s">
        <v>64</v>
      </c>
    </row>
    <row r="25">
      <c r="G25" t="s">
        <v>64</v>
      </c>
    </row>
  </sheetData>
  <autoFilter ref="B2:U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1100E3-0003-4290-8A8D-00B900C400D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1" operator="lessThan" id="{00460001-0094-4DFA-9B68-000700DB00C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10" operator="between" id="{00B90087-0053-45EC-9CE1-00C600FB003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L15:L19</xm:sqref>
        </x14:conditionalFormatting>
        <x14:conditionalFormatting xmlns:xm="http://schemas.microsoft.com/office/excel/2006/main">
          <x14:cfRule type="cellIs" priority="9" operator="greaterThan" id="{00170017-0028-4C42-961D-00AD007E002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8" operator="lessThan" id="{009B008E-009B-44D3-9C50-00B800D000E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7" operator="between" id="{006600B7-00A9-462A-A6F0-00A70095007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U15:U18</xm:sqref>
        </x14:conditionalFormatting>
        <x14:conditionalFormatting xmlns:xm="http://schemas.microsoft.com/office/excel/2006/main">
          <x14:cfRule type="cellIs" priority="6" operator="greaterThan" id="{00FF0049-0018-4BD0-8377-0090007D00A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0B00EF-00BD-4F1E-B375-00A500F6009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BA00FC-0015-4943-96FB-008700A7008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F1003B-00E2-454D-8F2E-002B00A400A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7A002E-00CB-4AE4-9FCB-008200CC005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1E00EB-0041-4090-8BBB-005200D300C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F8" activeCellId="0" sqref="F8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145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20" si="776">C3*D3</f>
        <v>1301570.1264771565</v>
      </c>
      <c r="F3" s="13">
        <v>131239</v>
      </c>
      <c r="G3" s="44">
        <v>524376</v>
      </c>
      <c r="H3" s="13">
        <v>0</v>
      </c>
      <c r="I3" s="16">
        <f t="shared" ref="I3:I20" si="777">F3+H3</f>
        <v>131239</v>
      </c>
      <c r="J3" s="17">
        <f t="shared" ref="J3:J20" si="778">C3-G3</f>
        <v>-74376</v>
      </c>
      <c r="K3" s="18">
        <f t="shared" ref="K3:K19" si="779">+G3*D3</f>
        <v>1516693.636981301</v>
      </c>
      <c r="L3" s="19">
        <f t="shared" ref="L3:L11" si="780">K3/E3</f>
        <v>1.1652800000000001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781">M3+N3+O3+P3+Q3</f>
        <v>410559</v>
      </c>
      <c r="S3" s="35">
        <f t="shared" ref="S3:S21" si="782">G3+I3+R3</f>
        <v>1066174</v>
      </c>
      <c r="T3" s="35">
        <f t="shared" ref="T3:T20" si="783">S3-C3</f>
        <v>616174</v>
      </c>
      <c r="U3" s="19">
        <f t="shared" ref="U3:U20" si="784">S3/C3</f>
        <v>2.3692755555555554</v>
      </c>
    </row>
    <row r="4">
      <c r="A4" s="9" t="s">
        <v>22</v>
      </c>
      <c r="B4" s="9" t="s">
        <v>23</v>
      </c>
      <c r="C4" s="14">
        <v>700807</v>
      </c>
      <c r="D4" s="50">
        <v>1.3029343529557731</v>
      </c>
      <c r="E4" s="14">
        <f t="shared" si="776"/>
        <v>913105.5150918765</v>
      </c>
      <c r="F4" s="13">
        <v>61518</v>
      </c>
      <c r="G4" s="13">
        <v>700807</v>
      </c>
      <c r="H4" s="13">
        <v>0</v>
      </c>
      <c r="I4" s="16">
        <f t="shared" si="777"/>
        <v>61518</v>
      </c>
      <c r="J4" s="17">
        <f t="shared" si="778"/>
        <v>0</v>
      </c>
      <c r="K4" s="18">
        <f t="shared" si="779"/>
        <v>913105.5150918765</v>
      </c>
      <c r="L4" s="19">
        <f t="shared" si="780"/>
        <v>1</v>
      </c>
      <c r="M4" s="34">
        <v>61518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781"/>
        <v>774470</v>
      </c>
      <c r="S4" s="35">
        <f t="shared" si="782"/>
        <v>1536795</v>
      </c>
      <c r="T4" s="35">
        <f t="shared" si="783"/>
        <v>835988</v>
      </c>
      <c r="U4" s="19">
        <f t="shared" si="784"/>
        <v>2.1928933358256981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76"/>
        <v>0</v>
      </c>
      <c r="F5" s="13">
        <v>0</v>
      </c>
      <c r="G5" s="13">
        <v>0</v>
      </c>
      <c r="H5" s="13">
        <v>0</v>
      </c>
      <c r="I5" s="16">
        <f t="shared" si="777"/>
        <v>0</v>
      </c>
      <c r="J5" s="17">
        <f t="shared" si="778"/>
        <v>0</v>
      </c>
      <c r="K5" s="18">
        <f t="shared" si="779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81"/>
        <v>0</v>
      </c>
      <c r="S5" s="35">
        <f t="shared" si="782"/>
        <v>0</v>
      </c>
      <c r="T5" s="35">
        <f t="shared" si="783"/>
        <v>0</v>
      </c>
      <c r="U5" s="19" t="e">
        <f t="shared" si="784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76"/>
        <v>396259.25229770731</v>
      </c>
      <c r="F6" s="13">
        <v>132877</v>
      </c>
      <c r="G6" s="44">
        <v>400000</v>
      </c>
      <c r="H6" s="44">
        <v>0</v>
      </c>
      <c r="I6" s="16">
        <f t="shared" si="777"/>
        <v>132877</v>
      </c>
      <c r="J6" s="17">
        <f t="shared" si="778"/>
        <v>-53325</v>
      </c>
      <c r="K6" s="18">
        <f t="shared" si="779"/>
        <v>457211.22353525035</v>
      </c>
      <c r="L6" s="19">
        <f t="shared" si="780"/>
        <v>1.1538184178264945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781"/>
        <v>285490</v>
      </c>
      <c r="S6" s="35">
        <f t="shared" si="782"/>
        <v>818367</v>
      </c>
      <c r="T6" s="35">
        <f t="shared" si="783"/>
        <v>471692</v>
      </c>
      <c r="U6" s="19">
        <f t="shared" si="784"/>
        <v>2.3606172928535374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76"/>
        <v>127089.15534221899</v>
      </c>
      <c r="F7" s="13">
        <v>407998</v>
      </c>
      <c r="G7" s="44">
        <v>210000</v>
      </c>
      <c r="H7" s="13">
        <v>0</v>
      </c>
      <c r="I7" s="16">
        <f t="shared" si="777"/>
        <v>407998</v>
      </c>
      <c r="J7" s="17">
        <f t="shared" si="778"/>
        <v>-9616</v>
      </c>
      <c r="K7" s="18">
        <f t="shared" si="779"/>
        <v>133187.8923560064</v>
      </c>
      <c r="L7" s="19">
        <f t="shared" si="780"/>
        <v>1.0479878633024593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781"/>
        <v>0</v>
      </c>
      <c r="S7" s="35">
        <f t="shared" si="782"/>
        <v>617998</v>
      </c>
      <c r="T7" s="35">
        <f t="shared" si="783"/>
        <v>417614</v>
      </c>
      <c r="U7" s="19">
        <f t="shared" si="784"/>
        <v>3.0840685883104437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76"/>
        <v>325168.26353207661</v>
      </c>
      <c r="F8" s="44">
        <v>125120</v>
      </c>
      <c r="G8" s="13">
        <v>400000</v>
      </c>
      <c r="H8" s="44">
        <v>0</v>
      </c>
      <c r="I8" s="16">
        <f t="shared" si="777"/>
        <v>125120</v>
      </c>
      <c r="J8" s="17">
        <f t="shared" si="778"/>
        <v>-36085</v>
      </c>
      <c r="K8" s="18">
        <f t="shared" si="779"/>
        <v>357411.22353525035</v>
      </c>
      <c r="L8" s="19">
        <f t="shared" si="780"/>
        <v>1.0991577703584627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781"/>
        <v>525036</v>
      </c>
      <c r="S8" s="35">
        <f t="shared" si="782"/>
        <v>1050156</v>
      </c>
      <c r="T8" s="35">
        <f t="shared" si="783"/>
        <v>686241</v>
      </c>
      <c r="U8" s="19">
        <f t="shared" si="784"/>
        <v>2.8857178187214045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76"/>
        <v>87015.320392365335</v>
      </c>
      <c r="F9" s="13">
        <v>133075</v>
      </c>
      <c r="G9" s="13">
        <v>100000</v>
      </c>
      <c r="H9" s="13">
        <v>0</v>
      </c>
      <c r="I9" s="16">
        <f t="shared" si="777"/>
        <v>133075</v>
      </c>
      <c r="J9" s="17">
        <f t="shared" si="778"/>
        <v>-18550</v>
      </c>
      <c r="K9" s="18">
        <f t="shared" si="779"/>
        <v>106832.80588381256</v>
      </c>
      <c r="L9" s="19">
        <f t="shared" si="780"/>
        <v>1.2277470841006752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81"/>
        <v>0</v>
      </c>
      <c r="S9" s="35">
        <f t="shared" si="782"/>
        <v>233075</v>
      </c>
      <c r="T9" s="35">
        <f t="shared" si="783"/>
        <v>151625</v>
      </c>
      <c r="U9" s="19">
        <f t="shared" si="784"/>
        <v>2.8615715162676487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76"/>
        <v>841835.08682919282</v>
      </c>
      <c r="F10" s="13">
        <v>0</v>
      </c>
      <c r="G10" s="13">
        <v>270056</v>
      </c>
      <c r="H10" s="13">
        <v>0</v>
      </c>
      <c r="I10" s="16">
        <f t="shared" si="777"/>
        <v>0</v>
      </c>
      <c r="J10" s="17">
        <f t="shared" si="778"/>
        <v>117944</v>
      </c>
      <c r="K10" s="18">
        <f t="shared" si="779"/>
        <v>585934.57785758888</v>
      </c>
      <c r="L10" s="19">
        <f t="shared" si="780"/>
        <v>0.69602061855670105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781"/>
        <v>230838</v>
      </c>
      <c r="S10" s="35">
        <f t="shared" si="782"/>
        <v>500894</v>
      </c>
      <c r="T10" s="35">
        <f t="shared" si="783"/>
        <v>112894</v>
      </c>
      <c r="U10" s="19">
        <f t="shared" si="784"/>
        <v>1.2909639175257732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76"/>
        <v>0</v>
      </c>
      <c r="F11" s="13">
        <v>0</v>
      </c>
      <c r="G11" s="13">
        <v>0</v>
      </c>
      <c r="H11" s="13">
        <v>0</v>
      </c>
      <c r="I11" s="16">
        <f t="shared" si="777"/>
        <v>0</v>
      </c>
      <c r="J11" s="17">
        <f t="shared" si="778"/>
        <v>0</v>
      </c>
      <c r="K11" s="18">
        <f t="shared" si="779"/>
        <v>0</v>
      </c>
      <c r="L11" s="19" t="e">
        <f t="shared" si="780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81"/>
        <v>0</v>
      </c>
      <c r="S11" s="35">
        <f t="shared" si="782"/>
        <v>0</v>
      </c>
      <c r="T11" s="35">
        <f t="shared" si="783"/>
        <v>0</v>
      </c>
      <c r="U11" s="19" t="e">
        <f t="shared" si="784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76"/>
        <v>0</v>
      </c>
      <c r="F12" s="13">
        <v>0</v>
      </c>
      <c r="G12" s="13">
        <v>0</v>
      </c>
      <c r="H12" s="13">
        <v>0</v>
      </c>
      <c r="I12" s="16">
        <f t="shared" si="777"/>
        <v>0</v>
      </c>
      <c r="J12" s="17">
        <f t="shared" si="778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81"/>
        <v>0</v>
      </c>
      <c r="S12" s="35">
        <f t="shared" si="782"/>
        <v>0</v>
      </c>
      <c r="T12" s="35">
        <f t="shared" si="783"/>
        <v>0</v>
      </c>
      <c r="U12" s="19" t="e">
        <f t="shared" si="784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76"/>
        <v>432952.93823675375</v>
      </c>
      <c r="F13" s="13">
        <v>33460</v>
      </c>
      <c r="G13" s="13">
        <v>100000</v>
      </c>
      <c r="H13" s="13">
        <v>0</v>
      </c>
      <c r="I13" s="16">
        <f>F13+H13</f>
        <v>33460</v>
      </c>
      <c r="J13" s="17">
        <f t="shared" si="778"/>
        <v>0</v>
      </c>
      <c r="K13" s="18">
        <f t="shared" si="779"/>
        <v>432952.93823675375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81"/>
        <v>0</v>
      </c>
      <c r="S13" s="35">
        <f t="shared" si="782"/>
        <v>133460</v>
      </c>
      <c r="T13" s="35">
        <f t="shared" si="783"/>
        <v>33460</v>
      </c>
      <c r="U13" s="19">
        <f t="shared" si="784"/>
        <v>1.3346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76"/>
        <v>138900</v>
      </c>
      <c r="F14" s="13">
        <v>0</v>
      </c>
      <c r="G14" s="13">
        <v>14986</v>
      </c>
      <c r="H14" s="13">
        <v>0</v>
      </c>
      <c r="I14" s="16">
        <f t="shared" si="777"/>
        <v>0</v>
      </c>
      <c r="J14" s="17">
        <f t="shared" si="778"/>
        <v>14</v>
      </c>
      <c r="K14" s="18">
        <f t="shared" si="779"/>
        <v>138770.35999999999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81"/>
        <v>0</v>
      </c>
      <c r="S14" s="35">
        <f t="shared" si="782"/>
        <v>14986</v>
      </c>
      <c r="T14" s="35">
        <f t="shared" si="783"/>
        <v>-14</v>
      </c>
      <c r="U14" s="19">
        <f t="shared" si="784"/>
        <v>0.99906666666666666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76"/>
        <v>89388.782058969489</v>
      </c>
      <c r="F15" s="13">
        <v>0</v>
      </c>
      <c r="G15" s="13">
        <v>9980</v>
      </c>
      <c r="H15" s="13">
        <v>0</v>
      </c>
      <c r="I15" s="16">
        <f>F15+H15</f>
        <v>0</v>
      </c>
      <c r="J15" s="17">
        <f t="shared" si="778"/>
        <v>20</v>
      </c>
      <c r="K15" s="18">
        <f t="shared" si="779"/>
        <v>89210.004494851542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81"/>
        <v>0</v>
      </c>
      <c r="S15" s="35">
        <f t="shared" si="782"/>
        <v>9980</v>
      </c>
      <c r="T15" s="35">
        <f t="shared" si="783"/>
        <v>-20</v>
      </c>
      <c r="U15" s="19">
        <f t="shared" si="784"/>
        <v>0.998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76"/>
        <v>0</v>
      </c>
      <c r="F16" s="13">
        <v>0</v>
      </c>
      <c r="G16" s="13">
        <v>0</v>
      </c>
      <c r="H16" s="13">
        <v>0</v>
      </c>
      <c r="I16" s="16">
        <f t="shared" si="777"/>
        <v>0</v>
      </c>
      <c r="J16" s="17">
        <f t="shared" si="778"/>
        <v>0</v>
      </c>
      <c r="K16" s="18">
        <f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781"/>
        <v>72973</v>
      </c>
      <c r="S16" s="35">
        <f t="shared" si="782"/>
        <v>72973</v>
      </c>
      <c r="T16" s="35">
        <f t="shared" si="783"/>
        <v>72973</v>
      </c>
      <c r="U16" s="19" t="e">
        <f t="shared" si="784"/>
        <v>#DIV/0!</v>
      </c>
    </row>
    <row r="17">
      <c r="A17" s="62" t="s">
        <v>150</v>
      </c>
      <c r="B17" s="63" t="s">
        <v>151</v>
      </c>
      <c r="C17" s="14"/>
      <c r="D17" s="11">
        <v>6.7956857705540301</v>
      </c>
      <c r="E17" s="12"/>
      <c r="F17" s="13"/>
      <c r="G17" s="13"/>
      <c r="H17" s="13"/>
      <c r="I17" s="16"/>
      <c r="J17" s="17"/>
      <c r="K17" s="18"/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/>
      <c r="D18" s="11">
        <v>10.033574703112851</v>
      </c>
      <c r="E18" s="12"/>
      <c r="F18" s="13"/>
      <c r="G18" s="13"/>
      <c r="H18" s="13"/>
      <c r="I18" s="16"/>
      <c r="J18" s="17"/>
      <c r="K18" s="18"/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776"/>
        <v>0</v>
      </c>
      <c r="F19" s="13">
        <v>0</v>
      </c>
      <c r="G19" s="13">
        <v>0</v>
      </c>
      <c r="H19" s="13">
        <v>0</v>
      </c>
      <c r="I19" s="16">
        <f t="shared" si="777"/>
        <v>0</v>
      </c>
      <c r="J19" s="17">
        <f t="shared" si="778"/>
        <v>0</v>
      </c>
      <c r="K19" s="18">
        <f t="shared" si="779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81"/>
        <v>0</v>
      </c>
      <c r="S19" s="35">
        <f t="shared" si="782"/>
        <v>0</v>
      </c>
      <c r="T19" s="35">
        <f t="shared" si="783"/>
        <v>0</v>
      </c>
      <c r="U19" s="19" t="e">
        <f t="shared" si="784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776"/>
        <v>0</v>
      </c>
      <c r="F20" s="13">
        <v>0</v>
      </c>
      <c r="G20" s="13">
        <v>0</v>
      </c>
      <c r="H20" s="13">
        <v>0</v>
      </c>
      <c r="I20" s="16">
        <f t="shared" si="777"/>
        <v>0</v>
      </c>
      <c r="J20" s="17">
        <f t="shared" si="778"/>
        <v>0</v>
      </c>
      <c r="K20" s="18">
        <f>+G20*D20</f>
        <v>0</v>
      </c>
      <c r="L20" s="19" t="e">
        <f t="shared" ref="L20:L21" si="785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781"/>
        <v>0</v>
      </c>
      <c r="S20" s="35">
        <f t="shared" si="782"/>
        <v>0</v>
      </c>
      <c r="T20" s="35">
        <f t="shared" si="783"/>
        <v>0</v>
      </c>
      <c r="U20" s="19" t="e">
        <f t="shared" si="784"/>
        <v>#DIV/0!</v>
      </c>
    </row>
    <row r="21" ht="16.5">
      <c r="A21" s="21" t="s">
        <v>50</v>
      </c>
      <c r="B21" s="21"/>
      <c r="C21" s="36">
        <f>SUM(C3:C20)</f>
        <v>2656231</v>
      </c>
      <c r="D21" s="23"/>
      <c r="E21" s="22">
        <f t="shared" ref="E21:K21" si="786">SUM(E3:E20)</f>
        <v>4653284.4402583167</v>
      </c>
      <c r="F21" s="24">
        <f t="shared" si="786"/>
        <v>1025287</v>
      </c>
      <c r="G21" s="24">
        <f t="shared" si="786"/>
        <v>2730205</v>
      </c>
      <c r="H21" s="24">
        <f t="shared" si="786"/>
        <v>0</v>
      </c>
      <c r="I21" s="25">
        <f t="shared" si="786"/>
        <v>1025287</v>
      </c>
      <c r="J21" s="26">
        <f t="shared" si="786"/>
        <v>-73974</v>
      </c>
      <c r="K21" s="26">
        <f t="shared" si="786"/>
        <v>4731310.1779726921</v>
      </c>
      <c r="L21" s="27">
        <f t="shared" si="785"/>
        <v>1.0167678848598483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781"/>
        <v>0</v>
      </c>
      <c r="S21" s="35">
        <f t="shared" si="782"/>
        <v>3755492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3300E6-007B-4888-8FF3-007F007300E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52005E-0044-42F3-BADA-00080011001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6D006E-00AF-4FAB-9D7C-008100E0001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EA0031-0039-4601-BF9E-004E00C0008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4B0068-00FC-4C2B-BAD6-001600B000A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C50052-0015-46B5-9EBD-00B70071000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05000E-0027-4682-BCA6-00B900D300F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200D3-0049-4A96-8F16-0018005C00E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F3006F-00E0-42E6-94AB-007700E900F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3200CB-0046-403C-87B5-00F40027005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9200A1-00E1-49AB-B497-00D30084001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B0016-004D-4F02-A343-007A00B9003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8" activeCellId="0" sqref="G8:H8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154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20" si="787">C3*D3</f>
        <v>1301570.1264771565</v>
      </c>
      <c r="F3" s="13">
        <v>74500</v>
      </c>
      <c r="G3" s="44">
        <v>0</v>
      </c>
      <c r="H3" s="13">
        <v>56739</v>
      </c>
      <c r="I3" s="16">
        <f t="shared" ref="I3:I20" si="788">F3+H3</f>
        <v>131239</v>
      </c>
      <c r="J3" s="17">
        <f t="shared" ref="J3:J20" si="789">C3-G3</f>
        <v>450000</v>
      </c>
      <c r="K3" s="18">
        <f t="shared" ref="K3:K19" si="790">+G3*D3</f>
        <v>0</v>
      </c>
      <c r="L3" s="19">
        <f t="shared" ref="L3:L11" si="791">K3/E3</f>
        <v>0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792">M3+N3+O3+P3+Q3</f>
        <v>410559</v>
      </c>
      <c r="S3" s="35">
        <f t="shared" ref="S3:S21" si="793">G3+I3+R3</f>
        <v>541798</v>
      </c>
      <c r="T3" s="35">
        <f t="shared" ref="T3:T20" si="794">S3-C3</f>
        <v>91798</v>
      </c>
      <c r="U3" s="19">
        <f t="shared" ref="U3:U20" si="795">S3/C3</f>
        <v>1.2039955555555555</v>
      </c>
    </row>
    <row r="4">
      <c r="A4" s="9" t="s">
        <v>22</v>
      </c>
      <c r="B4" s="9" t="s">
        <v>23</v>
      </c>
      <c r="C4" s="14">
        <v>700807</v>
      </c>
      <c r="D4" s="50">
        <v>1.3029343529557731</v>
      </c>
      <c r="E4" s="14">
        <f t="shared" si="787"/>
        <v>913105.5150918765</v>
      </c>
      <c r="F4" s="13">
        <v>0</v>
      </c>
      <c r="G4" s="13">
        <v>61518</v>
      </c>
      <c r="H4" s="13">
        <v>0</v>
      </c>
      <c r="I4" s="16">
        <f t="shared" si="788"/>
        <v>0</v>
      </c>
      <c r="J4" s="17">
        <f t="shared" si="789"/>
        <v>639289</v>
      </c>
      <c r="K4" s="18">
        <f t="shared" si="790"/>
        <v>80153.915525133256</v>
      </c>
      <c r="L4" s="19">
        <f t="shared" si="791"/>
        <v>0.087781657432074736</v>
      </c>
      <c r="M4" s="34">
        <v>61518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792"/>
        <v>774470</v>
      </c>
      <c r="S4" s="35">
        <f t="shared" si="793"/>
        <v>835988</v>
      </c>
      <c r="T4" s="35">
        <f t="shared" si="794"/>
        <v>135181</v>
      </c>
      <c r="U4" s="19">
        <f t="shared" si="795"/>
        <v>1.1928933358256981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87"/>
        <v>0</v>
      </c>
      <c r="F5" s="13">
        <v>0</v>
      </c>
      <c r="G5" s="13">
        <v>0</v>
      </c>
      <c r="H5" s="13">
        <v>0</v>
      </c>
      <c r="I5" s="16">
        <f t="shared" si="788"/>
        <v>0</v>
      </c>
      <c r="J5" s="17">
        <f t="shared" si="789"/>
        <v>0</v>
      </c>
      <c r="K5" s="18">
        <f t="shared" si="79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792"/>
        <v>0</v>
      </c>
      <c r="S5" s="35">
        <f t="shared" si="793"/>
        <v>0</v>
      </c>
      <c r="T5" s="35">
        <f t="shared" si="794"/>
        <v>0</v>
      </c>
      <c r="U5" s="19" t="e">
        <f t="shared" si="795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87"/>
        <v>396259.25229770731</v>
      </c>
      <c r="F6" s="13">
        <v>0</v>
      </c>
      <c r="G6" s="44">
        <v>0</v>
      </c>
      <c r="H6" s="44">
        <v>132877</v>
      </c>
      <c r="I6" s="16">
        <f t="shared" si="788"/>
        <v>132877</v>
      </c>
      <c r="J6" s="17">
        <f t="shared" si="789"/>
        <v>346675</v>
      </c>
      <c r="K6" s="18">
        <f t="shared" si="790"/>
        <v>0</v>
      </c>
      <c r="L6" s="19">
        <f t="shared" si="791"/>
        <v>0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792"/>
        <v>285490</v>
      </c>
      <c r="S6" s="35">
        <f t="shared" si="793"/>
        <v>418367</v>
      </c>
      <c r="T6" s="35">
        <f t="shared" si="794"/>
        <v>71692</v>
      </c>
      <c r="U6" s="19">
        <f t="shared" si="795"/>
        <v>1.2067988750270426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87"/>
        <v>127089.15534221899</v>
      </c>
      <c r="F7" s="13">
        <v>0</v>
      </c>
      <c r="G7" s="44">
        <v>0</v>
      </c>
      <c r="H7" s="13">
        <v>407998</v>
      </c>
      <c r="I7" s="16">
        <f t="shared" si="788"/>
        <v>407998</v>
      </c>
      <c r="J7" s="17">
        <f t="shared" si="789"/>
        <v>200384</v>
      </c>
      <c r="K7" s="18">
        <f t="shared" si="790"/>
        <v>0</v>
      </c>
      <c r="L7" s="19">
        <f t="shared" si="791"/>
        <v>0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792"/>
        <v>0</v>
      </c>
      <c r="S7" s="35">
        <f t="shared" si="793"/>
        <v>407998</v>
      </c>
      <c r="T7" s="35">
        <f t="shared" si="794"/>
        <v>207614</v>
      </c>
      <c r="U7" s="19">
        <f t="shared" si="795"/>
        <v>2.0360807250079849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87"/>
        <v>325168.26353207661</v>
      </c>
      <c r="F8" s="44">
        <v>0</v>
      </c>
      <c r="G8" s="13">
        <v>62560</v>
      </c>
      <c r="H8" s="44">
        <v>62560</v>
      </c>
      <c r="I8" s="16">
        <f t="shared" si="788"/>
        <v>62560</v>
      </c>
      <c r="J8" s="17">
        <f t="shared" si="789"/>
        <v>301355</v>
      </c>
      <c r="K8" s="18">
        <f t="shared" si="790"/>
        <v>55899.115360913158</v>
      </c>
      <c r="L8" s="19">
        <f t="shared" si="791"/>
        <v>0.17190827528406358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792"/>
        <v>525036</v>
      </c>
      <c r="S8" s="35">
        <f t="shared" si="793"/>
        <v>650156</v>
      </c>
      <c r="T8" s="35">
        <f t="shared" si="794"/>
        <v>286241</v>
      </c>
      <c r="U8" s="19">
        <f t="shared" si="795"/>
        <v>1.7865600483629418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87"/>
        <v>87015.320392365335</v>
      </c>
      <c r="F9" s="13">
        <v>133075</v>
      </c>
      <c r="G9" s="13">
        <v>0</v>
      </c>
      <c r="H9" s="13">
        <v>0</v>
      </c>
      <c r="I9" s="16">
        <f t="shared" si="788"/>
        <v>133075</v>
      </c>
      <c r="J9" s="17">
        <f t="shared" si="789"/>
        <v>81450</v>
      </c>
      <c r="K9" s="18">
        <f t="shared" si="790"/>
        <v>0</v>
      </c>
      <c r="L9" s="19">
        <f t="shared" si="791"/>
        <v>0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792"/>
        <v>0</v>
      </c>
      <c r="S9" s="35">
        <f t="shared" si="793"/>
        <v>133075</v>
      </c>
      <c r="T9" s="35">
        <f t="shared" si="794"/>
        <v>51625</v>
      </c>
      <c r="U9" s="19">
        <f t="shared" si="795"/>
        <v>1.6338244321669737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87"/>
        <v>841835.08682919282</v>
      </c>
      <c r="F10" s="13">
        <v>0</v>
      </c>
      <c r="G10" s="13">
        <v>0</v>
      </c>
      <c r="H10" s="13">
        <v>0</v>
      </c>
      <c r="I10" s="16">
        <f t="shared" si="788"/>
        <v>0</v>
      </c>
      <c r="J10" s="17">
        <f t="shared" si="789"/>
        <v>388000</v>
      </c>
      <c r="K10" s="18">
        <f t="shared" si="790"/>
        <v>0</v>
      </c>
      <c r="L10" s="19">
        <f t="shared" si="791"/>
        <v>0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792"/>
        <v>230838</v>
      </c>
      <c r="S10" s="35">
        <f t="shared" si="793"/>
        <v>230838</v>
      </c>
      <c r="T10" s="35">
        <f t="shared" si="794"/>
        <v>-157162</v>
      </c>
      <c r="U10" s="19">
        <f t="shared" si="795"/>
        <v>0.59494329896907217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87"/>
        <v>0</v>
      </c>
      <c r="F11" s="13">
        <v>0</v>
      </c>
      <c r="G11" s="13">
        <v>0</v>
      </c>
      <c r="H11" s="13">
        <v>0</v>
      </c>
      <c r="I11" s="16">
        <f t="shared" si="788"/>
        <v>0</v>
      </c>
      <c r="J11" s="17">
        <f t="shared" si="789"/>
        <v>0</v>
      </c>
      <c r="K11" s="18">
        <f t="shared" si="790"/>
        <v>0</v>
      </c>
      <c r="L11" s="19" t="e">
        <f t="shared" si="791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792"/>
        <v>0</v>
      </c>
      <c r="S11" s="35">
        <f t="shared" si="793"/>
        <v>0</v>
      </c>
      <c r="T11" s="35">
        <f t="shared" si="794"/>
        <v>0</v>
      </c>
      <c r="U11" s="19" t="e">
        <f t="shared" si="795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87"/>
        <v>0</v>
      </c>
      <c r="F12" s="13">
        <v>0</v>
      </c>
      <c r="G12" s="13">
        <v>0</v>
      </c>
      <c r="H12" s="13">
        <v>0</v>
      </c>
      <c r="I12" s="16">
        <f t="shared" si="788"/>
        <v>0</v>
      </c>
      <c r="J12" s="17">
        <f t="shared" si="78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792"/>
        <v>0</v>
      </c>
      <c r="S12" s="35">
        <f t="shared" si="793"/>
        <v>0</v>
      </c>
      <c r="T12" s="35">
        <f t="shared" si="794"/>
        <v>0</v>
      </c>
      <c r="U12" s="19" t="e">
        <f t="shared" si="795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87"/>
        <v>432952.93823675375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789"/>
        <v>66540</v>
      </c>
      <c r="K13" s="18">
        <f t="shared" si="790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792"/>
        <v>0</v>
      </c>
      <c r="S13" s="35">
        <f t="shared" si="793"/>
        <v>33460</v>
      </c>
      <c r="T13" s="35">
        <f t="shared" si="794"/>
        <v>-66540</v>
      </c>
      <c r="U13" s="19">
        <f t="shared" si="795"/>
        <v>0.33460000000000001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87"/>
        <v>138900</v>
      </c>
      <c r="F14" s="13">
        <v>0</v>
      </c>
      <c r="G14" s="13">
        <v>0</v>
      </c>
      <c r="H14" s="13">
        <v>0</v>
      </c>
      <c r="I14" s="16">
        <f t="shared" si="788"/>
        <v>0</v>
      </c>
      <c r="J14" s="17">
        <f t="shared" si="789"/>
        <v>15000</v>
      </c>
      <c r="K14" s="18">
        <f t="shared" si="79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792"/>
        <v>0</v>
      </c>
      <c r="S14" s="35">
        <f t="shared" si="793"/>
        <v>0</v>
      </c>
      <c r="T14" s="35">
        <f t="shared" si="794"/>
        <v>-15000</v>
      </c>
      <c r="U14" s="19">
        <f t="shared" si="795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87"/>
        <v>89388.782058969489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789"/>
        <v>10000</v>
      </c>
      <c r="K15" s="18">
        <f t="shared" si="79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792"/>
        <v>0</v>
      </c>
      <c r="S15" s="35">
        <f t="shared" si="793"/>
        <v>0</v>
      </c>
      <c r="T15" s="35">
        <f t="shared" si="794"/>
        <v>-10000</v>
      </c>
      <c r="U15" s="19">
        <f t="shared" si="795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87"/>
        <v>0</v>
      </c>
      <c r="F16" s="13">
        <v>0</v>
      </c>
      <c r="G16" s="13">
        <v>0</v>
      </c>
      <c r="H16" s="13">
        <v>0</v>
      </c>
      <c r="I16" s="16">
        <f t="shared" si="788"/>
        <v>0</v>
      </c>
      <c r="J16" s="17">
        <f t="shared" si="789"/>
        <v>0</v>
      </c>
      <c r="K16" s="18">
        <f t="shared" ref="K16:K18" si="796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792"/>
        <v>72973</v>
      </c>
      <c r="S16" s="35">
        <f t="shared" si="793"/>
        <v>72973</v>
      </c>
      <c r="T16" s="35">
        <f t="shared" si="794"/>
        <v>72973</v>
      </c>
      <c r="U16" s="19" t="e">
        <f t="shared" si="795"/>
        <v>#DIV/0!</v>
      </c>
    </row>
    <row r="17">
      <c r="A17" s="62" t="s">
        <v>150</v>
      </c>
      <c r="B17" s="63" t="s">
        <v>151</v>
      </c>
      <c r="C17" s="14"/>
      <c r="D17" s="11">
        <v>6.7956857705540301</v>
      </c>
      <c r="E17" s="12"/>
      <c r="F17" s="13">
        <v>0</v>
      </c>
      <c r="G17" s="13">
        <v>0</v>
      </c>
      <c r="H17" s="13">
        <v>0</v>
      </c>
      <c r="I17" s="16">
        <f t="shared" si="788"/>
        <v>0</v>
      </c>
      <c r="J17" s="17"/>
      <c r="K17" s="18">
        <f t="shared" si="796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/>
      <c r="D18" s="11">
        <v>10.033574703112851</v>
      </c>
      <c r="E18" s="12"/>
      <c r="F18" s="13">
        <v>0</v>
      </c>
      <c r="G18" s="13">
        <v>0</v>
      </c>
      <c r="H18" s="13">
        <v>0</v>
      </c>
      <c r="I18" s="16">
        <f t="shared" si="788"/>
        <v>0</v>
      </c>
      <c r="J18" s="17"/>
      <c r="K18" s="18">
        <f t="shared" si="796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787"/>
        <v>0</v>
      </c>
      <c r="F19" s="13">
        <v>0</v>
      </c>
      <c r="G19" s="13">
        <v>0</v>
      </c>
      <c r="H19" s="13">
        <v>0</v>
      </c>
      <c r="I19" s="16">
        <f t="shared" si="788"/>
        <v>0</v>
      </c>
      <c r="J19" s="17">
        <f t="shared" si="789"/>
        <v>0</v>
      </c>
      <c r="K19" s="18">
        <f t="shared" si="79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792"/>
        <v>0</v>
      </c>
      <c r="S19" s="35">
        <f t="shared" si="793"/>
        <v>0</v>
      </c>
      <c r="T19" s="35">
        <f t="shared" si="794"/>
        <v>0</v>
      </c>
      <c r="U19" s="19" t="e">
        <f t="shared" si="795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787"/>
        <v>0</v>
      </c>
      <c r="F20" s="13">
        <v>0</v>
      </c>
      <c r="G20" s="13">
        <v>0</v>
      </c>
      <c r="H20" s="13">
        <v>0</v>
      </c>
      <c r="I20" s="16">
        <f t="shared" si="788"/>
        <v>0</v>
      </c>
      <c r="J20" s="17">
        <f t="shared" si="789"/>
        <v>0</v>
      </c>
      <c r="K20" s="18">
        <f>+G20*D20</f>
        <v>0</v>
      </c>
      <c r="L20" s="19" t="e">
        <f t="shared" ref="L20:L21" si="797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792"/>
        <v>0</v>
      </c>
      <c r="S20" s="35">
        <f t="shared" si="793"/>
        <v>0</v>
      </c>
      <c r="T20" s="35">
        <f t="shared" si="794"/>
        <v>0</v>
      </c>
      <c r="U20" s="19" t="e">
        <f t="shared" si="795"/>
        <v>#DIV/0!</v>
      </c>
    </row>
    <row r="21" ht="16.5">
      <c r="A21" s="21" t="s">
        <v>50</v>
      </c>
      <c r="B21" s="21"/>
      <c r="C21" s="36">
        <f>SUM(C3:C20)</f>
        <v>2656231</v>
      </c>
      <c r="D21" s="23"/>
      <c r="E21" s="22">
        <f t="shared" ref="E21:K21" si="798">SUM(E3:E20)</f>
        <v>4653284.4402583167</v>
      </c>
      <c r="F21" s="24">
        <f t="shared" si="798"/>
        <v>207575</v>
      </c>
      <c r="G21" s="24">
        <f t="shared" si="798"/>
        <v>157538</v>
      </c>
      <c r="H21" s="24">
        <f t="shared" si="798"/>
        <v>660174</v>
      </c>
      <c r="I21" s="25">
        <f t="shared" si="798"/>
        <v>867749</v>
      </c>
      <c r="J21" s="26">
        <f t="shared" si="798"/>
        <v>2498693</v>
      </c>
      <c r="K21" s="26">
        <f t="shared" si="798"/>
        <v>280919.08402006421</v>
      </c>
      <c r="L21" s="27">
        <f t="shared" si="797"/>
        <v>0.060370064978118899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792"/>
        <v>0</v>
      </c>
      <c r="S21" s="35">
        <f t="shared" si="793"/>
        <v>1025287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BF0010-008F-4E6E-8D37-0020008E003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650025-0090-434B-AB97-00C5000400B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170051-00A3-40D9-9F4C-000100F8001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50005A-0002-4B19-99CD-00EB00CB005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C000BD-007D-400A-8285-006D007A009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260032-00D8-4E12-BA16-00B30082008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3300C1-0036-4DD6-B2C1-00E5003300D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3F006A-00EC-4EAF-8413-009200AD000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D70031-00FA-4455-985C-003D00D7006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E00B4-00D6-4DBD-B84E-00A400E5007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D00013-00F9-4BCF-93C4-00380099000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80094-0055-4791-B32B-00EB00A500A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7" activeCellId="0" sqref="G7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155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20" si="799">C3*D3</f>
        <v>1301570.1264771565</v>
      </c>
      <c r="F3" s="13">
        <v>168589</v>
      </c>
      <c r="G3" s="44">
        <v>0</v>
      </c>
      <c r="H3" s="13">
        <v>56739</v>
      </c>
      <c r="I3" s="16">
        <f t="shared" ref="I3:I20" si="800">F3+H3</f>
        <v>225328</v>
      </c>
      <c r="J3" s="17">
        <f t="shared" ref="J3:J20" si="801">C3-G3</f>
        <v>450000</v>
      </c>
      <c r="K3" s="18">
        <f t="shared" ref="K3:K19" si="802">+G3*D3</f>
        <v>0</v>
      </c>
      <c r="L3" s="19">
        <f t="shared" ref="L3:L11" si="803">K3/E3</f>
        <v>0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804">M3+N3+O3+P3+Q3</f>
        <v>410559</v>
      </c>
      <c r="S3" s="35">
        <f t="shared" ref="S3:S21" si="805">G3+I3+R3</f>
        <v>635887</v>
      </c>
      <c r="T3" s="35">
        <f t="shared" ref="T3:T20" si="806">S3-C3</f>
        <v>185887</v>
      </c>
      <c r="U3" s="19">
        <f t="shared" ref="U3:U20" si="807">S3/C3</f>
        <v>1.4130822222222221</v>
      </c>
    </row>
    <row r="4">
      <c r="A4" s="9" t="s">
        <v>22</v>
      </c>
      <c r="B4" s="9" t="s">
        <v>23</v>
      </c>
      <c r="C4" s="14">
        <v>700807</v>
      </c>
      <c r="D4" s="50">
        <v>1.3029343529557731</v>
      </c>
      <c r="E4" s="14">
        <f t="shared" si="799"/>
        <v>913105.5150918765</v>
      </c>
      <c r="F4" s="13">
        <v>0</v>
      </c>
      <c r="G4" s="13">
        <v>61518</v>
      </c>
      <c r="H4" s="13">
        <v>0</v>
      </c>
      <c r="I4" s="16">
        <f t="shared" si="800"/>
        <v>0</v>
      </c>
      <c r="J4" s="17">
        <f t="shared" si="801"/>
        <v>639289</v>
      </c>
      <c r="K4" s="18">
        <f t="shared" si="802"/>
        <v>80153.915525133256</v>
      </c>
      <c r="L4" s="19">
        <f t="shared" si="803"/>
        <v>0.087781657432074736</v>
      </c>
      <c r="M4" s="34">
        <v>61518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04"/>
        <v>774470</v>
      </c>
      <c r="S4" s="35">
        <f t="shared" si="805"/>
        <v>835988</v>
      </c>
      <c r="T4" s="35">
        <f t="shared" si="806"/>
        <v>135181</v>
      </c>
      <c r="U4" s="19">
        <f t="shared" si="807"/>
        <v>1.1928933358256981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99"/>
        <v>0</v>
      </c>
      <c r="F5" s="13">
        <v>0</v>
      </c>
      <c r="G5" s="13">
        <v>0</v>
      </c>
      <c r="H5" s="13">
        <v>0</v>
      </c>
      <c r="I5" s="16">
        <f t="shared" si="800"/>
        <v>0</v>
      </c>
      <c r="J5" s="17">
        <f t="shared" si="801"/>
        <v>0</v>
      </c>
      <c r="K5" s="18">
        <f t="shared" si="80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04"/>
        <v>0</v>
      </c>
      <c r="S5" s="35">
        <f t="shared" si="805"/>
        <v>0</v>
      </c>
      <c r="T5" s="35">
        <f t="shared" si="806"/>
        <v>0</v>
      </c>
      <c r="U5" s="19" t="e">
        <f t="shared" si="807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799"/>
        <v>396259.25229770731</v>
      </c>
      <c r="F6" s="13">
        <v>0</v>
      </c>
      <c r="G6" s="44">
        <v>0</v>
      </c>
      <c r="H6" s="44">
        <v>132877</v>
      </c>
      <c r="I6" s="16">
        <f t="shared" si="800"/>
        <v>132877</v>
      </c>
      <c r="J6" s="17">
        <f t="shared" si="801"/>
        <v>346675</v>
      </c>
      <c r="K6" s="18">
        <f t="shared" si="802"/>
        <v>0</v>
      </c>
      <c r="L6" s="19">
        <f t="shared" si="803"/>
        <v>0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804"/>
        <v>285490</v>
      </c>
      <c r="S6" s="35">
        <f t="shared" si="805"/>
        <v>418367</v>
      </c>
      <c r="T6" s="35">
        <f t="shared" si="806"/>
        <v>71692</v>
      </c>
      <c r="U6" s="19">
        <f t="shared" si="807"/>
        <v>1.2067988750270426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799"/>
        <v>127089.15534221899</v>
      </c>
      <c r="F7" s="13">
        <v>0</v>
      </c>
      <c r="G7" s="44">
        <v>118800</v>
      </c>
      <c r="H7" s="13">
        <v>289198</v>
      </c>
      <c r="I7" s="16">
        <f t="shared" si="800"/>
        <v>289198</v>
      </c>
      <c r="J7" s="17">
        <f t="shared" si="801"/>
        <v>81584</v>
      </c>
      <c r="K7" s="18">
        <f t="shared" si="802"/>
        <v>75346.293389969331</v>
      </c>
      <c r="L7" s="19">
        <f t="shared" si="803"/>
        <v>0.59286170552539119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04"/>
        <v>0</v>
      </c>
      <c r="S7" s="35">
        <f t="shared" si="805"/>
        <v>407998</v>
      </c>
      <c r="T7" s="35">
        <f t="shared" si="806"/>
        <v>207614</v>
      </c>
      <c r="U7" s="19">
        <f t="shared" si="807"/>
        <v>2.0360807250079849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799"/>
        <v>325168.26353207661</v>
      </c>
      <c r="F8" s="44">
        <v>0</v>
      </c>
      <c r="G8" s="13">
        <v>62560</v>
      </c>
      <c r="H8" s="44">
        <v>62560</v>
      </c>
      <c r="I8" s="16">
        <f t="shared" si="800"/>
        <v>62560</v>
      </c>
      <c r="J8" s="17">
        <f t="shared" si="801"/>
        <v>301355</v>
      </c>
      <c r="K8" s="18">
        <f t="shared" si="802"/>
        <v>55899.115360913158</v>
      </c>
      <c r="L8" s="19">
        <f t="shared" si="803"/>
        <v>0.17190827528406358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804"/>
        <v>525036</v>
      </c>
      <c r="S8" s="35">
        <f t="shared" si="805"/>
        <v>650156</v>
      </c>
      <c r="T8" s="35">
        <f t="shared" si="806"/>
        <v>286241</v>
      </c>
      <c r="U8" s="19">
        <f t="shared" si="807"/>
        <v>1.7865600483629418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799"/>
        <v>87015.320392365335</v>
      </c>
      <c r="F9" s="13">
        <v>133075</v>
      </c>
      <c r="G9" s="13">
        <v>0</v>
      </c>
      <c r="H9" s="13">
        <v>0</v>
      </c>
      <c r="I9" s="16">
        <f t="shared" si="800"/>
        <v>133075</v>
      </c>
      <c r="J9" s="17">
        <f t="shared" si="801"/>
        <v>81450</v>
      </c>
      <c r="K9" s="18">
        <f t="shared" si="802"/>
        <v>0</v>
      </c>
      <c r="L9" s="19">
        <f t="shared" si="803"/>
        <v>0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04"/>
        <v>0</v>
      </c>
      <c r="S9" s="35">
        <f t="shared" si="805"/>
        <v>133075</v>
      </c>
      <c r="T9" s="35">
        <f t="shared" si="806"/>
        <v>51625</v>
      </c>
      <c r="U9" s="19">
        <f t="shared" si="807"/>
        <v>1.6338244321669737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799"/>
        <v>841835.08682919282</v>
      </c>
      <c r="F10" s="13">
        <v>0</v>
      </c>
      <c r="G10" s="13">
        <v>0</v>
      </c>
      <c r="H10" s="13">
        <v>0</v>
      </c>
      <c r="I10" s="16">
        <f t="shared" si="800"/>
        <v>0</v>
      </c>
      <c r="J10" s="17">
        <f t="shared" si="801"/>
        <v>388000</v>
      </c>
      <c r="K10" s="18">
        <f t="shared" si="802"/>
        <v>0</v>
      </c>
      <c r="L10" s="19">
        <f t="shared" si="803"/>
        <v>0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04"/>
        <v>230838</v>
      </c>
      <c r="S10" s="35">
        <f t="shared" si="805"/>
        <v>230838</v>
      </c>
      <c r="T10" s="35">
        <f t="shared" si="806"/>
        <v>-157162</v>
      </c>
      <c r="U10" s="19">
        <f t="shared" si="807"/>
        <v>0.59494329896907217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799"/>
        <v>0</v>
      </c>
      <c r="F11" s="13">
        <v>0</v>
      </c>
      <c r="G11" s="13">
        <v>0</v>
      </c>
      <c r="H11" s="13">
        <v>0</v>
      </c>
      <c r="I11" s="16">
        <f t="shared" si="800"/>
        <v>0</v>
      </c>
      <c r="J11" s="17">
        <f t="shared" si="801"/>
        <v>0</v>
      </c>
      <c r="K11" s="18">
        <f t="shared" si="802"/>
        <v>0</v>
      </c>
      <c r="L11" s="19" t="e">
        <f t="shared" si="803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04"/>
        <v>0</v>
      </c>
      <c r="S11" s="35">
        <f t="shared" si="805"/>
        <v>0</v>
      </c>
      <c r="T11" s="35">
        <f t="shared" si="806"/>
        <v>0</v>
      </c>
      <c r="U11" s="19" t="e">
        <f t="shared" si="80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99"/>
        <v>0</v>
      </c>
      <c r="F12" s="13">
        <v>0</v>
      </c>
      <c r="G12" s="13">
        <v>0</v>
      </c>
      <c r="H12" s="13">
        <v>0</v>
      </c>
      <c r="I12" s="16">
        <f t="shared" si="800"/>
        <v>0</v>
      </c>
      <c r="J12" s="17">
        <f t="shared" si="80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04"/>
        <v>0</v>
      </c>
      <c r="S12" s="35">
        <f t="shared" si="805"/>
        <v>0</v>
      </c>
      <c r="T12" s="35">
        <f t="shared" si="806"/>
        <v>0</v>
      </c>
      <c r="U12" s="19" t="e">
        <f t="shared" si="807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799"/>
        <v>432952.93823675375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01"/>
        <v>66540</v>
      </c>
      <c r="K13" s="18">
        <f t="shared" si="802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04"/>
        <v>0</v>
      </c>
      <c r="S13" s="35">
        <f t="shared" si="805"/>
        <v>33460</v>
      </c>
      <c r="T13" s="35">
        <f t="shared" si="806"/>
        <v>-66540</v>
      </c>
      <c r="U13" s="19">
        <f t="shared" si="807"/>
        <v>0.33460000000000001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799"/>
        <v>138900</v>
      </c>
      <c r="F14" s="13">
        <v>0</v>
      </c>
      <c r="G14" s="13">
        <v>0</v>
      </c>
      <c r="H14" s="13">
        <v>0</v>
      </c>
      <c r="I14" s="16">
        <f t="shared" si="800"/>
        <v>0</v>
      </c>
      <c r="J14" s="17">
        <f t="shared" si="801"/>
        <v>15000</v>
      </c>
      <c r="K14" s="18">
        <f t="shared" si="80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04"/>
        <v>0</v>
      </c>
      <c r="S14" s="35">
        <f t="shared" si="805"/>
        <v>0</v>
      </c>
      <c r="T14" s="35">
        <f t="shared" si="806"/>
        <v>-15000</v>
      </c>
      <c r="U14" s="19">
        <f t="shared" si="807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799"/>
        <v>89388.782058969489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01"/>
        <v>10000</v>
      </c>
      <c r="K15" s="18">
        <f t="shared" si="80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04"/>
        <v>0</v>
      </c>
      <c r="S15" s="35">
        <f t="shared" si="805"/>
        <v>0</v>
      </c>
      <c r="T15" s="35">
        <f t="shared" si="806"/>
        <v>-10000</v>
      </c>
      <c r="U15" s="19">
        <f t="shared" si="807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799"/>
        <v>0</v>
      </c>
      <c r="F16" s="13">
        <v>0</v>
      </c>
      <c r="G16" s="13">
        <v>0</v>
      </c>
      <c r="H16" s="13">
        <v>0</v>
      </c>
      <c r="I16" s="16">
        <f t="shared" si="800"/>
        <v>0</v>
      </c>
      <c r="J16" s="17">
        <f t="shared" si="801"/>
        <v>0</v>
      </c>
      <c r="K16" s="18">
        <f t="shared" ref="K16:K18" si="808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04"/>
        <v>72973</v>
      </c>
      <c r="S16" s="35">
        <f t="shared" si="805"/>
        <v>72973</v>
      </c>
      <c r="T16" s="35">
        <f t="shared" si="806"/>
        <v>72973</v>
      </c>
      <c r="U16" s="19" t="e">
        <f t="shared" si="807"/>
        <v>#DIV/0!</v>
      </c>
    </row>
    <row r="17">
      <c r="A17" s="62" t="s">
        <v>150</v>
      </c>
      <c r="B17" s="63" t="s">
        <v>151</v>
      </c>
      <c r="C17" s="14"/>
      <c r="D17" s="11">
        <v>6.7956857705540301</v>
      </c>
      <c r="E17" s="12"/>
      <c r="F17" s="13">
        <v>0</v>
      </c>
      <c r="G17" s="13">
        <v>0</v>
      </c>
      <c r="H17" s="13">
        <v>0</v>
      </c>
      <c r="I17" s="16">
        <f t="shared" si="800"/>
        <v>0</v>
      </c>
      <c r="J17" s="17"/>
      <c r="K17" s="18">
        <f t="shared" si="808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/>
      <c r="D18" s="11">
        <v>10.033574703112851</v>
      </c>
      <c r="E18" s="12"/>
      <c r="F18" s="13">
        <v>0</v>
      </c>
      <c r="G18" s="13">
        <v>0</v>
      </c>
      <c r="H18" s="13">
        <v>0</v>
      </c>
      <c r="I18" s="16">
        <f t="shared" si="800"/>
        <v>0</v>
      </c>
      <c r="J18" s="17"/>
      <c r="K18" s="18">
        <f t="shared" si="808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799"/>
        <v>0</v>
      </c>
      <c r="F19" s="13">
        <v>0</v>
      </c>
      <c r="G19" s="13">
        <v>0</v>
      </c>
      <c r="H19" s="13">
        <v>0</v>
      </c>
      <c r="I19" s="16">
        <f t="shared" si="800"/>
        <v>0</v>
      </c>
      <c r="J19" s="17">
        <f t="shared" si="801"/>
        <v>0</v>
      </c>
      <c r="K19" s="18">
        <f t="shared" si="80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04"/>
        <v>0</v>
      </c>
      <c r="S19" s="35">
        <f t="shared" si="805"/>
        <v>0</v>
      </c>
      <c r="T19" s="35">
        <f t="shared" si="806"/>
        <v>0</v>
      </c>
      <c r="U19" s="19" t="e">
        <f t="shared" si="807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799"/>
        <v>0</v>
      </c>
      <c r="F20" s="13">
        <v>0</v>
      </c>
      <c r="G20" s="13">
        <v>0</v>
      </c>
      <c r="H20" s="13">
        <v>0</v>
      </c>
      <c r="I20" s="16">
        <f t="shared" si="800"/>
        <v>0</v>
      </c>
      <c r="J20" s="17">
        <f t="shared" si="801"/>
        <v>0</v>
      </c>
      <c r="K20" s="18">
        <f>+G20*D20</f>
        <v>0</v>
      </c>
      <c r="L20" s="19" t="e">
        <f t="shared" ref="L20:L21" si="809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04"/>
        <v>0</v>
      </c>
      <c r="S20" s="35">
        <f t="shared" si="805"/>
        <v>0</v>
      </c>
      <c r="T20" s="35">
        <f t="shared" si="806"/>
        <v>0</v>
      </c>
      <c r="U20" s="19" t="e">
        <f t="shared" si="807"/>
        <v>#DIV/0!</v>
      </c>
    </row>
    <row r="21" ht="16.5">
      <c r="A21" s="21" t="s">
        <v>50</v>
      </c>
      <c r="B21" s="21"/>
      <c r="C21" s="36">
        <f>SUM(C3:C20)</f>
        <v>2656231</v>
      </c>
      <c r="D21" s="23"/>
      <c r="E21" s="22">
        <f t="shared" ref="E21:K21" si="810">SUM(E3:E20)</f>
        <v>4653284.4402583167</v>
      </c>
      <c r="F21" s="24">
        <f t="shared" si="810"/>
        <v>301664</v>
      </c>
      <c r="G21" s="24">
        <f t="shared" si="810"/>
        <v>276338</v>
      </c>
      <c r="H21" s="24">
        <f t="shared" si="810"/>
        <v>541374</v>
      </c>
      <c r="I21" s="25">
        <f t="shared" si="810"/>
        <v>843038</v>
      </c>
      <c r="J21" s="26">
        <f t="shared" si="810"/>
        <v>2379893</v>
      </c>
      <c r="K21" s="26">
        <f t="shared" si="810"/>
        <v>356265.37741003354</v>
      </c>
      <c r="L21" s="27">
        <f t="shared" si="809"/>
        <v>0.076562131970221076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04"/>
        <v>0</v>
      </c>
      <c r="S21" s="35">
        <f t="shared" si="805"/>
        <v>1119376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470059-009B-46CB-86BF-006900D1002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DC00CB-0089-4DD3-9FF7-00D500FD008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A300C2-00CF-4DFD-91C5-00BC0003002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2F00FE-008D-4102-9EE2-00F900AD007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830072-000A-4203-B982-00B10068005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F300B7-008C-40D1-BBE5-00C00047000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B70030-00A7-4743-B1B4-00E50073008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150086-00BC-43B6-963D-00BD0029005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900AA-00B2-4642-A9B8-00400037002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600BE-00DB-45F6-810C-0024006A00F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9E0049-0042-414A-81E6-001200A3004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E60037-007A-48C2-AED8-00F40006006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7" activeCellId="0" sqref="G7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133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156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450000</v>
      </c>
      <c r="D3" s="11">
        <v>2.8923780588381258</v>
      </c>
      <c r="E3" s="12">
        <f t="shared" ref="E3:E20" si="811">C3*D3</f>
        <v>1301570.1264771565</v>
      </c>
      <c r="F3" s="13">
        <v>111595</v>
      </c>
      <c r="G3" s="44">
        <v>56739</v>
      </c>
      <c r="H3" s="13">
        <v>149056</v>
      </c>
      <c r="I3" s="16">
        <f t="shared" ref="I3:I20" si="812">F3+H3</f>
        <v>260651</v>
      </c>
      <c r="J3" s="17">
        <f t="shared" ref="J3:J20" si="813">C3-G3</f>
        <v>393261</v>
      </c>
      <c r="K3" s="18">
        <f t="shared" ref="K3:K19" si="814">+G3*D3</f>
        <v>164110.63868041642</v>
      </c>
      <c r="L3" s="19">
        <f t="shared" ref="L3:L11" si="815">K3/E3</f>
        <v>0.12608666666666668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816">M3+N3+O3+P3+Q3</f>
        <v>410559</v>
      </c>
      <c r="S3" s="35">
        <f t="shared" ref="S3:S21" si="817">G3+I3+R3</f>
        <v>727949</v>
      </c>
      <c r="T3" s="35">
        <f t="shared" ref="T3:T20" si="818">S3-C3</f>
        <v>277949</v>
      </c>
      <c r="U3" s="19">
        <f t="shared" ref="U3:U20" si="819">S3/C3</f>
        <v>1.6176644444444443</v>
      </c>
    </row>
    <row r="4">
      <c r="A4" s="9" t="s">
        <v>22</v>
      </c>
      <c r="B4" s="9" t="s">
        <v>23</v>
      </c>
      <c r="C4" s="14">
        <v>700807</v>
      </c>
      <c r="D4" s="50">
        <v>1.3029343529557731</v>
      </c>
      <c r="E4" s="14">
        <f t="shared" si="811"/>
        <v>913105.5150918765</v>
      </c>
      <c r="F4" s="13">
        <v>0</v>
      </c>
      <c r="G4" s="13">
        <v>61518</v>
      </c>
      <c r="H4" s="13">
        <v>0</v>
      </c>
      <c r="I4" s="16">
        <f t="shared" si="812"/>
        <v>0</v>
      </c>
      <c r="J4" s="17">
        <f t="shared" si="813"/>
        <v>639289</v>
      </c>
      <c r="K4" s="18">
        <f t="shared" si="814"/>
        <v>80153.915525133256</v>
      </c>
      <c r="L4" s="19">
        <f t="shared" si="815"/>
        <v>0.087781657432074736</v>
      </c>
      <c r="M4" s="34">
        <v>0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16"/>
        <v>712952</v>
      </c>
      <c r="S4" s="35">
        <f t="shared" si="817"/>
        <v>774470</v>
      </c>
      <c r="T4" s="35">
        <f t="shared" si="818"/>
        <v>73663</v>
      </c>
      <c r="U4" s="19">
        <f t="shared" si="819"/>
        <v>1.1051116783936235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11"/>
        <v>0</v>
      </c>
      <c r="F5" s="13">
        <v>0</v>
      </c>
      <c r="G5" s="13">
        <v>0</v>
      </c>
      <c r="H5" s="13">
        <v>0</v>
      </c>
      <c r="I5" s="16">
        <f t="shared" si="812"/>
        <v>0</v>
      </c>
      <c r="J5" s="17">
        <f t="shared" si="813"/>
        <v>0</v>
      </c>
      <c r="K5" s="18">
        <f t="shared" si="81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16"/>
        <v>0</v>
      </c>
      <c r="S5" s="35">
        <f t="shared" si="817"/>
        <v>0</v>
      </c>
      <c r="T5" s="35">
        <f t="shared" si="818"/>
        <v>0</v>
      </c>
      <c r="U5" s="19" t="e">
        <f t="shared" si="819"/>
        <v>#DIV/0!</v>
      </c>
    </row>
    <row r="6">
      <c r="A6" s="9" t="s">
        <v>26</v>
      </c>
      <c r="B6" s="9" t="s">
        <v>27</v>
      </c>
      <c r="C6" s="14">
        <v>346675</v>
      </c>
      <c r="D6" s="11">
        <v>1.1430280588381259</v>
      </c>
      <c r="E6" s="12">
        <f t="shared" si="811"/>
        <v>396259.25229770731</v>
      </c>
      <c r="F6" s="13">
        <v>0</v>
      </c>
      <c r="G6" s="44">
        <v>132877</v>
      </c>
      <c r="H6" s="44">
        <v>0</v>
      </c>
      <c r="I6" s="16">
        <f t="shared" si="812"/>
        <v>0</v>
      </c>
      <c r="J6" s="17">
        <f t="shared" si="813"/>
        <v>213798</v>
      </c>
      <c r="K6" s="18">
        <f t="shared" si="814"/>
        <v>151882.13937423364</v>
      </c>
      <c r="L6" s="19">
        <f t="shared" si="815"/>
        <v>0.38328982476382772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816"/>
        <v>285490</v>
      </c>
      <c r="S6" s="35">
        <f t="shared" si="817"/>
        <v>418367</v>
      </c>
      <c r="T6" s="35">
        <f t="shared" si="818"/>
        <v>71692</v>
      </c>
      <c r="U6" s="19">
        <f t="shared" si="819"/>
        <v>1.2067988750270426</v>
      </c>
    </row>
    <row r="7">
      <c r="A7" s="9" t="s">
        <v>28</v>
      </c>
      <c r="B7" s="9" t="s">
        <v>29</v>
      </c>
      <c r="C7" s="14">
        <v>200384</v>
      </c>
      <c r="D7" s="11">
        <v>0.63422805883812572</v>
      </c>
      <c r="E7" s="12">
        <f t="shared" si="811"/>
        <v>127089.15534221899</v>
      </c>
      <c r="F7" s="13">
        <v>0</v>
      </c>
      <c r="G7" s="44">
        <v>170398</v>
      </c>
      <c r="H7" s="13">
        <v>237600</v>
      </c>
      <c r="I7" s="16">
        <f t="shared" si="812"/>
        <v>237600</v>
      </c>
      <c r="J7" s="17">
        <f t="shared" si="813"/>
        <v>29986</v>
      </c>
      <c r="K7" s="18">
        <f t="shared" si="814"/>
        <v>108071.19276989895</v>
      </c>
      <c r="L7" s="19">
        <f t="shared" si="815"/>
        <v>0.85035731395720215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16"/>
        <v>0</v>
      </c>
      <c r="S7" s="35">
        <f t="shared" si="817"/>
        <v>407998</v>
      </c>
      <c r="T7" s="35">
        <f t="shared" si="818"/>
        <v>207614</v>
      </c>
      <c r="U7" s="19">
        <f t="shared" si="819"/>
        <v>2.0360807250079849</v>
      </c>
    </row>
    <row r="8">
      <c r="A8" s="9" t="s">
        <v>30</v>
      </c>
      <c r="B8" s="9" t="s">
        <v>31</v>
      </c>
      <c r="C8" s="14">
        <v>363915</v>
      </c>
      <c r="D8" s="50">
        <v>0.89352805883812592</v>
      </c>
      <c r="E8" s="14">
        <f t="shared" si="811"/>
        <v>325168.26353207661</v>
      </c>
      <c r="F8" s="44">
        <v>0</v>
      </c>
      <c r="G8" s="13">
        <v>125120</v>
      </c>
      <c r="H8" s="44">
        <v>0</v>
      </c>
      <c r="I8" s="16">
        <f t="shared" si="812"/>
        <v>0</v>
      </c>
      <c r="J8" s="17">
        <f t="shared" si="813"/>
        <v>238795</v>
      </c>
      <c r="K8" s="18">
        <f t="shared" si="814"/>
        <v>111798.23072182632</v>
      </c>
      <c r="L8" s="19">
        <f t="shared" si="815"/>
        <v>0.34381655056812715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816"/>
        <v>525036</v>
      </c>
      <c r="S8" s="35">
        <f t="shared" si="817"/>
        <v>650156</v>
      </c>
      <c r="T8" s="35">
        <f t="shared" si="818"/>
        <v>286241</v>
      </c>
      <c r="U8" s="19">
        <f t="shared" si="819"/>
        <v>1.7865600483629418</v>
      </c>
    </row>
    <row r="9">
      <c r="A9" s="9" t="s">
        <v>32</v>
      </c>
      <c r="B9" s="9" t="s">
        <v>33</v>
      </c>
      <c r="C9" s="14">
        <v>81450</v>
      </c>
      <c r="D9" s="11">
        <v>1.0683280588381256</v>
      </c>
      <c r="E9" s="12">
        <f t="shared" si="811"/>
        <v>87015.320392365335</v>
      </c>
      <c r="F9" s="13">
        <v>70075</v>
      </c>
      <c r="G9" s="13">
        <v>0</v>
      </c>
      <c r="H9" s="13">
        <v>63000</v>
      </c>
      <c r="I9" s="16">
        <f t="shared" si="812"/>
        <v>133075</v>
      </c>
      <c r="J9" s="17">
        <f t="shared" si="813"/>
        <v>81450</v>
      </c>
      <c r="K9" s="18">
        <f t="shared" si="814"/>
        <v>0</v>
      </c>
      <c r="L9" s="19">
        <f t="shared" si="815"/>
        <v>0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16"/>
        <v>0</v>
      </c>
      <c r="S9" s="35">
        <f t="shared" si="817"/>
        <v>133075</v>
      </c>
      <c r="T9" s="35">
        <f t="shared" si="818"/>
        <v>51625</v>
      </c>
      <c r="U9" s="19">
        <f t="shared" si="819"/>
        <v>1.6338244321669737</v>
      </c>
    </row>
    <row r="10">
      <c r="A10" s="9" t="s">
        <v>34</v>
      </c>
      <c r="B10" s="9" t="s">
        <v>35</v>
      </c>
      <c r="C10" s="14">
        <v>388000</v>
      </c>
      <c r="D10" s="11">
        <v>2.1696780588381257</v>
      </c>
      <c r="E10" s="12">
        <f t="shared" si="811"/>
        <v>841835.08682919282</v>
      </c>
      <c r="F10" s="13">
        <v>0</v>
      </c>
      <c r="G10" s="13">
        <v>0</v>
      </c>
      <c r="H10" s="13">
        <v>0</v>
      </c>
      <c r="I10" s="16">
        <f t="shared" si="812"/>
        <v>0</v>
      </c>
      <c r="J10" s="17">
        <f t="shared" si="813"/>
        <v>388000</v>
      </c>
      <c r="K10" s="18">
        <f t="shared" si="814"/>
        <v>0</v>
      </c>
      <c r="L10" s="19">
        <f t="shared" si="815"/>
        <v>0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16"/>
        <v>230838</v>
      </c>
      <c r="S10" s="35">
        <f t="shared" si="817"/>
        <v>230838</v>
      </c>
      <c r="T10" s="35">
        <f t="shared" si="818"/>
        <v>-157162</v>
      </c>
      <c r="U10" s="19">
        <f t="shared" si="819"/>
        <v>0.59494329896907217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11"/>
        <v>0</v>
      </c>
      <c r="F11" s="13">
        <v>0</v>
      </c>
      <c r="G11" s="13">
        <v>0</v>
      </c>
      <c r="H11" s="13">
        <v>0</v>
      </c>
      <c r="I11" s="16">
        <f t="shared" si="812"/>
        <v>0</v>
      </c>
      <c r="J11" s="17">
        <f t="shared" si="813"/>
        <v>0</v>
      </c>
      <c r="K11" s="18">
        <f t="shared" si="814"/>
        <v>0</v>
      </c>
      <c r="L11" s="19" t="e">
        <f t="shared" si="815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16"/>
        <v>0</v>
      </c>
      <c r="S11" s="35">
        <f t="shared" si="817"/>
        <v>0</v>
      </c>
      <c r="T11" s="35">
        <f t="shared" si="818"/>
        <v>0</v>
      </c>
      <c r="U11" s="19" t="e">
        <f t="shared" si="81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11"/>
        <v>0</v>
      </c>
      <c r="F12" s="13">
        <v>0</v>
      </c>
      <c r="G12" s="13">
        <v>0</v>
      </c>
      <c r="H12" s="13">
        <v>0</v>
      </c>
      <c r="I12" s="16">
        <f t="shared" si="812"/>
        <v>0</v>
      </c>
      <c r="J12" s="17">
        <f t="shared" si="81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16"/>
        <v>0</v>
      </c>
      <c r="S12" s="35">
        <f t="shared" si="817"/>
        <v>0</v>
      </c>
      <c r="T12" s="35">
        <f t="shared" si="818"/>
        <v>0</v>
      </c>
      <c r="U12" s="19" t="e">
        <f t="shared" si="819"/>
        <v>#DIV/0!</v>
      </c>
    </row>
    <row r="13">
      <c r="A13" s="9" t="s">
        <v>40</v>
      </c>
      <c r="B13" s="9" t="s">
        <v>41</v>
      </c>
      <c r="C13" s="14">
        <v>100000</v>
      </c>
      <c r="D13" s="11">
        <v>4.3295293823675376</v>
      </c>
      <c r="E13" s="12">
        <f t="shared" si="811"/>
        <v>432952.93823675375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13"/>
        <v>66540</v>
      </c>
      <c r="K13" s="18">
        <f t="shared" si="814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16"/>
        <v>0</v>
      </c>
      <c r="S13" s="35">
        <f t="shared" si="817"/>
        <v>33460</v>
      </c>
      <c r="T13" s="35">
        <f t="shared" si="818"/>
        <v>-66540</v>
      </c>
      <c r="U13" s="19">
        <f t="shared" si="819"/>
        <v>0.33460000000000001</v>
      </c>
    </row>
    <row r="14">
      <c r="A14" s="56">
        <v>60000000032802</v>
      </c>
      <c r="B14" s="9" t="s">
        <v>113</v>
      </c>
      <c r="C14" s="14">
        <v>15000</v>
      </c>
      <c r="D14" s="11">
        <v>9.2599999999999998</v>
      </c>
      <c r="E14" s="12">
        <f t="shared" si="811"/>
        <v>138900</v>
      </c>
      <c r="F14" s="13">
        <v>0</v>
      </c>
      <c r="G14" s="13">
        <v>0</v>
      </c>
      <c r="H14" s="13">
        <v>0</v>
      </c>
      <c r="I14" s="16">
        <f t="shared" si="812"/>
        <v>0</v>
      </c>
      <c r="J14" s="17">
        <f t="shared" si="813"/>
        <v>15000</v>
      </c>
      <c r="K14" s="18">
        <f t="shared" si="81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16"/>
        <v>0</v>
      </c>
      <c r="S14" s="35">
        <f t="shared" si="817"/>
        <v>0</v>
      </c>
      <c r="T14" s="35">
        <f t="shared" si="818"/>
        <v>-15000</v>
      </c>
      <c r="U14" s="19">
        <f t="shared" si="819"/>
        <v>0</v>
      </c>
    </row>
    <row r="15">
      <c r="A15" s="9" t="s">
        <v>42</v>
      </c>
      <c r="B15" s="9" t="s">
        <v>43</v>
      </c>
      <c r="C15" s="14">
        <v>10000</v>
      </c>
      <c r="D15" s="11">
        <v>8.9388782058969483</v>
      </c>
      <c r="E15" s="12">
        <f t="shared" si="811"/>
        <v>89388.782058969489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13"/>
        <v>10000</v>
      </c>
      <c r="K15" s="18">
        <f t="shared" si="81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16"/>
        <v>0</v>
      </c>
      <c r="S15" s="35">
        <f t="shared" si="817"/>
        <v>0</v>
      </c>
      <c r="T15" s="35">
        <f t="shared" si="818"/>
        <v>-10000</v>
      </c>
      <c r="U15" s="19">
        <f t="shared" si="819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811"/>
        <v>0</v>
      </c>
      <c r="F16" s="13">
        <v>0</v>
      </c>
      <c r="G16" s="13">
        <v>0</v>
      </c>
      <c r="H16" s="13">
        <v>0</v>
      </c>
      <c r="I16" s="16">
        <f t="shared" si="812"/>
        <v>0</v>
      </c>
      <c r="J16" s="17">
        <f t="shared" si="813"/>
        <v>0</v>
      </c>
      <c r="K16" s="18">
        <f t="shared" ref="K16:K18" si="820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16"/>
        <v>72973</v>
      </c>
      <c r="S16" s="35">
        <f t="shared" si="817"/>
        <v>72973</v>
      </c>
      <c r="T16" s="35">
        <f t="shared" si="818"/>
        <v>72973</v>
      </c>
      <c r="U16" s="19" t="e">
        <f t="shared" si="819"/>
        <v>#DIV/0!</v>
      </c>
    </row>
    <row r="17">
      <c r="A17" s="62" t="s">
        <v>150</v>
      </c>
      <c r="B17" s="63" t="s">
        <v>151</v>
      </c>
      <c r="C17" s="14"/>
      <c r="D17" s="11">
        <v>6.7956857705540301</v>
      </c>
      <c r="E17" s="12"/>
      <c r="F17" s="13">
        <v>0</v>
      </c>
      <c r="G17" s="13">
        <v>0</v>
      </c>
      <c r="H17" s="13">
        <v>0</v>
      </c>
      <c r="I17" s="16">
        <f t="shared" si="812"/>
        <v>0</v>
      </c>
      <c r="J17" s="17"/>
      <c r="K17" s="18">
        <f t="shared" si="820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/>
      <c r="D18" s="11">
        <v>10.033574703112851</v>
      </c>
      <c r="E18" s="12"/>
      <c r="F18" s="13">
        <v>0</v>
      </c>
      <c r="G18" s="13">
        <v>0</v>
      </c>
      <c r="H18" s="13">
        <v>0</v>
      </c>
      <c r="I18" s="16">
        <f t="shared" si="812"/>
        <v>0</v>
      </c>
      <c r="J18" s="17"/>
      <c r="K18" s="18">
        <f t="shared" si="820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11"/>
        <v>0</v>
      </c>
      <c r="F19" s="13">
        <v>0</v>
      </c>
      <c r="G19" s="13">
        <v>0</v>
      </c>
      <c r="H19" s="13">
        <v>0</v>
      </c>
      <c r="I19" s="16">
        <f t="shared" si="812"/>
        <v>0</v>
      </c>
      <c r="J19" s="17">
        <f t="shared" si="813"/>
        <v>0</v>
      </c>
      <c r="K19" s="18">
        <f t="shared" si="81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16"/>
        <v>0</v>
      </c>
      <c r="S19" s="35">
        <f t="shared" si="817"/>
        <v>0</v>
      </c>
      <c r="T19" s="35">
        <f t="shared" si="818"/>
        <v>0</v>
      </c>
      <c r="U19" s="19" t="e">
        <f t="shared" si="819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11"/>
        <v>0</v>
      </c>
      <c r="F20" s="13">
        <v>0</v>
      </c>
      <c r="G20" s="13">
        <v>0</v>
      </c>
      <c r="H20" s="13">
        <v>0</v>
      </c>
      <c r="I20" s="16">
        <f t="shared" si="812"/>
        <v>0</v>
      </c>
      <c r="J20" s="17">
        <f t="shared" si="813"/>
        <v>0</v>
      </c>
      <c r="K20" s="18">
        <f>+G20*D20</f>
        <v>0</v>
      </c>
      <c r="L20" s="19" t="e">
        <f t="shared" ref="L20:L21" si="821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16"/>
        <v>0</v>
      </c>
      <c r="S20" s="35">
        <f t="shared" si="817"/>
        <v>0</v>
      </c>
      <c r="T20" s="35">
        <f t="shared" si="818"/>
        <v>0</v>
      </c>
      <c r="U20" s="19" t="e">
        <f t="shared" si="819"/>
        <v>#DIV/0!</v>
      </c>
    </row>
    <row r="21" ht="16.5">
      <c r="A21" s="21" t="s">
        <v>50</v>
      </c>
      <c r="B21" s="21"/>
      <c r="C21" s="36">
        <f>SUM(C3:C20)</f>
        <v>2656231</v>
      </c>
      <c r="D21" s="23"/>
      <c r="E21" s="22">
        <f t="shared" ref="E21:K21" si="822">SUM(E3:E20)</f>
        <v>4653284.4402583167</v>
      </c>
      <c r="F21" s="24">
        <f t="shared" si="822"/>
        <v>181670</v>
      </c>
      <c r="G21" s="24">
        <f t="shared" si="822"/>
        <v>580112</v>
      </c>
      <c r="H21" s="24">
        <f t="shared" si="822"/>
        <v>449656</v>
      </c>
      <c r="I21" s="25">
        <f t="shared" si="822"/>
        <v>631326</v>
      </c>
      <c r="J21" s="26">
        <f t="shared" si="822"/>
        <v>2076119</v>
      </c>
      <c r="K21" s="26">
        <f t="shared" si="822"/>
        <v>760882.17020552629</v>
      </c>
      <c r="L21" s="27">
        <f t="shared" si="821"/>
        <v>0.16351507842991167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16"/>
        <v>0</v>
      </c>
      <c r="S21" s="35">
        <f t="shared" si="817"/>
        <v>1211438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3003D-00B7-4729-A3FB-000D007700B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8B009E-00AB-413C-B3F3-00ED0061002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5F0036-0065-49F3-8303-001C00B1004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570015-00B8-43A5-9E61-0081002B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FC007C-0089-47DA-A052-004B0022003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6400B2-00B3-4515-9D93-0014006A00E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A000B6-0033-4934-BCBF-00FC00CE006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20005B-00E3-44F0-8D87-00CE0037005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1A00DC-00F6-472F-99F3-007900A6000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0700D9-00F3-4AA3-A34E-004100F0006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670095-0015-4C09-AB73-005F00D600C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4D005D-00C5-4F47-86AF-006A0064004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8" activeCellId="0" sqref="G8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158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23">C3*D3</f>
        <v>1083560.0226702918</v>
      </c>
      <c r="F3" s="13">
        <v>37274</v>
      </c>
      <c r="G3" s="44">
        <v>149888</v>
      </c>
      <c r="H3" s="13">
        <v>130228</v>
      </c>
      <c r="I3" s="16">
        <f t="shared" ref="I3:I20" si="824">F3+H3</f>
        <v>167502</v>
      </c>
      <c r="J3" s="17">
        <f t="shared" ref="J3:J20" si="825">C3-G3</f>
        <v>224738</v>
      </c>
      <c r="K3" s="18">
        <f t="shared" ref="K3:K19" si="826">+G3*D3</f>
        <v>433532.76248312899</v>
      </c>
      <c r="L3" s="19">
        <f t="shared" ref="L3:L11" si="827">K3/E3</f>
        <v>0.4001003667657877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828">M3+N3+O3+P3+Q3</f>
        <v>410559</v>
      </c>
      <c r="S3" s="35">
        <f t="shared" ref="S3:S21" si="829">G3+I3+R3</f>
        <v>727949</v>
      </c>
      <c r="T3" s="35">
        <f t="shared" ref="T3:T20" si="830">S3-C3</f>
        <v>353323</v>
      </c>
      <c r="U3" s="19">
        <f t="shared" ref="U3:U20" si="831">S3/C3</f>
        <v>1.9431352869261611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23"/>
        <v>649805.93517786788</v>
      </c>
      <c r="F4" s="13">
        <v>0</v>
      </c>
      <c r="G4" s="13">
        <v>61518</v>
      </c>
      <c r="H4" s="13">
        <v>0</v>
      </c>
      <c r="I4" s="16">
        <f t="shared" si="824"/>
        <v>0</v>
      </c>
      <c r="J4" s="17">
        <f t="shared" si="825"/>
        <v>437207</v>
      </c>
      <c r="K4" s="18">
        <f t="shared" si="826"/>
        <v>80153.915525133256</v>
      </c>
      <c r="L4" s="19">
        <f t="shared" si="827"/>
        <v>0.12335054388691165</v>
      </c>
      <c r="M4" s="34">
        <v>0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28"/>
        <v>712952</v>
      </c>
      <c r="S4" s="35">
        <f t="shared" si="829"/>
        <v>774470</v>
      </c>
      <c r="T4" s="35">
        <f t="shared" si="830"/>
        <v>275745</v>
      </c>
      <c r="U4" s="19">
        <f t="shared" si="831"/>
        <v>1.5528998947315655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23"/>
        <v>0</v>
      </c>
      <c r="F5" s="13">
        <v>0</v>
      </c>
      <c r="G5" s="13">
        <v>0</v>
      </c>
      <c r="H5" s="13">
        <v>0</v>
      </c>
      <c r="I5" s="16">
        <f t="shared" si="824"/>
        <v>0</v>
      </c>
      <c r="J5" s="17">
        <f t="shared" si="825"/>
        <v>0</v>
      </c>
      <c r="K5" s="18">
        <f t="shared" si="82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28"/>
        <v>0</v>
      </c>
      <c r="S5" s="35">
        <f t="shared" si="829"/>
        <v>0</v>
      </c>
      <c r="T5" s="35">
        <f t="shared" si="830"/>
        <v>0</v>
      </c>
      <c r="U5" s="19" t="e">
        <f t="shared" si="831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23"/>
        <v>258147.17194829654</v>
      </c>
      <c r="F6" s="13">
        <v>0</v>
      </c>
      <c r="G6" s="44">
        <v>132877</v>
      </c>
      <c r="H6" s="44">
        <v>0</v>
      </c>
      <c r="I6" s="16">
        <f t="shared" si="824"/>
        <v>0</v>
      </c>
      <c r="J6" s="17">
        <f t="shared" si="825"/>
        <v>92968</v>
      </c>
      <c r="K6" s="18">
        <f t="shared" si="826"/>
        <v>151882.13937423364</v>
      </c>
      <c r="L6" s="19">
        <f t="shared" si="827"/>
        <v>0.58835484513715153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828"/>
        <v>285490</v>
      </c>
      <c r="S6" s="35">
        <f t="shared" si="829"/>
        <v>418367</v>
      </c>
      <c r="T6" s="35">
        <f t="shared" si="830"/>
        <v>192522</v>
      </c>
      <c r="U6" s="19">
        <f t="shared" si="831"/>
        <v>1.8524519028537272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23"/>
        <v>138084.13297023674</v>
      </c>
      <c r="F7" s="13">
        <v>0</v>
      </c>
      <c r="G7" s="44">
        <v>170398</v>
      </c>
      <c r="H7" s="13">
        <v>237600</v>
      </c>
      <c r="I7" s="16">
        <f t="shared" si="824"/>
        <v>237600</v>
      </c>
      <c r="J7" s="17">
        <f t="shared" si="825"/>
        <v>47322</v>
      </c>
      <c r="K7" s="18">
        <f t="shared" si="826"/>
        <v>108071.19276989895</v>
      </c>
      <c r="L7" s="19">
        <f t="shared" si="827"/>
        <v>0.78264743707514239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28"/>
        <v>0</v>
      </c>
      <c r="S7" s="35">
        <f t="shared" si="829"/>
        <v>407998</v>
      </c>
      <c r="T7" s="35">
        <f t="shared" si="830"/>
        <v>190278</v>
      </c>
      <c r="U7" s="19">
        <f t="shared" si="831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23"/>
        <v>257038.53610178718</v>
      </c>
      <c r="F8" s="44">
        <v>55441</v>
      </c>
      <c r="G8" s="13">
        <v>125120</v>
      </c>
      <c r="H8" s="44">
        <v>162547</v>
      </c>
      <c r="I8" s="16">
        <f t="shared" si="824"/>
        <v>217988</v>
      </c>
      <c r="J8" s="17">
        <f t="shared" si="825"/>
        <v>162547</v>
      </c>
      <c r="K8" s="18">
        <f t="shared" si="826"/>
        <v>111798.23072182632</v>
      </c>
      <c r="L8" s="19">
        <f t="shared" si="827"/>
        <v>0.43494735232056508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828"/>
        <v>525036</v>
      </c>
      <c r="S8" s="35">
        <f t="shared" si="829"/>
        <v>868144</v>
      </c>
      <c r="T8" s="35">
        <f t="shared" si="830"/>
        <v>580477</v>
      </c>
      <c r="U8" s="19">
        <f t="shared" si="831"/>
        <v>3.0178783106856191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23"/>
        <v>79590.440383440364</v>
      </c>
      <c r="F9" s="13">
        <v>58575</v>
      </c>
      <c r="G9" s="13">
        <v>42000</v>
      </c>
      <c r="H9" s="13">
        <v>32500</v>
      </c>
      <c r="I9" s="16">
        <f t="shared" si="824"/>
        <v>91075</v>
      </c>
      <c r="J9" s="17">
        <f t="shared" si="825"/>
        <v>32500</v>
      </c>
      <c r="K9" s="18">
        <f t="shared" si="826"/>
        <v>44869.77847120128</v>
      </c>
      <c r="L9" s="19">
        <f t="shared" si="827"/>
        <v>0.56375838926174493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28"/>
        <v>0</v>
      </c>
      <c r="S9" s="35">
        <f t="shared" si="829"/>
        <v>133075</v>
      </c>
      <c r="T9" s="35">
        <f t="shared" si="830"/>
        <v>58575</v>
      </c>
      <c r="U9" s="19">
        <f t="shared" si="831"/>
        <v>1.786241610738255</v>
      </c>
    </row>
    <row r="10">
      <c r="A10" s="9" t="s">
        <v>34</v>
      </c>
      <c r="B10" s="9" t="s">
        <v>35</v>
      </c>
      <c r="C10" s="14">
        <v>230838</v>
      </c>
      <c r="D10" s="11">
        <v>2.1696780588381257</v>
      </c>
      <c r="E10" s="12">
        <f t="shared" si="823"/>
        <v>500844.14374607528</v>
      </c>
      <c r="F10" s="13">
        <v>0</v>
      </c>
      <c r="G10" s="13">
        <v>0</v>
      </c>
      <c r="H10" s="13">
        <v>0</v>
      </c>
      <c r="I10" s="16">
        <f t="shared" si="824"/>
        <v>0</v>
      </c>
      <c r="J10" s="17">
        <f t="shared" si="825"/>
        <v>230838</v>
      </c>
      <c r="K10" s="18">
        <f t="shared" si="826"/>
        <v>0</v>
      </c>
      <c r="L10" s="19">
        <f t="shared" si="827"/>
        <v>0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28"/>
        <v>230838</v>
      </c>
      <c r="S10" s="35">
        <f t="shared" si="829"/>
        <v>230838</v>
      </c>
      <c r="T10" s="35">
        <f t="shared" si="830"/>
        <v>0</v>
      </c>
      <c r="U10" s="19">
        <f t="shared" si="831"/>
        <v>1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23"/>
        <v>0</v>
      </c>
      <c r="F11" s="13">
        <v>0</v>
      </c>
      <c r="G11" s="13">
        <v>0</v>
      </c>
      <c r="H11" s="13">
        <v>0</v>
      </c>
      <c r="I11" s="16">
        <f t="shared" si="824"/>
        <v>0</v>
      </c>
      <c r="J11" s="17">
        <f t="shared" si="825"/>
        <v>0</v>
      </c>
      <c r="K11" s="18">
        <f t="shared" si="826"/>
        <v>0</v>
      </c>
      <c r="L11" s="19" t="e">
        <f t="shared" si="827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28"/>
        <v>0</v>
      </c>
      <c r="S11" s="35">
        <f t="shared" si="829"/>
        <v>0</v>
      </c>
      <c r="T11" s="35">
        <f t="shared" si="830"/>
        <v>0</v>
      </c>
      <c r="U11" s="19" t="e">
        <f t="shared" si="83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23"/>
        <v>0</v>
      </c>
      <c r="F12" s="13">
        <v>0</v>
      </c>
      <c r="G12" s="13">
        <v>0</v>
      </c>
      <c r="H12" s="13">
        <v>0</v>
      </c>
      <c r="I12" s="16">
        <f t="shared" si="824"/>
        <v>0</v>
      </c>
      <c r="J12" s="17">
        <f t="shared" si="82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28"/>
        <v>0</v>
      </c>
      <c r="S12" s="35">
        <f t="shared" si="829"/>
        <v>0</v>
      </c>
      <c r="T12" s="35">
        <f t="shared" si="830"/>
        <v>0</v>
      </c>
      <c r="U12" s="19" t="e">
        <f t="shared" si="831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23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25"/>
        <v>-60</v>
      </c>
      <c r="K13" s="18">
        <f t="shared" si="826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28"/>
        <v>0</v>
      </c>
      <c r="S13" s="35">
        <f t="shared" si="829"/>
        <v>33460</v>
      </c>
      <c r="T13" s="35">
        <f t="shared" si="830"/>
        <v>60</v>
      </c>
      <c r="U13" s="19">
        <f t="shared" si="831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23"/>
        <v>0</v>
      </c>
      <c r="F14" s="13">
        <v>0</v>
      </c>
      <c r="G14" s="13">
        <v>0</v>
      </c>
      <c r="H14" s="13">
        <v>0</v>
      </c>
      <c r="I14" s="16">
        <f t="shared" si="824"/>
        <v>0</v>
      </c>
      <c r="J14" s="17">
        <f t="shared" si="825"/>
        <v>0</v>
      </c>
      <c r="K14" s="18">
        <f t="shared" si="82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28"/>
        <v>0</v>
      </c>
      <c r="S14" s="35">
        <f t="shared" si="829"/>
        <v>0</v>
      </c>
      <c r="T14" s="35">
        <f t="shared" si="830"/>
        <v>0</v>
      </c>
      <c r="U14" s="19" t="e">
        <f t="shared" si="831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23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25"/>
        <v>0</v>
      </c>
      <c r="K15" s="18">
        <f t="shared" si="82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28"/>
        <v>0</v>
      </c>
      <c r="S15" s="35">
        <f t="shared" si="829"/>
        <v>0</v>
      </c>
      <c r="T15" s="35">
        <f t="shared" si="830"/>
        <v>0</v>
      </c>
      <c r="U15" s="19" t="e">
        <f t="shared" si="831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23"/>
        <v>880480.2848245952</v>
      </c>
      <c r="F16" s="13">
        <v>0</v>
      </c>
      <c r="G16" s="13">
        <v>0</v>
      </c>
      <c r="H16" s="13">
        <v>0</v>
      </c>
      <c r="I16" s="16">
        <f t="shared" si="824"/>
        <v>0</v>
      </c>
      <c r="J16" s="17">
        <f t="shared" si="825"/>
        <v>73000</v>
      </c>
      <c r="K16" s="18">
        <f t="shared" ref="K16:K18" si="832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28"/>
        <v>72973</v>
      </c>
      <c r="S16" s="35">
        <f t="shared" si="829"/>
        <v>72973</v>
      </c>
      <c r="T16" s="35">
        <f t="shared" si="830"/>
        <v>-27</v>
      </c>
      <c r="U16" s="19">
        <f t="shared" si="831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23"/>
        <v>40577.039735978113</v>
      </c>
      <c r="F17" s="13">
        <v>0</v>
      </c>
      <c r="G17" s="13">
        <v>0</v>
      </c>
      <c r="H17" s="13">
        <v>0</v>
      </c>
      <c r="I17" s="16">
        <f t="shared" si="824"/>
        <v>0</v>
      </c>
      <c r="J17" s="17">
        <f t="shared" si="825"/>
        <v>5971</v>
      </c>
      <c r="K17" s="18">
        <f t="shared" si="832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23"/>
        <v>641315.99429886416</v>
      </c>
      <c r="F18" s="13">
        <v>0</v>
      </c>
      <c r="G18" s="13">
        <v>0</v>
      </c>
      <c r="H18" s="13">
        <v>0</v>
      </c>
      <c r="I18" s="16">
        <f t="shared" si="824"/>
        <v>0</v>
      </c>
      <c r="J18" s="17">
        <f t="shared" si="825"/>
        <v>63917</v>
      </c>
      <c r="K18" s="18">
        <f t="shared" si="832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23"/>
        <v>0</v>
      </c>
      <c r="F19" s="13">
        <v>0</v>
      </c>
      <c r="G19" s="13">
        <v>0</v>
      </c>
      <c r="H19" s="13">
        <v>0</v>
      </c>
      <c r="I19" s="16">
        <f t="shared" si="824"/>
        <v>0</v>
      </c>
      <c r="J19" s="17">
        <f t="shared" si="825"/>
        <v>0</v>
      </c>
      <c r="K19" s="18">
        <f t="shared" si="82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28"/>
        <v>0</v>
      </c>
      <c r="S19" s="35">
        <f t="shared" si="829"/>
        <v>0</v>
      </c>
      <c r="T19" s="35">
        <f t="shared" si="830"/>
        <v>0</v>
      </c>
      <c r="U19" s="19" t="e">
        <f t="shared" si="831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23"/>
        <v>0</v>
      </c>
      <c r="F20" s="13">
        <v>0</v>
      </c>
      <c r="G20" s="13">
        <v>0</v>
      </c>
      <c r="H20" s="13">
        <v>0</v>
      </c>
      <c r="I20" s="16">
        <f t="shared" si="824"/>
        <v>0</v>
      </c>
      <c r="J20" s="17">
        <f t="shared" si="825"/>
        <v>0</v>
      </c>
      <c r="K20" s="18">
        <f>+G20*D20</f>
        <v>0</v>
      </c>
      <c r="L20" s="19" t="e">
        <f t="shared" ref="L20:L21" si="833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28"/>
        <v>0</v>
      </c>
      <c r="S20" s="35">
        <f t="shared" si="829"/>
        <v>0</v>
      </c>
      <c r="T20" s="35">
        <f t="shared" si="830"/>
        <v>0</v>
      </c>
      <c r="U20" s="19" t="e">
        <f t="shared" si="831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834">SUM(E3:E20)</f>
        <v>4674049.9832285084</v>
      </c>
      <c r="F21" s="24">
        <f t="shared" si="834"/>
        <v>151290</v>
      </c>
      <c r="G21" s="24">
        <f t="shared" si="834"/>
        <v>715261</v>
      </c>
      <c r="H21" s="24">
        <f t="shared" si="834"/>
        <v>562875</v>
      </c>
      <c r="I21" s="25">
        <f t="shared" si="834"/>
        <v>714165</v>
      </c>
      <c r="J21" s="26">
        <f t="shared" si="834"/>
        <v>1370948</v>
      </c>
      <c r="K21" s="26">
        <f t="shared" si="834"/>
        <v>1075174.0724794401</v>
      </c>
      <c r="L21" s="27">
        <f t="shared" si="833"/>
        <v>0.23003050381091233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28"/>
        <v>0</v>
      </c>
      <c r="S21" s="35">
        <f t="shared" si="829"/>
        <v>1429426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C00B5-0009-4CCC-87B8-002D00D6006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AB00A5-007B-4CE9-8E57-00A200F600F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6600C1-0036-4F19-BB1E-00A00004005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5D002F-0000-4DF1-8805-00A3002C009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6000D0-00AE-4B66-BECB-00F9005C00D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3F0039-00A2-4DED-AB20-00FD007200A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AA0026-005B-4410-9CAA-009900DA00A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A100D6-00BA-44CA-B6A5-008B00CA008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2200DD-0015-417D-BC39-004500CF001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2300B3-00EA-4C7D-A217-00B100DA008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F007E-000A-4BA8-9513-00E3004D00C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DB0040-007D-4EC4-8812-00A7000A00D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C4" activeCellId="0" sqref="C4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159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35">C3*D3</f>
        <v>1083560.0226702918</v>
      </c>
      <c r="F3" s="13">
        <v>37274</v>
      </c>
      <c r="G3" s="44">
        <v>205795</v>
      </c>
      <c r="H3" s="13">
        <v>74321</v>
      </c>
      <c r="I3" s="16">
        <f t="shared" ref="I3:I20" si="836">F3+H3</f>
        <v>111595</v>
      </c>
      <c r="J3" s="17">
        <f t="shared" ref="J3:J20" si="837">C3-G3</f>
        <v>168831</v>
      </c>
      <c r="K3" s="18">
        <f t="shared" ref="K3:K19" si="838">+G3*D3</f>
        <v>595236.94261859206</v>
      </c>
      <c r="L3" s="19">
        <f t="shared" ref="L3:L11" si="839">K3/E3</f>
        <v>0.54933453631088058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840">M3+N3+O3+P3+Q3</f>
        <v>410559</v>
      </c>
      <c r="S3" s="35">
        <f t="shared" ref="S3:S21" si="841">G3+I3+R3</f>
        <v>727949</v>
      </c>
      <c r="T3" s="35">
        <f t="shared" ref="T3:T20" si="842">S3-C3</f>
        <v>353323</v>
      </c>
      <c r="U3" s="19">
        <f t="shared" ref="U3:U20" si="843">S3/C3</f>
        <v>1.9431352869261611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35"/>
        <v>649805.93517786788</v>
      </c>
      <c r="F4" s="13">
        <v>0</v>
      </c>
      <c r="G4" s="13">
        <v>61518</v>
      </c>
      <c r="H4" s="13">
        <v>0</v>
      </c>
      <c r="I4" s="16">
        <f t="shared" si="836"/>
        <v>0</v>
      </c>
      <c r="J4" s="17">
        <f t="shared" si="837"/>
        <v>437207</v>
      </c>
      <c r="K4" s="18">
        <f t="shared" si="838"/>
        <v>80153.915525133256</v>
      </c>
      <c r="L4" s="19">
        <f t="shared" si="839"/>
        <v>0.12335054388691165</v>
      </c>
      <c r="M4" s="34">
        <v>0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40"/>
        <v>712952</v>
      </c>
      <c r="S4" s="35">
        <f t="shared" si="841"/>
        <v>774470</v>
      </c>
      <c r="T4" s="35">
        <f t="shared" si="842"/>
        <v>275745</v>
      </c>
      <c r="U4" s="19">
        <f t="shared" si="843"/>
        <v>1.5528998947315655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35"/>
        <v>0</v>
      </c>
      <c r="F5" s="13">
        <v>0</v>
      </c>
      <c r="G5" s="13">
        <v>0</v>
      </c>
      <c r="H5" s="13">
        <v>0</v>
      </c>
      <c r="I5" s="16">
        <f t="shared" si="836"/>
        <v>0</v>
      </c>
      <c r="J5" s="17">
        <f t="shared" si="837"/>
        <v>0</v>
      </c>
      <c r="K5" s="18">
        <f t="shared" si="83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40"/>
        <v>0</v>
      </c>
      <c r="S5" s="35">
        <f t="shared" si="841"/>
        <v>0</v>
      </c>
      <c r="T5" s="35">
        <f t="shared" si="842"/>
        <v>0</v>
      </c>
      <c r="U5" s="19" t="e">
        <f t="shared" si="843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35"/>
        <v>258147.17194829654</v>
      </c>
      <c r="F6" s="13">
        <v>0</v>
      </c>
      <c r="G6" s="44">
        <v>132877</v>
      </c>
      <c r="H6" s="44">
        <v>0</v>
      </c>
      <c r="I6" s="16">
        <f t="shared" si="836"/>
        <v>0</v>
      </c>
      <c r="J6" s="17">
        <f t="shared" si="837"/>
        <v>92968</v>
      </c>
      <c r="K6" s="18">
        <f t="shared" si="838"/>
        <v>151882.13937423364</v>
      </c>
      <c r="L6" s="19">
        <f t="shared" si="839"/>
        <v>0.58835484513715153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840"/>
        <v>285490</v>
      </c>
      <c r="S6" s="35">
        <f t="shared" si="841"/>
        <v>418367</v>
      </c>
      <c r="T6" s="35">
        <f t="shared" si="842"/>
        <v>192522</v>
      </c>
      <c r="U6" s="19">
        <f t="shared" si="843"/>
        <v>1.8524519028537272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35"/>
        <v>138084.13297023674</v>
      </c>
      <c r="F7" s="13">
        <v>0</v>
      </c>
      <c r="G7" s="44">
        <v>170398</v>
      </c>
      <c r="H7" s="13">
        <v>237600</v>
      </c>
      <c r="I7" s="16">
        <f t="shared" si="836"/>
        <v>237600</v>
      </c>
      <c r="J7" s="17">
        <f t="shared" si="837"/>
        <v>47322</v>
      </c>
      <c r="K7" s="18">
        <f t="shared" si="838"/>
        <v>108071.19276989895</v>
      </c>
      <c r="L7" s="19">
        <f t="shared" si="839"/>
        <v>0.78264743707514239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40"/>
        <v>0</v>
      </c>
      <c r="S7" s="35">
        <f t="shared" si="841"/>
        <v>407998</v>
      </c>
      <c r="T7" s="35">
        <f t="shared" si="842"/>
        <v>190278</v>
      </c>
      <c r="U7" s="19">
        <f t="shared" si="843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35"/>
        <v>257038.53610178718</v>
      </c>
      <c r="F8" s="44">
        <v>318563</v>
      </c>
      <c r="G8" s="13">
        <v>184520</v>
      </c>
      <c r="H8" s="44">
        <v>103147</v>
      </c>
      <c r="I8" s="16">
        <f t="shared" si="836"/>
        <v>421710</v>
      </c>
      <c r="J8" s="17">
        <f t="shared" si="837"/>
        <v>103147</v>
      </c>
      <c r="K8" s="18">
        <f t="shared" si="838"/>
        <v>164873.79741681099</v>
      </c>
      <c r="L8" s="19">
        <f t="shared" si="839"/>
        <v>0.64143610494078218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840"/>
        <v>525036</v>
      </c>
      <c r="S8" s="35">
        <f t="shared" si="841"/>
        <v>1131266</v>
      </c>
      <c r="T8" s="35">
        <f t="shared" si="842"/>
        <v>843599</v>
      </c>
      <c r="U8" s="19">
        <f t="shared" si="843"/>
        <v>3.9325539599606492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35"/>
        <v>79590.440383440364</v>
      </c>
      <c r="F9" s="13">
        <v>58575</v>
      </c>
      <c r="G9" s="13">
        <v>63000</v>
      </c>
      <c r="H9" s="13">
        <v>11500</v>
      </c>
      <c r="I9" s="16">
        <f t="shared" si="836"/>
        <v>70075</v>
      </c>
      <c r="J9" s="17">
        <f t="shared" si="837"/>
        <v>11500</v>
      </c>
      <c r="K9" s="18">
        <f t="shared" si="838"/>
        <v>67304.66770680192</v>
      </c>
      <c r="L9" s="19">
        <f t="shared" si="839"/>
        <v>0.84563758389261745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40"/>
        <v>0</v>
      </c>
      <c r="S9" s="35">
        <f t="shared" si="841"/>
        <v>133075</v>
      </c>
      <c r="T9" s="35">
        <f t="shared" si="842"/>
        <v>58575</v>
      </c>
      <c r="U9" s="19">
        <f t="shared" si="843"/>
        <v>1.786241610738255</v>
      </c>
    </row>
    <row r="10">
      <c r="A10" s="9" t="s">
        <v>34</v>
      </c>
      <c r="B10" s="9" t="s">
        <v>35</v>
      </c>
      <c r="C10" s="14">
        <v>230838</v>
      </c>
      <c r="D10" s="11">
        <v>2.1696780588381257</v>
      </c>
      <c r="E10" s="12">
        <f t="shared" si="835"/>
        <v>500844.14374607528</v>
      </c>
      <c r="F10" s="13">
        <v>0</v>
      </c>
      <c r="G10" s="13">
        <v>0</v>
      </c>
      <c r="H10" s="13">
        <v>0</v>
      </c>
      <c r="I10" s="16">
        <f t="shared" si="836"/>
        <v>0</v>
      </c>
      <c r="J10" s="17">
        <f t="shared" si="837"/>
        <v>230838</v>
      </c>
      <c r="K10" s="18">
        <f t="shared" si="838"/>
        <v>0</v>
      </c>
      <c r="L10" s="19">
        <f t="shared" si="839"/>
        <v>0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40"/>
        <v>230838</v>
      </c>
      <c r="S10" s="35">
        <f t="shared" si="841"/>
        <v>230838</v>
      </c>
      <c r="T10" s="35">
        <f t="shared" si="842"/>
        <v>0</v>
      </c>
      <c r="U10" s="19">
        <f t="shared" si="843"/>
        <v>1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35"/>
        <v>0</v>
      </c>
      <c r="F11" s="13">
        <v>0</v>
      </c>
      <c r="G11" s="13">
        <v>0</v>
      </c>
      <c r="H11" s="13">
        <v>0</v>
      </c>
      <c r="I11" s="16">
        <f t="shared" si="836"/>
        <v>0</v>
      </c>
      <c r="J11" s="17">
        <f t="shared" si="837"/>
        <v>0</v>
      </c>
      <c r="K11" s="18">
        <f t="shared" si="838"/>
        <v>0</v>
      </c>
      <c r="L11" s="19" t="e">
        <f t="shared" si="839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40"/>
        <v>0</v>
      </c>
      <c r="S11" s="35">
        <f t="shared" si="841"/>
        <v>0</v>
      </c>
      <c r="T11" s="35">
        <f t="shared" si="842"/>
        <v>0</v>
      </c>
      <c r="U11" s="19" t="e">
        <f t="shared" si="84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35"/>
        <v>0</v>
      </c>
      <c r="F12" s="13">
        <v>0</v>
      </c>
      <c r="G12" s="13">
        <v>0</v>
      </c>
      <c r="H12" s="13">
        <v>0</v>
      </c>
      <c r="I12" s="16">
        <f t="shared" si="836"/>
        <v>0</v>
      </c>
      <c r="J12" s="17">
        <f t="shared" si="83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40"/>
        <v>0</v>
      </c>
      <c r="S12" s="35">
        <f t="shared" si="841"/>
        <v>0</v>
      </c>
      <c r="T12" s="35">
        <f t="shared" si="842"/>
        <v>0</v>
      </c>
      <c r="U12" s="19" t="e">
        <f t="shared" si="843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35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37"/>
        <v>-60</v>
      </c>
      <c r="K13" s="18">
        <f t="shared" si="838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40"/>
        <v>0</v>
      </c>
      <c r="S13" s="35">
        <f t="shared" si="841"/>
        <v>33460</v>
      </c>
      <c r="T13" s="35">
        <f t="shared" si="842"/>
        <v>60</v>
      </c>
      <c r="U13" s="19">
        <f t="shared" si="843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35"/>
        <v>0</v>
      </c>
      <c r="F14" s="13">
        <v>0</v>
      </c>
      <c r="G14" s="13">
        <v>0</v>
      </c>
      <c r="H14" s="13">
        <v>0</v>
      </c>
      <c r="I14" s="16">
        <f t="shared" si="836"/>
        <v>0</v>
      </c>
      <c r="J14" s="17">
        <f t="shared" si="837"/>
        <v>0</v>
      </c>
      <c r="K14" s="18">
        <f t="shared" si="83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40"/>
        <v>0</v>
      </c>
      <c r="S14" s="35">
        <f t="shared" si="841"/>
        <v>0</v>
      </c>
      <c r="T14" s="35">
        <f t="shared" si="842"/>
        <v>0</v>
      </c>
      <c r="U14" s="19" t="e">
        <f t="shared" si="843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35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37"/>
        <v>0</v>
      </c>
      <c r="K15" s="18">
        <f t="shared" si="83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40"/>
        <v>0</v>
      </c>
      <c r="S15" s="35">
        <f t="shared" si="841"/>
        <v>0</v>
      </c>
      <c r="T15" s="35">
        <f t="shared" si="842"/>
        <v>0</v>
      </c>
      <c r="U15" s="19" t="e">
        <f t="shared" si="843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35"/>
        <v>880480.2848245952</v>
      </c>
      <c r="F16" s="13">
        <v>0</v>
      </c>
      <c r="G16" s="13">
        <v>0</v>
      </c>
      <c r="H16" s="13">
        <v>0</v>
      </c>
      <c r="I16" s="16">
        <f t="shared" si="836"/>
        <v>0</v>
      </c>
      <c r="J16" s="17">
        <f t="shared" si="837"/>
        <v>73000</v>
      </c>
      <c r="K16" s="18">
        <f t="shared" ref="K16:K18" si="844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40"/>
        <v>72973</v>
      </c>
      <c r="S16" s="35">
        <f t="shared" si="841"/>
        <v>72973</v>
      </c>
      <c r="T16" s="35">
        <f t="shared" si="842"/>
        <v>-27</v>
      </c>
      <c r="U16" s="19">
        <f t="shared" si="843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35"/>
        <v>40577.039735978113</v>
      </c>
      <c r="F17" s="13">
        <v>0</v>
      </c>
      <c r="G17" s="13">
        <v>0</v>
      </c>
      <c r="H17" s="13">
        <v>0</v>
      </c>
      <c r="I17" s="16">
        <f t="shared" si="836"/>
        <v>0</v>
      </c>
      <c r="J17" s="17">
        <f t="shared" si="837"/>
        <v>5971</v>
      </c>
      <c r="K17" s="18">
        <f t="shared" si="844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35"/>
        <v>641315.99429886416</v>
      </c>
      <c r="F18" s="13">
        <v>0</v>
      </c>
      <c r="G18" s="13">
        <v>0</v>
      </c>
      <c r="H18" s="13">
        <v>0</v>
      </c>
      <c r="I18" s="16">
        <f t="shared" si="836"/>
        <v>0</v>
      </c>
      <c r="J18" s="17">
        <f t="shared" si="837"/>
        <v>63917</v>
      </c>
      <c r="K18" s="18">
        <f t="shared" si="844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35"/>
        <v>0</v>
      </c>
      <c r="F19" s="13">
        <v>0</v>
      </c>
      <c r="G19" s="13">
        <v>0</v>
      </c>
      <c r="H19" s="13">
        <v>0</v>
      </c>
      <c r="I19" s="16">
        <f t="shared" si="836"/>
        <v>0</v>
      </c>
      <c r="J19" s="17">
        <f t="shared" si="837"/>
        <v>0</v>
      </c>
      <c r="K19" s="18">
        <f t="shared" si="83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40"/>
        <v>0</v>
      </c>
      <c r="S19" s="35">
        <f t="shared" si="841"/>
        <v>0</v>
      </c>
      <c r="T19" s="35">
        <f t="shared" si="842"/>
        <v>0</v>
      </c>
      <c r="U19" s="19" t="e">
        <f t="shared" si="843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35"/>
        <v>0</v>
      </c>
      <c r="F20" s="13">
        <v>0</v>
      </c>
      <c r="G20" s="13">
        <v>0</v>
      </c>
      <c r="H20" s="13">
        <v>0</v>
      </c>
      <c r="I20" s="16">
        <f t="shared" si="836"/>
        <v>0</v>
      </c>
      <c r="J20" s="17">
        <f t="shared" si="837"/>
        <v>0</v>
      </c>
      <c r="K20" s="18">
        <f>+G20*D20</f>
        <v>0</v>
      </c>
      <c r="L20" s="19" t="e">
        <f t="shared" ref="L20:L21" si="845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40"/>
        <v>0</v>
      </c>
      <c r="S20" s="35">
        <f t="shared" si="841"/>
        <v>0</v>
      </c>
      <c r="T20" s="35">
        <f t="shared" si="842"/>
        <v>0</v>
      </c>
      <c r="U20" s="19" t="e">
        <f t="shared" si="843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846">SUM(E3:E20)</f>
        <v>4674049.9832285084</v>
      </c>
      <c r="F21" s="24">
        <f t="shared" si="846"/>
        <v>414412</v>
      </c>
      <c r="G21" s="24">
        <f t="shared" si="846"/>
        <v>851568</v>
      </c>
      <c r="H21" s="24">
        <f t="shared" si="846"/>
        <v>426568</v>
      </c>
      <c r="I21" s="25">
        <f t="shared" si="846"/>
        <v>840980</v>
      </c>
      <c r="J21" s="26">
        <f t="shared" si="846"/>
        <v>1234641</v>
      </c>
      <c r="K21" s="26">
        <f t="shared" si="846"/>
        <v>1312388.7085454888</v>
      </c>
      <c r="L21" s="27">
        <f t="shared" si="845"/>
        <v>0.2807819157378762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40"/>
        <v>0</v>
      </c>
      <c r="S21" s="35">
        <f t="shared" si="841"/>
        <v>1692548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100EC-0035-4E9A-A588-00580085004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4C00B0-0049-4488-86F3-0095009D001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72006D-009F-499E-9466-00210094009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DE0049-0050-4392-9699-0010001400A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E70090-0095-47D7-B324-00A800A200D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050007-0025-446F-B88E-00740026003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7100C9-00B0-43C7-942B-0043002800B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F0035-0028-472A-93C3-00DF00D900C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A50089-00FF-4672-B6FA-006F00DD00C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DC0099-0066-4F23-8C05-005F00FE002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5100C7-00FC-448C-9DE3-003300DC008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900FF-00DC-4BCE-AE42-00A700A600D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9" activeCellId="0" sqref="G9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160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47">C3*D3</f>
        <v>1083560.0226702918</v>
      </c>
      <c r="F3" s="13">
        <v>37274</v>
      </c>
      <c r="G3" s="44">
        <v>280116</v>
      </c>
      <c r="H3" s="13">
        <v>0</v>
      </c>
      <c r="I3" s="16">
        <f t="shared" ref="I3:I20" si="848">F3+H3</f>
        <v>37274</v>
      </c>
      <c r="J3" s="17">
        <f t="shared" ref="J3:J20" si="849">C3-G3</f>
        <v>94510</v>
      </c>
      <c r="K3" s="18">
        <f t="shared" ref="K3:K19" si="850">+G3*D3</f>
        <v>810201.3723295005</v>
      </c>
      <c r="L3" s="19">
        <f t="shared" ref="L3:L11" si="851">K3/E3</f>
        <v>0.74772172780319568</v>
      </c>
      <c r="M3" s="34">
        <v>205960</v>
      </c>
      <c r="N3" s="58">
        <v>204599</v>
      </c>
      <c r="O3" s="34">
        <v>0</v>
      </c>
      <c r="P3" s="34">
        <v>0</v>
      </c>
      <c r="Q3" s="34">
        <v>0</v>
      </c>
      <c r="R3" s="34">
        <f t="shared" ref="R3:R21" si="852">M3+N3+O3+P3+Q3</f>
        <v>410559</v>
      </c>
      <c r="S3" s="35">
        <f t="shared" ref="S3:S21" si="853">G3+I3+R3</f>
        <v>727949</v>
      </c>
      <c r="T3" s="35">
        <f t="shared" ref="T3:T20" si="854">S3-C3</f>
        <v>353323</v>
      </c>
      <c r="U3" s="19">
        <f t="shared" ref="U3:U20" si="855">S3/C3</f>
        <v>1.9431352869261611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47"/>
        <v>649805.93517786788</v>
      </c>
      <c r="F4" s="13">
        <v>0</v>
      </c>
      <c r="G4" s="13">
        <v>61518</v>
      </c>
      <c r="H4" s="13">
        <v>0</v>
      </c>
      <c r="I4" s="16">
        <f t="shared" si="848"/>
        <v>0</v>
      </c>
      <c r="J4" s="17">
        <f t="shared" si="849"/>
        <v>437207</v>
      </c>
      <c r="K4" s="18">
        <f t="shared" si="850"/>
        <v>80153.915525133256</v>
      </c>
      <c r="L4" s="19">
        <f t="shared" si="851"/>
        <v>0.12335054388691165</v>
      </c>
      <c r="M4" s="34">
        <v>0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52"/>
        <v>712952</v>
      </c>
      <c r="S4" s="35">
        <f t="shared" si="853"/>
        <v>774470</v>
      </c>
      <c r="T4" s="35">
        <f t="shared" si="854"/>
        <v>275745</v>
      </c>
      <c r="U4" s="19">
        <f t="shared" si="855"/>
        <v>1.5528998947315655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47"/>
        <v>0</v>
      </c>
      <c r="F5" s="13">
        <v>0</v>
      </c>
      <c r="G5" s="13">
        <v>0</v>
      </c>
      <c r="H5" s="13">
        <v>0</v>
      </c>
      <c r="I5" s="16">
        <f t="shared" si="848"/>
        <v>0</v>
      </c>
      <c r="J5" s="17">
        <f t="shared" si="849"/>
        <v>0</v>
      </c>
      <c r="K5" s="18">
        <f t="shared" si="85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52"/>
        <v>0</v>
      </c>
      <c r="S5" s="35">
        <f t="shared" si="853"/>
        <v>0</v>
      </c>
      <c r="T5" s="35">
        <f t="shared" si="854"/>
        <v>0</v>
      </c>
      <c r="U5" s="19" t="e">
        <f t="shared" si="855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47"/>
        <v>258147.17194829654</v>
      </c>
      <c r="F6" s="13">
        <v>0</v>
      </c>
      <c r="G6" s="44">
        <v>132877</v>
      </c>
      <c r="H6" s="44">
        <v>0</v>
      </c>
      <c r="I6" s="16">
        <f t="shared" si="848"/>
        <v>0</v>
      </c>
      <c r="J6" s="17">
        <f t="shared" si="849"/>
        <v>92968</v>
      </c>
      <c r="K6" s="18">
        <f t="shared" si="850"/>
        <v>151882.13937423364</v>
      </c>
      <c r="L6" s="19">
        <f t="shared" si="851"/>
        <v>0.58835484513715153</v>
      </c>
      <c r="M6" s="34">
        <v>126554</v>
      </c>
      <c r="N6" s="58">
        <v>158936</v>
      </c>
      <c r="O6" s="34">
        <v>0</v>
      </c>
      <c r="P6" s="34">
        <v>0</v>
      </c>
      <c r="Q6" s="34">
        <v>0</v>
      </c>
      <c r="R6" s="34">
        <f t="shared" si="852"/>
        <v>285490</v>
      </c>
      <c r="S6" s="35">
        <f t="shared" si="853"/>
        <v>418367</v>
      </c>
      <c r="T6" s="35">
        <f t="shared" si="854"/>
        <v>192522</v>
      </c>
      <c r="U6" s="19">
        <f t="shared" si="855"/>
        <v>1.8524519028537272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47"/>
        <v>138084.13297023674</v>
      </c>
      <c r="F7" s="13">
        <v>0</v>
      </c>
      <c r="G7" s="44">
        <v>170398</v>
      </c>
      <c r="H7" s="13">
        <v>237600</v>
      </c>
      <c r="I7" s="16">
        <f t="shared" si="848"/>
        <v>237600</v>
      </c>
      <c r="J7" s="17">
        <f t="shared" si="849"/>
        <v>47322</v>
      </c>
      <c r="K7" s="18">
        <f t="shared" si="850"/>
        <v>108071.19276989895</v>
      </c>
      <c r="L7" s="19">
        <f t="shared" si="851"/>
        <v>0.78264743707514239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52"/>
        <v>0</v>
      </c>
      <c r="S7" s="35">
        <f t="shared" si="853"/>
        <v>407998</v>
      </c>
      <c r="T7" s="35">
        <f t="shared" si="854"/>
        <v>190278</v>
      </c>
      <c r="U7" s="19">
        <f t="shared" si="855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47"/>
        <v>257038.53610178718</v>
      </c>
      <c r="F8" s="44">
        <v>318563</v>
      </c>
      <c r="G8" s="13">
        <v>243920</v>
      </c>
      <c r="H8" s="44">
        <v>43747</v>
      </c>
      <c r="I8" s="16">
        <f t="shared" si="848"/>
        <v>362310</v>
      </c>
      <c r="J8" s="17">
        <f t="shared" si="849"/>
        <v>43747</v>
      </c>
      <c r="K8" s="18">
        <f t="shared" si="850"/>
        <v>217949.36411179567</v>
      </c>
      <c r="L8" s="19">
        <f t="shared" si="851"/>
        <v>0.84792485756099933</v>
      </c>
      <c r="M8" s="34">
        <v>261914</v>
      </c>
      <c r="N8" s="58">
        <v>263122</v>
      </c>
      <c r="O8" s="34">
        <v>0</v>
      </c>
      <c r="P8" s="34">
        <v>0</v>
      </c>
      <c r="Q8" s="34">
        <v>0</v>
      </c>
      <c r="R8" s="34">
        <f t="shared" si="852"/>
        <v>525036</v>
      </c>
      <c r="S8" s="35">
        <f t="shared" si="853"/>
        <v>1131266</v>
      </c>
      <c r="T8" s="35">
        <f t="shared" si="854"/>
        <v>843599</v>
      </c>
      <c r="U8" s="19">
        <f t="shared" si="855"/>
        <v>3.9325539599606492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47"/>
        <v>79590.440383440364</v>
      </c>
      <c r="F9" s="13">
        <v>58575</v>
      </c>
      <c r="G9" s="13">
        <v>63000</v>
      </c>
      <c r="H9" s="13">
        <v>11500</v>
      </c>
      <c r="I9" s="16">
        <f t="shared" si="848"/>
        <v>70075</v>
      </c>
      <c r="J9" s="17">
        <f t="shared" si="849"/>
        <v>11500</v>
      </c>
      <c r="K9" s="18">
        <f t="shared" si="850"/>
        <v>67304.66770680192</v>
      </c>
      <c r="L9" s="19">
        <f t="shared" si="851"/>
        <v>0.84563758389261745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52"/>
        <v>0</v>
      </c>
      <c r="S9" s="35">
        <f t="shared" si="853"/>
        <v>133075</v>
      </c>
      <c r="T9" s="35">
        <f t="shared" si="854"/>
        <v>58575</v>
      </c>
      <c r="U9" s="19">
        <f t="shared" si="855"/>
        <v>1.786241610738255</v>
      </c>
    </row>
    <row r="10">
      <c r="A10" s="9" t="s">
        <v>34</v>
      </c>
      <c r="B10" s="9" t="s">
        <v>35</v>
      </c>
      <c r="C10" s="14">
        <v>230838</v>
      </c>
      <c r="D10" s="11">
        <v>2.1696780588381257</v>
      </c>
      <c r="E10" s="12">
        <f t="shared" si="847"/>
        <v>500844.14374607528</v>
      </c>
      <c r="F10" s="13">
        <v>0</v>
      </c>
      <c r="G10" s="13">
        <v>0</v>
      </c>
      <c r="H10" s="13">
        <v>0</v>
      </c>
      <c r="I10" s="16">
        <f t="shared" si="848"/>
        <v>0</v>
      </c>
      <c r="J10" s="17">
        <f t="shared" si="849"/>
        <v>230838</v>
      </c>
      <c r="K10" s="18">
        <f t="shared" si="850"/>
        <v>0</v>
      </c>
      <c r="L10" s="19">
        <f t="shared" si="851"/>
        <v>0</v>
      </c>
      <c r="M10" s="34">
        <v>230838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52"/>
        <v>230838</v>
      </c>
      <c r="S10" s="35">
        <f t="shared" si="853"/>
        <v>230838</v>
      </c>
      <c r="T10" s="35">
        <f t="shared" si="854"/>
        <v>0</v>
      </c>
      <c r="U10" s="19">
        <f t="shared" si="855"/>
        <v>1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47"/>
        <v>0</v>
      </c>
      <c r="F11" s="13">
        <v>0</v>
      </c>
      <c r="G11" s="13">
        <v>0</v>
      </c>
      <c r="H11" s="13">
        <v>0</v>
      </c>
      <c r="I11" s="16">
        <f t="shared" si="848"/>
        <v>0</v>
      </c>
      <c r="J11" s="17">
        <f t="shared" si="849"/>
        <v>0</v>
      </c>
      <c r="K11" s="18">
        <f t="shared" si="850"/>
        <v>0</v>
      </c>
      <c r="L11" s="19" t="e">
        <f t="shared" si="851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52"/>
        <v>0</v>
      </c>
      <c r="S11" s="35">
        <f t="shared" si="853"/>
        <v>0</v>
      </c>
      <c r="T11" s="35">
        <f t="shared" si="854"/>
        <v>0</v>
      </c>
      <c r="U11" s="19" t="e">
        <f t="shared" si="855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47"/>
        <v>0</v>
      </c>
      <c r="F12" s="13">
        <v>0</v>
      </c>
      <c r="G12" s="13">
        <v>0</v>
      </c>
      <c r="H12" s="13">
        <v>0</v>
      </c>
      <c r="I12" s="16">
        <f t="shared" si="848"/>
        <v>0</v>
      </c>
      <c r="J12" s="17">
        <f t="shared" si="84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52"/>
        <v>0</v>
      </c>
      <c r="S12" s="35">
        <f t="shared" si="853"/>
        <v>0</v>
      </c>
      <c r="T12" s="35">
        <f t="shared" si="854"/>
        <v>0</v>
      </c>
      <c r="U12" s="19" t="e">
        <f t="shared" si="855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47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49"/>
        <v>-60</v>
      </c>
      <c r="K13" s="18">
        <f t="shared" si="850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52"/>
        <v>0</v>
      </c>
      <c r="S13" s="35">
        <f t="shared" si="853"/>
        <v>33460</v>
      </c>
      <c r="T13" s="35">
        <f t="shared" si="854"/>
        <v>60</v>
      </c>
      <c r="U13" s="19">
        <f t="shared" si="855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47"/>
        <v>0</v>
      </c>
      <c r="F14" s="13">
        <v>0</v>
      </c>
      <c r="G14" s="13">
        <v>0</v>
      </c>
      <c r="H14" s="13">
        <v>0</v>
      </c>
      <c r="I14" s="16">
        <f t="shared" si="848"/>
        <v>0</v>
      </c>
      <c r="J14" s="17">
        <f t="shared" si="849"/>
        <v>0</v>
      </c>
      <c r="K14" s="18">
        <f t="shared" si="85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52"/>
        <v>0</v>
      </c>
      <c r="S14" s="35">
        <f t="shared" si="853"/>
        <v>0</v>
      </c>
      <c r="T14" s="35">
        <f t="shared" si="854"/>
        <v>0</v>
      </c>
      <c r="U14" s="19" t="e">
        <f t="shared" si="855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47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49"/>
        <v>0</v>
      </c>
      <c r="K15" s="18">
        <f t="shared" si="85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52"/>
        <v>0</v>
      </c>
      <c r="S15" s="35">
        <f t="shared" si="853"/>
        <v>0</v>
      </c>
      <c r="T15" s="35">
        <f t="shared" si="854"/>
        <v>0</v>
      </c>
      <c r="U15" s="19" t="e">
        <f t="shared" si="855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47"/>
        <v>880480.2848245952</v>
      </c>
      <c r="F16" s="13">
        <v>0</v>
      </c>
      <c r="G16" s="13">
        <v>0</v>
      </c>
      <c r="H16" s="13">
        <v>0</v>
      </c>
      <c r="I16" s="16">
        <f t="shared" si="848"/>
        <v>0</v>
      </c>
      <c r="J16" s="17">
        <f t="shared" si="849"/>
        <v>73000</v>
      </c>
      <c r="K16" s="18">
        <f t="shared" ref="K16:K18" si="856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52"/>
        <v>72973</v>
      </c>
      <c r="S16" s="35">
        <f t="shared" si="853"/>
        <v>72973</v>
      </c>
      <c r="T16" s="35">
        <f t="shared" si="854"/>
        <v>-27</v>
      </c>
      <c r="U16" s="19">
        <f t="shared" si="855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47"/>
        <v>40577.039735978113</v>
      </c>
      <c r="F17" s="13">
        <v>0</v>
      </c>
      <c r="G17" s="13">
        <v>0</v>
      </c>
      <c r="H17" s="13">
        <v>0</v>
      </c>
      <c r="I17" s="16">
        <f t="shared" si="848"/>
        <v>0</v>
      </c>
      <c r="J17" s="17">
        <f t="shared" si="849"/>
        <v>5971</v>
      </c>
      <c r="K17" s="18">
        <f t="shared" si="856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47"/>
        <v>641315.99429886416</v>
      </c>
      <c r="F18" s="13">
        <v>0</v>
      </c>
      <c r="G18" s="13">
        <v>0</v>
      </c>
      <c r="H18" s="13">
        <v>0</v>
      </c>
      <c r="I18" s="16">
        <f t="shared" si="848"/>
        <v>0</v>
      </c>
      <c r="J18" s="17">
        <f t="shared" si="849"/>
        <v>63917</v>
      </c>
      <c r="K18" s="18">
        <f t="shared" si="856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47"/>
        <v>0</v>
      </c>
      <c r="F19" s="13">
        <v>0</v>
      </c>
      <c r="G19" s="13">
        <v>0</v>
      </c>
      <c r="H19" s="13">
        <v>0</v>
      </c>
      <c r="I19" s="16">
        <f t="shared" si="848"/>
        <v>0</v>
      </c>
      <c r="J19" s="17">
        <f t="shared" si="849"/>
        <v>0</v>
      </c>
      <c r="K19" s="18">
        <f t="shared" si="85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52"/>
        <v>0</v>
      </c>
      <c r="S19" s="35">
        <f t="shared" si="853"/>
        <v>0</v>
      </c>
      <c r="T19" s="35">
        <f t="shared" si="854"/>
        <v>0</v>
      </c>
      <c r="U19" s="19" t="e">
        <f t="shared" si="855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47"/>
        <v>0</v>
      </c>
      <c r="F20" s="13">
        <v>0</v>
      </c>
      <c r="G20" s="13">
        <v>0</v>
      </c>
      <c r="H20" s="13">
        <v>0</v>
      </c>
      <c r="I20" s="16">
        <f t="shared" si="848"/>
        <v>0</v>
      </c>
      <c r="J20" s="17">
        <f t="shared" si="849"/>
        <v>0</v>
      </c>
      <c r="K20" s="18">
        <f>+G20*D20</f>
        <v>0</v>
      </c>
      <c r="L20" s="19" t="e">
        <f t="shared" ref="L20:L21" si="857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52"/>
        <v>0</v>
      </c>
      <c r="S20" s="35">
        <f t="shared" si="853"/>
        <v>0</v>
      </c>
      <c r="T20" s="35">
        <f t="shared" si="854"/>
        <v>0</v>
      </c>
      <c r="U20" s="19" t="e">
        <f t="shared" si="855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858">SUM(E3:E20)</f>
        <v>4674049.9832285084</v>
      </c>
      <c r="F21" s="24">
        <f t="shared" si="858"/>
        <v>414412</v>
      </c>
      <c r="G21" s="24">
        <f t="shared" si="858"/>
        <v>985289</v>
      </c>
      <c r="H21" s="24">
        <f t="shared" si="858"/>
        <v>292847</v>
      </c>
      <c r="I21" s="25">
        <f t="shared" si="858"/>
        <v>707259</v>
      </c>
      <c r="J21" s="26">
        <f t="shared" si="858"/>
        <v>1100920</v>
      </c>
      <c r="K21" s="26">
        <f t="shared" si="858"/>
        <v>1580428.704951382</v>
      </c>
      <c r="L21" s="27">
        <f t="shared" si="857"/>
        <v>0.33812832781469998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52"/>
        <v>0</v>
      </c>
      <c r="S21" s="35">
        <f t="shared" si="853"/>
        <v>1692548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9300D1-00C4-456D-8B3E-003B006E00B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600C1-00C1-4C97-9F92-0027003100C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C6007B-0043-45F0-9280-007C00F4009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B90050-00C4-49FF-8533-00C5002200E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120033-00B7-4050-B276-00E5008B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B900A5-00B9-441B-81B4-00F8005A00E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4D0064-005E-4D64-84B2-00E3002100A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210038-0055-4FEE-9BBD-0005002A008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BD0043-00F4-41D5-9052-00C1001E00E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A30023-00E2-45F5-A4C0-003C003B004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E400B5-00A6-4964-B27D-00410006000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100DF-009C-4010-8102-006400BA00D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27" activeCellId="0" sqref="H27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63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68">C3*D3</f>
        <v>1870761.2046759115</v>
      </c>
      <c r="F3" s="13">
        <v>130016</v>
      </c>
      <c r="G3" s="13">
        <v>447918</v>
      </c>
      <c r="H3" s="13">
        <v>0</v>
      </c>
      <c r="I3" s="16">
        <f t="shared" ref="I3:I17" si="69">F3+H3</f>
        <v>130016</v>
      </c>
      <c r="J3" s="17">
        <f t="shared" ref="J3:J17" si="70">C3-G3</f>
        <v>198872</v>
      </c>
      <c r="K3" s="18">
        <f t="shared" ref="K3:K17" si="71">+G3*D3</f>
        <v>1295548.1953586556</v>
      </c>
      <c r="L3" s="19">
        <f t="shared" ref="L3:L11" si="72">K3/E3</f>
        <v>0.69252462159278894</v>
      </c>
      <c r="M3" s="33">
        <v>0</v>
      </c>
      <c r="N3" s="33">
        <v>0</v>
      </c>
      <c r="O3" s="33">
        <v>0</v>
      </c>
      <c r="P3" s="33">
        <v>222000</v>
      </c>
      <c r="Q3" s="40">
        <f>7*18500</f>
        <v>129500</v>
      </c>
      <c r="R3" s="34">
        <f t="shared" ref="R3:R18" si="73">M3+N3+O3+P3+Q3</f>
        <v>351500</v>
      </c>
      <c r="S3" s="35">
        <f t="shared" ref="S3:S18" si="74">G3+I3+R3</f>
        <v>929434</v>
      </c>
      <c r="T3" s="35">
        <f t="shared" ref="T3:T17" si="75">S3-C3</f>
        <v>282644</v>
      </c>
      <c r="U3" s="19">
        <f t="shared" ref="U3:U17" si="76">S3/C3</f>
        <v>1.4369950061070826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68"/>
        <v>390880.30588673195</v>
      </c>
      <c r="F4" s="13">
        <v>142793</v>
      </c>
      <c r="G4" s="13">
        <v>299987</v>
      </c>
      <c r="H4" s="13">
        <v>0</v>
      </c>
      <c r="I4" s="16">
        <f t="shared" si="69"/>
        <v>142793</v>
      </c>
      <c r="J4" s="17">
        <f t="shared" si="70"/>
        <v>13</v>
      </c>
      <c r="K4" s="18">
        <f t="shared" si="71"/>
        <v>390863.3677401435</v>
      </c>
      <c r="L4" s="19">
        <f t="shared" si="7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73"/>
        <v>0</v>
      </c>
      <c r="S4" s="35">
        <f t="shared" si="74"/>
        <v>442780</v>
      </c>
      <c r="T4" s="35">
        <f t="shared" si="75"/>
        <v>142780</v>
      </c>
      <c r="U4" s="19">
        <f t="shared" si="7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68"/>
        <v>0</v>
      </c>
      <c r="F5" s="13">
        <v>0</v>
      </c>
      <c r="G5" s="13">
        <v>0</v>
      </c>
      <c r="H5" s="13">
        <v>0</v>
      </c>
      <c r="I5" s="16">
        <f t="shared" si="69"/>
        <v>0</v>
      </c>
      <c r="J5" s="17">
        <f t="shared" si="70"/>
        <v>0</v>
      </c>
      <c r="K5" s="18">
        <f t="shared" si="7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73"/>
        <v>0</v>
      </c>
      <c r="S5" s="35">
        <f t="shared" si="74"/>
        <v>0</v>
      </c>
      <c r="T5" s="35">
        <f t="shared" si="75"/>
        <v>0</v>
      </c>
      <c r="U5" s="19" t="e">
        <f t="shared" si="7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68"/>
        <v>644777.55587835144</v>
      </c>
      <c r="F6" s="13">
        <v>0</v>
      </c>
      <c r="G6" s="13">
        <v>411573</v>
      </c>
      <c r="H6" s="13">
        <v>189503</v>
      </c>
      <c r="I6" s="16">
        <f t="shared" si="69"/>
        <v>189503</v>
      </c>
      <c r="J6" s="17">
        <f t="shared" si="70"/>
        <v>152523</v>
      </c>
      <c r="K6" s="18">
        <f t="shared" si="71"/>
        <v>470439.48726018396</v>
      </c>
      <c r="L6" s="19">
        <f t="shared" si="72"/>
        <v>0.72961517188563652</v>
      </c>
      <c r="M6" s="33">
        <v>0</v>
      </c>
      <c r="N6" s="33">
        <v>0</v>
      </c>
      <c r="O6" s="33">
        <v>0</v>
      </c>
      <c r="P6" s="33">
        <v>346500</v>
      </c>
      <c r="Q6" s="33">
        <v>93500</v>
      </c>
      <c r="R6" s="34">
        <f t="shared" si="73"/>
        <v>440000</v>
      </c>
      <c r="S6" s="35">
        <f t="shared" si="74"/>
        <v>1041076</v>
      </c>
      <c r="T6" s="35">
        <f t="shared" si="75"/>
        <v>476980</v>
      </c>
      <c r="U6" s="19">
        <f t="shared" si="76"/>
        <v>1.8455652938506921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68"/>
        <v>221472.43814627349</v>
      </c>
      <c r="F7" s="13">
        <v>0</v>
      </c>
      <c r="G7" s="13">
        <v>0</v>
      </c>
      <c r="H7" s="13">
        <v>0</v>
      </c>
      <c r="I7" s="16">
        <f t="shared" si="69"/>
        <v>0</v>
      </c>
      <c r="J7" s="17">
        <f t="shared" si="70"/>
        <v>349200</v>
      </c>
      <c r="K7" s="18">
        <f t="shared" si="71"/>
        <v>0</v>
      </c>
      <c r="L7" s="19">
        <f t="shared" si="72"/>
        <v>0</v>
      </c>
      <c r="M7" s="33">
        <v>0</v>
      </c>
      <c r="N7" s="33">
        <v>0</v>
      </c>
      <c r="O7" s="33">
        <v>0</v>
      </c>
      <c r="P7" s="33">
        <f>3*87000</f>
        <v>261000</v>
      </c>
      <c r="Q7" s="33">
        <v>0</v>
      </c>
      <c r="R7" s="34">
        <f t="shared" si="73"/>
        <v>261000</v>
      </c>
      <c r="S7" s="35">
        <f t="shared" si="74"/>
        <v>261000</v>
      </c>
      <c r="T7" s="35">
        <f t="shared" si="75"/>
        <v>-88200</v>
      </c>
      <c r="U7" s="19">
        <f t="shared" si="76"/>
        <v>0.74742268041237114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68"/>
        <v>585037.49652426294</v>
      </c>
      <c r="F8" s="13">
        <v>0</v>
      </c>
      <c r="G8" s="13">
        <v>481535</v>
      </c>
      <c r="H8" s="13">
        <v>0</v>
      </c>
      <c r="I8" s="16">
        <f t="shared" si="69"/>
        <v>0</v>
      </c>
      <c r="J8" s="17">
        <f t="shared" si="70"/>
        <v>173215</v>
      </c>
      <c r="K8" s="18">
        <f t="shared" si="71"/>
        <v>430265.03381261695</v>
      </c>
      <c r="L8" s="19">
        <f t="shared" si="72"/>
        <v>0.73544864452080949</v>
      </c>
      <c r="M8" s="33">
        <v>0</v>
      </c>
      <c r="N8" s="33">
        <v>0</v>
      </c>
      <c r="O8" s="33">
        <v>0</v>
      </c>
      <c r="P8" s="33">
        <v>261000</v>
      </c>
      <c r="Q8" s="33">
        <v>0</v>
      </c>
      <c r="R8" s="34">
        <f t="shared" si="73"/>
        <v>261000</v>
      </c>
      <c r="S8" s="35">
        <f t="shared" si="74"/>
        <v>742535</v>
      </c>
      <c r="T8" s="35">
        <f t="shared" si="75"/>
        <v>87785</v>
      </c>
      <c r="U8" s="19">
        <f t="shared" si="76"/>
        <v>1.134074074074074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68"/>
        <v>216656.93033237188</v>
      </c>
      <c r="F9" s="13">
        <v>231850</v>
      </c>
      <c r="G9" s="13">
        <v>0</v>
      </c>
      <c r="H9" s="13">
        <v>0</v>
      </c>
      <c r="I9" s="16">
        <f t="shared" si="69"/>
        <v>231850</v>
      </c>
      <c r="J9" s="17">
        <f t="shared" si="70"/>
        <v>202800</v>
      </c>
      <c r="K9" s="18">
        <f t="shared" si="71"/>
        <v>0</v>
      </c>
      <c r="L9" s="19">
        <f t="shared" si="72"/>
        <v>0</v>
      </c>
      <c r="M9" s="33">
        <v>0</v>
      </c>
      <c r="N9" s="33">
        <v>0</v>
      </c>
      <c r="O9" s="33">
        <v>0</v>
      </c>
      <c r="P9" s="33">
        <v>234000</v>
      </c>
      <c r="Q9" s="33">
        <v>0</v>
      </c>
      <c r="R9" s="34">
        <f t="shared" si="73"/>
        <v>234000</v>
      </c>
      <c r="S9" s="35">
        <f t="shared" si="74"/>
        <v>465850</v>
      </c>
      <c r="T9" s="35">
        <f t="shared" si="75"/>
        <v>263050</v>
      </c>
      <c r="U9" s="19">
        <f t="shared" si="76"/>
        <v>2.2970907297830374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68"/>
        <v>505114.07016586867</v>
      </c>
      <c r="F10" s="13">
        <v>0</v>
      </c>
      <c r="G10" s="13">
        <v>233346</v>
      </c>
      <c r="H10" s="13">
        <v>0</v>
      </c>
      <c r="I10" s="16">
        <f t="shared" si="69"/>
        <v>0</v>
      </c>
      <c r="J10" s="17">
        <f t="shared" si="70"/>
        <v>-540</v>
      </c>
      <c r="K10" s="18">
        <f t="shared" si="71"/>
        <v>506285.6963176413</v>
      </c>
      <c r="L10" s="19">
        <f t="shared" si="72"/>
        <v>1.0023195278472206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73"/>
        <v>6</v>
      </c>
      <c r="S10" s="35">
        <f t="shared" si="74"/>
        <v>233352</v>
      </c>
      <c r="T10" s="35">
        <f t="shared" si="75"/>
        <v>546</v>
      </c>
      <c r="U10" s="19">
        <f t="shared" si="7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68"/>
        <v>58121.655911310321</v>
      </c>
      <c r="F11" s="13">
        <v>0</v>
      </c>
      <c r="G11" s="13">
        <v>37379</v>
      </c>
      <c r="H11" s="13">
        <v>0</v>
      </c>
      <c r="I11" s="16">
        <f t="shared" si="69"/>
        <v>0</v>
      </c>
      <c r="J11" s="17">
        <f t="shared" si="70"/>
        <v>0</v>
      </c>
      <c r="K11" s="18">
        <f t="shared" si="71"/>
        <v>58121.655911310321</v>
      </c>
      <c r="L11" s="19">
        <f t="shared" si="7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73"/>
        <v>0</v>
      </c>
      <c r="S11" s="35">
        <f t="shared" si="74"/>
        <v>37379</v>
      </c>
      <c r="T11" s="35">
        <f t="shared" si="75"/>
        <v>0</v>
      </c>
      <c r="U11" s="19">
        <f t="shared" si="7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68"/>
        <v>0</v>
      </c>
      <c r="F12" s="13"/>
      <c r="G12" s="13">
        <v>0</v>
      </c>
      <c r="H12" s="13">
        <v>0</v>
      </c>
      <c r="I12" s="16">
        <f t="shared" si="69"/>
        <v>0</v>
      </c>
      <c r="J12" s="17">
        <f t="shared" si="70"/>
        <v>0</v>
      </c>
      <c r="K12" s="18">
        <f t="shared" si="7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73"/>
        <v>0</v>
      </c>
      <c r="S12" s="35">
        <f t="shared" si="74"/>
        <v>0</v>
      </c>
      <c r="T12" s="35">
        <f t="shared" si="75"/>
        <v>0</v>
      </c>
      <c r="U12" s="19" t="e">
        <f t="shared" si="7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68"/>
        <v>0</v>
      </c>
      <c r="F13" s="13"/>
      <c r="G13" s="13">
        <v>0</v>
      </c>
      <c r="H13" s="13">
        <v>0</v>
      </c>
      <c r="I13" s="16">
        <f t="shared" si="69"/>
        <v>0</v>
      </c>
      <c r="J13" s="17">
        <f t="shared" si="70"/>
        <v>0</v>
      </c>
      <c r="K13" s="18">
        <f t="shared" si="7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73"/>
        <v>0</v>
      </c>
      <c r="S13" s="35">
        <f t="shared" si="74"/>
        <v>0</v>
      </c>
      <c r="T13" s="35">
        <f t="shared" si="75"/>
        <v>0</v>
      </c>
      <c r="U13" s="19" t="e">
        <f t="shared" si="7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68"/>
        <v>0</v>
      </c>
      <c r="F14" s="13"/>
      <c r="G14" s="13">
        <v>0</v>
      </c>
      <c r="H14" s="13">
        <v>0</v>
      </c>
      <c r="I14" s="16">
        <f t="shared" si="69"/>
        <v>0</v>
      </c>
      <c r="J14" s="17">
        <f t="shared" si="70"/>
        <v>0</v>
      </c>
      <c r="K14" s="18">
        <f t="shared" si="7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73"/>
        <v>0</v>
      </c>
      <c r="S14" s="35">
        <f t="shared" si="74"/>
        <v>0</v>
      </c>
      <c r="T14" s="35">
        <f t="shared" si="75"/>
        <v>0</v>
      </c>
      <c r="U14" s="19" t="e">
        <f t="shared" si="7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68"/>
        <v>0</v>
      </c>
      <c r="F15" s="13"/>
      <c r="G15" s="13">
        <v>0</v>
      </c>
      <c r="H15" s="13">
        <v>0</v>
      </c>
      <c r="I15" s="16">
        <f t="shared" si="69"/>
        <v>0</v>
      </c>
      <c r="J15" s="17">
        <f t="shared" si="70"/>
        <v>0</v>
      </c>
      <c r="K15" s="18">
        <f t="shared" si="7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73"/>
        <v>0</v>
      </c>
      <c r="S15" s="35">
        <f t="shared" si="74"/>
        <v>0</v>
      </c>
      <c r="T15" s="35">
        <f t="shared" si="75"/>
        <v>0</v>
      </c>
      <c r="U15" s="19" t="e">
        <f t="shared" si="7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68"/>
        <v>0</v>
      </c>
      <c r="F16" s="13"/>
      <c r="G16" s="13">
        <v>0</v>
      </c>
      <c r="H16" s="13">
        <v>0</v>
      </c>
      <c r="I16" s="16">
        <f t="shared" si="69"/>
        <v>0</v>
      </c>
      <c r="J16" s="17">
        <f t="shared" si="70"/>
        <v>0</v>
      </c>
      <c r="K16" s="18">
        <f t="shared" si="7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73"/>
        <v>0</v>
      </c>
      <c r="S16" s="35">
        <f t="shared" si="74"/>
        <v>0</v>
      </c>
      <c r="T16" s="35">
        <f t="shared" si="75"/>
        <v>0</v>
      </c>
      <c r="U16" s="19" t="e">
        <f t="shared" si="7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68"/>
        <v>3629.0452579287512</v>
      </c>
      <c r="F17" s="13">
        <v>50000</v>
      </c>
      <c r="G17" s="13">
        <v>787</v>
      </c>
      <c r="H17" s="13">
        <v>0</v>
      </c>
      <c r="I17" s="16">
        <f t="shared" si="69"/>
        <v>50000</v>
      </c>
      <c r="J17" s="17">
        <f t="shared" si="70"/>
        <v>400</v>
      </c>
      <c r="K17" s="18">
        <f t="shared" si="71"/>
        <v>2406.1150951894924</v>
      </c>
      <c r="L17" s="19">
        <f t="shared" ref="L17:L18" si="7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73"/>
        <v>0</v>
      </c>
      <c r="S17" s="35">
        <f t="shared" si="74"/>
        <v>50787</v>
      </c>
      <c r="T17" s="35">
        <f t="shared" si="75"/>
        <v>49600</v>
      </c>
      <c r="U17" s="19">
        <f t="shared" si="7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1912525</v>
      </c>
      <c r="H18" s="24">
        <f>SUM(H3:H17)</f>
        <v>189503</v>
      </c>
      <c r="I18" s="25">
        <f>SUM(I3:I17)</f>
        <v>744162</v>
      </c>
      <c r="J18" s="26">
        <f>SUM(J3:J17)</f>
        <v>1076483</v>
      </c>
      <c r="K18" s="26">
        <f>SUM(K3:K17)</f>
        <v>3153929.5514957411</v>
      </c>
      <c r="L18" s="27">
        <f t="shared" si="77"/>
        <v>0.70142647167163841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73"/>
        <v>0</v>
      </c>
      <c r="S18" s="35">
        <f t="shared" si="74"/>
        <v>2656687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7D009E-000D-4764-A2B4-00DE0036008E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CD0052-005C-4B9C-882E-008000D900D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CD00E0-0051-4559-9352-008F00C7003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090005-00E9-407A-8CD7-00C700A500E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C50000-0095-4EF0-B00D-00F700E3001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1B00D8-00B0-4BDC-AC2D-005D0080006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A3009E-0097-48B9-8A8A-00B60067007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14" activeCellId="0" sqref="G14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161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59">C3*D3</f>
        <v>1083560.0226702918</v>
      </c>
      <c r="F3" s="13">
        <v>75533</v>
      </c>
      <c r="G3" s="44">
        <v>280116</v>
      </c>
      <c r="H3" s="13">
        <v>0</v>
      </c>
      <c r="I3" s="16">
        <f t="shared" ref="I3:I20" si="860">F3+H3</f>
        <v>75533</v>
      </c>
      <c r="J3" s="17">
        <f t="shared" ref="J3:J20" si="861">C3-G3</f>
        <v>94510</v>
      </c>
      <c r="K3" s="18">
        <f t="shared" ref="K3:K19" si="862">+G3*D3</f>
        <v>810201.3723295005</v>
      </c>
      <c r="L3" s="19">
        <f t="shared" ref="L3:L11" si="863">K3/E3</f>
        <v>0.74772172780319568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864">M3+N3+O3+P3+Q3</f>
        <v>0</v>
      </c>
      <c r="S3" s="35">
        <f t="shared" ref="S3:S21" si="865">G3+I3+R3</f>
        <v>355649</v>
      </c>
      <c r="T3" s="35">
        <f t="shared" ref="T3:T20" si="866">S3-C3</f>
        <v>-18977</v>
      </c>
      <c r="U3" s="19">
        <f t="shared" ref="U3:U20" si="867">S3/C3</f>
        <v>0.94934414589483906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59"/>
        <v>649805.93517786788</v>
      </c>
      <c r="F4" s="13">
        <v>267716</v>
      </c>
      <c r="G4" s="13">
        <v>61518</v>
      </c>
      <c r="H4" s="13">
        <v>0</v>
      </c>
      <c r="I4" s="16">
        <f t="shared" si="860"/>
        <v>267716</v>
      </c>
      <c r="J4" s="17">
        <f t="shared" si="861"/>
        <v>437207</v>
      </c>
      <c r="K4" s="18">
        <f t="shared" si="862"/>
        <v>80153.915525133256</v>
      </c>
      <c r="L4" s="19">
        <f t="shared" si="863"/>
        <v>0.12335054388691165</v>
      </c>
      <c r="M4" s="34">
        <v>0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64"/>
        <v>712952</v>
      </c>
      <c r="S4" s="35">
        <f t="shared" si="865"/>
        <v>1042186</v>
      </c>
      <c r="T4" s="35">
        <f t="shared" si="866"/>
        <v>543461</v>
      </c>
      <c r="U4" s="19">
        <f t="shared" si="867"/>
        <v>2.0897007368790415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59"/>
        <v>0</v>
      </c>
      <c r="F5" s="13">
        <v>0</v>
      </c>
      <c r="G5" s="13">
        <v>0</v>
      </c>
      <c r="H5" s="13">
        <v>0</v>
      </c>
      <c r="I5" s="16">
        <f t="shared" si="860"/>
        <v>0</v>
      </c>
      <c r="J5" s="17">
        <f t="shared" si="861"/>
        <v>0</v>
      </c>
      <c r="K5" s="18">
        <f t="shared" si="86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64"/>
        <v>0</v>
      </c>
      <c r="S5" s="35">
        <f t="shared" si="865"/>
        <v>0</v>
      </c>
      <c r="T5" s="35">
        <f t="shared" si="866"/>
        <v>0</v>
      </c>
      <c r="U5" s="19" t="e">
        <f t="shared" si="867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59"/>
        <v>258147.17194829654</v>
      </c>
      <c r="F6" s="13">
        <v>221782</v>
      </c>
      <c r="G6" s="44">
        <v>132877</v>
      </c>
      <c r="H6" s="44">
        <v>0</v>
      </c>
      <c r="I6" s="16">
        <f t="shared" si="860"/>
        <v>221782</v>
      </c>
      <c r="J6" s="17">
        <f t="shared" si="861"/>
        <v>92968</v>
      </c>
      <c r="K6" s="18">
        <f t="shared" si="862"/>
        <v>151882.13937423364</v>
      </c>
      <c r="L6" s="19">
        <f t="shared" si="863"/>
        <v>0.58835484513715153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864"/>
        <v>0</v>
      </c>
      <c r="S6" s="35">
        <f t="shared" si="865"/>
        <v>354659</v>
      </c>
      <c r="T6" s="35">
        <f t="shared" si="866"/>
        <v>128814</v>
      </c>
      <c r="U6" s="19">
        <f t="shared" si="867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59"/>
        <v>138084.13297023674</v>
      </c>
      <c r="F7" s="13">
        <v>0</v>
      </c>
      <c r="G7" s="44">
        <v>229798</v>
      </c>
      <c r="H7" s="13">
        <v>178200</v>
      </c>
      <c r="I7" s="16">
        <f t="shared" si="860"/>
        <v>178200</v>
      </c>
      <c r="J7" s="17">
        <f t="shared" si="861"/>
        <v>-12078</v>
      </c>
      <c r="K7" s="18">
        <f t="shared" si="862"/>
        <v>145744.33946488361</v>
      </c>
      <c r="L7" s="19">
        <f t="shared" si="863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64"/>
        <v>0</v>
      </c>
      <c r="S7" s="35">
        <f t="shared" si="865"/>
        <v>407998</v>
      </c>
      <c r="T7" s="35">
        <f t="shared" si="866"/>
        <v>190278</v>
      </c>
      <c r="U7" s="19">
        <f t="shared" si="867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59"/>
        <v>257038.53610178718</v>
      </c>
      <c r="F8" s="44">
        <v>318563</v>
      </c>
      <c r="G8" s="13">
        <v>287667</v>
      </c>
      <c r="H8" s="44">
        <v>0</v>
      </c>
      <c r="I8" s="16">
        <f t="shared" si="860"/>
        <v>318563</v>
      </c>
      <c r="J8" s="17">
        <f t="shared" si="861"/>
        <v>0</v>
      </c>
      <c r="K8" s="18">
        <f t="shared" si="862"/>
        <v>257038.53610178718</v>
      </c>
      <c r="L8" s="19">
        <f t="shared" si="863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864"/>
        <v>0</v>
      </c>
      <c r="S8" s="35">
        <f t="shared" si="865"/>
        <v>606230</v>
      </c>
      <c r="T8" s="35">
        <f t="shared" si="866"/>
        <v>318563</v>
      </c>
      <c r="U8" s="19">
        <f t="shared" si="867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59"/>
        <v>79590.440383440364</v>
      </c>
      <c r="F9" s="13">
        <v>58575</v>
      </c>
      <c r="G9" s="13">
        <v>74500</v>
      </c>
      <c r="H9" s="13">
        <v>0</v>
      </c>
      <c r="I9" s="16">
        <f t="shared" si="860"/>
        <v>58575</v>
      </c>
      <c r="J9" s="17">
        <f t="shared" si="861"/>
        <v>0</v>
      </c>
      <c r="K9" s="18">
        <f t="shared" si="862"/>
        <v>79590.440383440364</v>
      </c>
      <c r="L9" s="19">
        <f t="shared" si="863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64"/>
        <v>0</v>
      </c>
      <c r="S9" s="35">
        <f t="shared" si="865"/>
        <v>133075</v>
      </c>
      <c r="T9" s="35">
        <f t="shared" si="866"/>
        <v>58575</v>
      </c>
      <c r="U9" s="19">
        <f t="shared" si="867"/>
        <v>1.786241610738255</v>
      </c>
    </row>
    <row r="10">
      <c r="A10" s="9" t="s">
        <v>34</v>
      </c>
      <c r="B10" s="9" t="s">
        <v>35</v>
      </c>
      <c r="C10" s="14">
        <v>230838</v>
      </c>
      <c r="D10" s="11">
        <v>2.1696780588381257</v>
      </c>
      <c r="E10" s="12">
        <f t="shared" si="859"/>
        <v>500844.14374607528</v>
      </c>
      <c r="F10" s="13">
        <v>0</v>
      </c>
      <c r="G10" s="13">
        <v>0</v>
      </c>
      <c r="H10" s="13">
        <v>0</v>
      </c>
      <c r="I10" s="16">
        <f t="shared" si="860"/>
        <v>0</v>
      </c>
      <c r="J10" s="17">
        <f t="shared" si="861"/>
        <v>230838</v>
      </c>
      <c r="K10" s="18">
        <f t="shared" si="862"/>
        <v>0</v>
      </c>
      <c r="L10" s="19">
        <f t="shared" si="863"/>
        <v>0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64"/>
        <v>0</v>
      </c>
      <c r="S10" s="35">
        <f t="shared" si="865"/>
        <v>0</v>
      </c>
      <c r="T10" s="35">
        <f t="shared" si="866"/>
        <v>-230838</v>
      </c>
      <c r="U10" s="19">
        <f t="shared" si="867"/>
        <v>0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59"/>
        <v>0</v>
      </c>
      <c r="F11" s="13">
        <v>0</v>
      </c>
      <c r="G11" s="13">
        <v>0</v>
      </c>
      <c r="H11" s="13">
        <v>0</v>
      </c>
      <c r="I11" s="16">
        <f t="shared" si="860"/>
        <v>0</v>
      </c>
      <c r="J11" s="17">
        <f t="shared" si="861"/>
        <v>0</v>
      </c>
      <c r="K11" s="18">
        <f t="shared" si="862"/>
        <v>0</v>
      </c>
      <c r="L11" s="19" t="e">
        <f t="shared" si="863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64"/>
        <v>0</v>
      </c>
      <c r="S11" s="35">
        <f t="shared" si="865"/>
        <v>0</v>
      </c>
      <c r="T11" s="35">
        <f t="shared" si="866"/>
        <v>0</v>
      </c>
      <c r="U11" s="19" t="e">
        <f t="shared" si="86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59"/>
        <v>0</v>
      </c>
      <c r="F12" s="13">
        <v>0</v>
      </c>
      <c r="G12" s="13">
        <v>0</v>
      </c>
      <c r="H12" s="13">
        <v>0</v>
      </c>
      <c r="I12" s="16">
        <f t="shared" si="860"/>
        <v>0</v>
      </c>
      <c r="J12" s="17">
        <f t="shared" si="86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64"/>
        <v>0</v>
      </c>
      <c r="S12" s="35">
        <f t="shared" si="865"/>
        <v>0</v>
      </c>
      <c r="T12" s="35">
        <f t="shared" si="866"/>
        <v>0</v>
      </c>
      <c r="U12" s="19" t="e">
        <f t="shared" si="867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59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61"/>
        <v>-60</v>
      </c>
      <c r="K13" s="18">
        <f t="shared" si="862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64"/>
        <v>0</v>
      </c>
      <c r="S13" s="35">
        <f t="shared" si="865"/>
        <v>33460</v>
      </c>
      <c r="T13" s="35">
        <f t="shared" si="866"/>
        <v>60</v>
      </c>
      <c r="U13" s="19">
        <f t="shared" si="867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59"/>
        <v>0</v>
      </c>
      <c r="F14" s="13">
        <v>0</v>
      </c>
      <c r="G14" s="13">
        <v>0</v>
      </c>
      <c r="H14" s="13">
        <v>0</v>
      </c>
      <c r="I14" s="16">
        <f t="shared" si="860"/>
        <v>0</v>
      </c>
      <c r="J14" s="17">
        <f t="shared" si="861"/>
        <v>0</v>
      </c>
      <c r="K14" s="18">
        <f t="shared" si="86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64"/>
        <v>0</v>
      </c>
      <c r="S14" s="35">
        <f t="shared" si="865"/>
        <v>0</v>
      </c>
      <c r="T14" s="35">
        <f t="shared" si="866"/>
        <v>0</v>
      </c>
      <c r="U14" s="19" t="e">
        <f t="shared" si="867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59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61"/>
        <v>0</v>
      </c>
      <c r="K15" s="18">
        <f t="shared" si="86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64"/>
        <v>0</v>
      </c>
      <c r="S15" s="35">
        <f t="shared" si="865"/>
        <v>0</v>
      </c>
      <c r="T15" s="35">
        <f t="shared" si="866"/>
        <v>0</v>
      </c>
      <c r="U15" s="19" t="e">
        <f t="shared" si="867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59"/>
        <v>880480.2848245952</v>
      </c>
      <c r="F16" s="13">
        <v>0</v>
      </c>
      <c r="G16" s="13">
        <v>0</v>
      </c>
      <c r="H16" s="13">
        <v>0</v>
      </c>
      <c r="I16" s="16">
        <f t="shared" si="860"/>
        <v>0</v>
      </c>
      <c r="J16" s="17">
        <f t="shared" si="861"/>
        <v>73000</v>
      </c>
      <c r="K16" s="18">
        <f t="shared" ref="K16:K18" si="868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64"/>
        <v>72973</v>
      </c>
      <c r="S16" s="35">
        <f t="shared" si="865"/>
        <v>72973</v>
      </c>
      <c r="T16" s="35">
        <f t="shared" si="866"/>
        <v>-27</v>
      </c>
      <c r="U16" s="19">
        <f t="shared" si="867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59"/>
        <v>40577.039735978113</v>
      </c>
      <c r="F17" s="13">
        <v>0</v>
      </c>
      <c r="G17" s="13">
        <v>0</v>
      </c>
      <c r="H17" s="13">
        <v>0</v>
      </c>
      <c r="I17" s="16">
        <f t="shared" si="860"/>
        <v>0</v>
      </c>
      <c r="J17" s="17">
        <f t="shared" si="861"/>
        <v>5971</v>
      </c>
      <c r="K17" s="18">
        <f t="shared" si="868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59"/>
        <v>641315.99429886416</v>
      </c>
      <c r="F18" s="13">
        <v>0</v>
      </c>
      <c r="G18" s="13">
        <v>0</v>
      </c>
      <c r="H18" s="13">
        <v>0</v>
      </c>
      <c r="I18" s="16">
        <f t="shared" si="860"/>
        <v>0</v>
      </c>
      <c r="J18" s="17">
        <f t="shared" si="861"/>
        <v>63917</v>
      </c>
      <c r="K18" s="18">
        <f t="shared" si="868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59"/>
        <v>0</v>
      </c>
      <c r="F19" s="13">
        <v>0</v>
      </c>
      <c r="G19" s="13">
        <v>0</v>
      </c>
      <c r="H19" s="13">
        <v>0</v>
      </c>
      <c r="I19" s="16">
        <f t="shared" si="860"/>
        <v>0</v>
      </c>
      <c r="J19" s="17">
        <f t="shared" si="861"/>
        <v>0</v>
      </c>
      <c r="K19" s="18">
        <f t="shared" si="86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64"/>
        <v>0</v>
      </c>
      <c r="S19" s="35">
        <f t="shared" si="865"/>
        <v>0</v>
      </c>
      <c r="T19" s="35">
        <f t="shared" si="866"/>
        <v>0</v>
      </c>
      <c r="U19" s="19" t="e">
        <f t="shared" si="867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59"/>
        <v>0</v>
      </c>
      <c r="F20" s="13">
        <v>0</v>
      </c>
      <c r="G20" s="13">
        <v>0</v>
      </c>
      <c r="H20" s="13">
        <v>0</v>
      </c>
      <c r="I20" s="16">
        <f t="shared" si="860"/>
        <v>0</v>
      </c>
      <c r="J20" s="17">
        <f t="shared" si="861"/>
        <v>0</v>
      </c>
      <c r="K20" s="18">
        <f>+G20*D20</f>
        <v>0</v>
      </c>
      <c r="L20" s="19" t="e">
        <f t="shared" ref="L20:L21" si="869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64"/>
        <v>0</v>
      </c>
      <c r="S20" s="35">
        <f t="shared" si="865"/>
        <v>0</v>
      </c>
      <c r="T20" s="35">
        <f t="shared" si="866"/>
        <v>0</v>
      </c>
      <c r="U20" s="19" t="e">
        <f t="shared" si="867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870">SUM(E3:E20)</f>
        <v>4674049.9832285084</v>
      </c>
      <c r="F21" s="24">
        <f t="shared" si="870"/>
        <v>942169</v>
      </c>
      <c r="G21" s="24">
        <f t="shared" si="870"/>
        <v>1099936</v>
      </c>
      <c r="H21" s="24">
        <f t="shared" si="870"/>
        <v>178200</v>
      </c>
      <c r="I21" s="25">
        <f t="shared" si="870"/>
        <v>1120369</v>
      </c>
      <c r="J21" s="26">
        <f t="shared" si="870"/>
        <v>986273</v>
      </c>
      <c r="K21" s="26">
        <f t="shared" si="870"/>
        <v>1669476.7963129964</v>
      </c>
      <c r="L21" s="27">
        <f t="shared" si="869"/>
        <v>0.35717991940681776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64"/>
        <v>0</v>
      </c>
      <c r="S21" s="35">
        <f t="shared" si="865"/>
        <v>2220305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E3004C-0065-4794-9E01-002200A000B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6E0039-0070-4D6B-A740-004D008900A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F000BE-008C-4720-9E0D-00D6007A007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790047-008E-40BF-A9DB-00AF0022004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7000A6-0055-4ECF-9B16-00090069002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D900B8-003F-4F63-A2AF-000600F300D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6100CA-0072-4B1A-BCCB-00B3008E00B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3700CD-00FF-4508-9BCA-00B70079009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0A00A7-00A1-452B-B410-00FA00D6006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A600D1-000B-4FEC-8A56-005300AD009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B0015-004A-46F7-B62F-00800085009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340003-00AC-41CC-9BC2-00DF00CD00C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H18" activeCellId="0" sqref="H18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162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71">C3*D3</f>
        <v>1083560.0226702918</v>
      </c>
      <c r="F3" s="13">
        <v>111512</v>
      </c>
      <c r="G3" s="44">
        <v>355649</v>
      </c>
      <c r="H3" s="13">
        <v>18977</v>
      </c>
      <c r="I3" s="16">
        <f t="shared" ref="I3:I20" si="872">F3+H3</f>
        <v>130489</v>
      </c>
      <c r="J3" s="17">
        <f t="shared" ref="J3:J20" si="873">C3-G3</f>
        <v>18977</v>
      </c>
      <c r="K3" s="18">
        <f t="shared" ref="K3:K19" si="874">+G3*D3</f>
        <v>1028671.3642477206</v>
      </c>
      <c r="L3" s="19">
        <f t="shared" ref="L3:L11" si="875">K3/E3</f>
        <v>0.94934414589483895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876">M3+N3+O3+P3+Q3</f>
        <v>0</v>
      </c>
      <c r="S3" s="35">
        <f t="shared" ref="S3:S21" si="877">G3+I3+R3</f>
        <v>486138</v>
      </c>
      <c r="T3" s="35">
        <f t="shared" ref="T3:T20" si="878">S3-C3</f>
        <v>111512</v>
      </c>
      <c r="U3" s="19">
        <f t="shared" ref="U3:U20" si="879">S3/C3</f>
        <v>1.2976622017692312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71"/>
        <v>649805.93517786788</v>
      </c>
      <c r="F4" s="13">
        <v>267716</v>
      </c>
      <c r="G4" s="13">
        <v>61518</v>
      </c>
      <c r="H4" s="13">
        <v>0</v>
      </c>
      <c r="I4" s="16">
        <f t="shared" si="872"/>
        <v>267716</v>
      </c>
      <c r="J4" s="17">
        <f t="shared" si="873"/>
        <v>437207</v>
      </c>
      <c r="K4" s="18">
        <f t="shared" si="874"/>
        <v>80153.915525133256</v>
      </c>
      <c r="L4" s="19">
        <f t="shared" si="875"/>
        <v>0.12335054388691165</v>
      </c>
      <c r="M4" s="34">
        <v>0</v>
      </c>
      <c r="N4" s="58">
        <v>267772</v>
      </c>
      <c r="O4" s="34">
        <v>445180</v>
      </c>
      <c r="P4" s="34">
        <v>0</v>
      </c>
      <c r="Q4" s="34">
        <v>0</v>
      </c>
      <c r="R4" s="34">
        <f t="shared" si="876"/>
        <v>712952</v>
      </c>
      <c r="S4" s="35">
        <f t="shared" si="877"/>
        <v>1042186</v>
      </c>
      <c r="T4" s="35">
        <f t="shared" si="878"/>
        <v>543461</v>
      </c>
      <c r="U4" s="19">
        <f t="shared" si="879"/>
        <v>2.0897007368790415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71"/>
        <v>0</v>
      </c>
      <c r="F5" s="13">
        <v>0</v>
      </c>
      <c r="G5" s="13">
        <v>0</v>
      </c>
      <c r="H5" s="13">
        <v>0</v>
      </c>
      <c r="I5" s="16">
        <f t="shared" si="872"/>
        <v>0</v>
      </c>
      <c r="J5" s="17">
        <f t="shared" si="873"/>
        <v>0</v>
      </c>
      <c r="K5" s="18">
        <f t="shared" si="87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76"/>
        <v>0</v>
      </c>
      <c r="S5" s="35">
        <f t="shared" si="877"/>
        <v>0</v>
      </c>
      <c r="T5" s="35">
        <f t="shared" si="878"/>
        <v>0</v>
      </c>
      <c r="U5" s="19" t="e">
        <f t="shared" si="879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71"/>
        <v>258147.17194829654</v>
      </c>
      <c r="F6" s="13">
        <v>128814</v>
      </c>
      <c r="G6" s="44">
        <v>225845</v>
      </c>
      <c r="H6" s="44">
        <v>0</v>
      </c>
      <c r="I6" s="16">
        <f t="shared" si="872"/>
        <v>128814</v>
      </c>
      <c r="J6" s="17">
        <f t="shared" si="873"/>
        <v>0</v>
      </c>
      <c r="K6" s="18">
        <f t="shared" si="874"/>
        <v>258147.17194829654</v>
      </c>
      <c r="L6" s="19">
        <f t="shared" si="875"/>
        <v>1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876"/>
        <v>0</v>
      </c>
      <c r="S6" s="35">
        <f t="shared" si="877"/>
        <v>354659</v>
      </c>
      <c r="T6" s="35">
        <f t="shared" si="878"/>
        <v>128814</v>
      </c>
      <c r="U6" s="19">
        <f t="shared" si="879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71"/>
        <v>138084.13297023674</v>
      </c>
      <c r="F7" s="13">
        <v>0</v>
      </c>
      <c r="G7" s="44">
        <v>229798</v>
      </c>
      <c r="H7" s="13">
        <v>178200</v>
      </c>
      <c r="I7" s="16">
        <f t="shared" si="872"/>
        <v>178200</v>
      </c>
      <c r="J7" s="17">
        <f t="shared" si="873"/>
        <v>-12078</v>
      </c>
      <c r="K7" s="18">
        <f t="shared" si="874"/>
        <v>145744.33946488361</v>
      </c>
      <c r="L7" s="19">
        <f t="shared" si="875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76"/>
        <v>0</v>
      </c>
      <c r="S7" s="35">
        <f t="shared" si="877"/>
        <v>407998</v>
      </c>
      <c r="T7" s="35">
        <f t="shared" si="878"/>
        <v>190278</v>
      </c>
      <c r="U7" s="19">
        <f t="shared" si="879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71"/>
        <v>257038.53610178718</v>
      </c>
      <c r="F8" s="44">
        <v>318563</v>
      </c>
      <c r="G8" s="13">
        <v>287667</v>
      </c>
      <c r="H8" s="44">
        <v>0</v>
      </c>
      <c r="I8" s="16">
        <f t="shared" si="872"/>
        <v>318563</v>
      </c>
      <c r="J8" s="17">
        <f t="shared" si="873"/>
        <v>0</v>
      </c>
      <c r="K8" s="18">
        <f t="shared" si="874"/>
        <v>257038.53610178718</v>
      </c>
      <c r="L8" s="19">
        <f t="shared" si="875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876"/>
        <v>0</v>
      </c>
      <c r="S8" s="35">
        <f t="shared" si="877"/>
        <v>606230</v>
      </c>
      <c r="T8" s="35">
        <f t="shared" si="878"/>
        <v>318563</v>
      </c>
      <c r="U8" s="19">
        <f t="shared" si="879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71"/>
        <v>79590.440383440364</v>
      </c>
      <c r="F9" s="13">
        <v>58575</v>
      </c>
      <c r="G9" s="13">
        <v>74500</v>
      </c>
      <c r="H9" s="13">
        <v>0</v>
      </c>
      <c r="I9" s="16">
        <f t="shared" si="872"/>
        <v>58575</v>
      </c>
      <c r="J9" s="17">
        <f t="shared" si="873"/>
        <v>0</v>
      </c>
      <c r="K9" s="18">
        <f t="shared" si="874"/>
        <v>79590.440383440364</v>
      </c>
      <c r="L9" s="19">
        <f t="shared" si="875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76"/>
        <v>0</v>
      </c>
      <c r="S9" s="35">
        <f t="shared" si="877"/>
        <v>133075</v>
      </c>
      <c r="T9" s="35">
        <f t="shared" si="878"/>
        <v>58575</v>
      </c>
      <c r="U9" s="19">
        <f t="shared" si="879"/>
        <v>1.786241610738255</v>
      </c>
    </row>
    <row r="10">
      <c r="A10" s="9" t="s">
        <v>34</v>
      </c>
      <c r="B10" s="9" t="s">
        <v>35</v>
      </c>
      <c r="C10" s="14">
        <v>230838</v>
      </c>
      <c r="D10" s="11">
        <v>2.1696780588381257</v>
      </c>
      <c r="E10" s="12">
        <f t="shared" si="871"/>
        <v>500844.14374607528</v>
      </c>
      <c r="F10" s="13">
        <v>0</v>
      </c>
      <c r="G10" s="13">
        <v>70400</v>
      </c>
      <c r="H10" s="13">
        <v>163447</v>
      </c>
      <c r="I10" s="16">
        <f t="shared" si="872"/>
        <v>163447</v>
      </c>
      <c r="J10" s="17">
        <f t="shared" si="873"/>
        <v>160438</v>
      </c>
      <c r="K10" s="18">
        <f t="shared" si="874"/>
        <v>152745.33534220405</v>
      </c>
      <c r="L10" s="19">
        <f t="shared" si="875"/>
        <v>0.30497578388306951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76"/>
        <v>0</v>
      </c>
      <c r="S10" s="35">
        <f t="shared" si="877"/>
        <v>233847</v>
      </c>
      <c r="T10" s="35">
        <f t="shared" si="878"/>
        <v>3009</v>
      </c>
      <c r="U10" s="19">
        <f t="shared" si="879"/>
        <v>1.0130351155355704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71"/>
        <v>0</v>
      </c>
      <c r="F11" s="13">
        <v>0</v>
      </c>
      <c r="G11" s="13">
        <v>0</v>
      </c>
      <c r="H11" s="13">
        <v>0</v>
      </c>
      <c r="I11" s="16">
        <f t="shared" si="872"/>
        <v>0</v>
      </c>
      <c r="J11" s="17">
        <f t="shared" si="873"/>
        <v>0</v>
      </c>
      <c r="K11" s="18">
        <f t="shared" si="874"/>
        <v>0</v>
      </c>
      <c r="L11" s="19" t="e">
        <f t="shared" si="875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76"/>
        <v>0</v>
      </c>
      <c r="S11" s="35">
        <f t="shared" si="877"/>
        <v>0</v>
      </c>
      <c r="T11" s="35">
        <f t="shared" si="878"/>
        <v>0</v>
      </c>
      <c r="U11" s="19" t="e">
        <f t="shared" si="87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71"/>
        <v>0</v>
      </c>
      <c r="F12" s="13">
        <v>0</v>
      </c>
      <c r="G12" s="13">
        <v>0</v>
      </c>
      <c r="H12" s="13">
        <v>0</v>
      </c>
      <c r="I12" s="16">
        <f t="shared" si="872"/>
        <v>0</v>
      </c>
      <c r="J12" s="17">
        <f t="shared" si="87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76"/>
        <v>0</v>
      </c>
      <c r="S12" s="35">
        <f t="shared" si="877"/>
        <v>0</v>
      </c>
      <c r="T12" s="35">
        <f t="shared" si="878"/>
        <v>0</v>
      </c>
      <c r="U12" s="19" t="e">
        <f t="shared" si="879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71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73"/>
        <v>-60</v>
      </c>
      <c r="K13" s="18">
        <f t="shared" si="874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76"/>
        <v>0</v>
      </c>
      <c r="S13" s="35">
        <f t="shared" si="877"/>
        <v>33460</v>
      </c>
      <c r="T13" s="35">
        <f t="shared" si="878"/>
        <v>60</v>
      </c>
      <c r="U13" s="19">
        <f t="shared" si="879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71"/>
        <v>0</v>
      </c>
      <c r="F14" s="13">
        <v>0</v>
      </c>
      <c r="G14" s="13">
        <v>0</v>
      </c>
      <c r="H14" s="13">
        <v>0</v>
      </c>
      <c r="I14" s="16">
        <f t="shared" si="872"/>
        <v>0</v>
      </c>
      <c r="J14" s="17">
        <f t="shared" si="873"/>
        <v>0</v>
      </c>
      <c r="K14" s="18">
        <f t="shared" si="87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76"/>
        <v>0</v>
      </c>
      <c r="S14" s="35">
        <f t="shared" si="877"/>
        <v>0</v>
      </c>
      <c r="T14" s="35">
        <f t="shared" si="878"/>
        <v>0</v>
      </c>
      <c r="U14" s="19" t="e">
        <f t="shared" si="879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71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73"/>
        <v>0</v>
      </c>
      <c r="K15" s="18">
        <f t="shared" si="87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76"/>
        <v>0</v>
      </c>
      <c r="S15" s="35">
        <f t="shared" si="877"/>
        <v>0</v>
      </c>
      <c r="T15" s="35">
        <f t="shared" si="878"/>
        <v>0</v>
      </c>
      <c r="U15" s="19" t="e">
        <f t="shared" si="879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71"/>
        <v>880480.2848245952</v>
      </c>
      <c r="F16" s="13">
        <v>0</v>
      </c>
      <c r="G16" s="13">
        <v>0</v>
      </c>
      <c r="H16" s="13">
        <v>0</v>
      </c>
      <c r="I16" s="16">
        <f t="shared" si="872"/>
        <v>0</v>
      </c>
      <c r="J16" s="17">
        <f t="shared" si="873"/>
        <v>73000</v>
      </c>
      <c r="K16" s="18">
        <f t="shared" ref="K16:K18" si="880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76"/>
        <v>72973</v>
      </c>
      <c r="S16" s="35">
        <f t="shared" si="877"/>
        <v>72973</v>
      </c>
      <c r="T16" s="35">
        <f t="shared" si="878"/>
        <v>-27</v>
      </c>
      <c r="U16" s="19">
        <f t="shared" si="879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71"/>
        <v>40577.039735978113</v>
      </c>
      <c r="F17" s="13">
        <v>0</v>
      </c>
      <c r="G17" s="13">
        <v>0</v>
      </c>
      <c r="H17" s="13">
        <v>0</v>
      </c>
      <c r="I17" s="16">
        <f t="shared" si="872"/>
        <v>0</v>
      </c>
      <c r="J17" s="17">
        <f t="shared" si="873"/>
        <v>5971</v>
      </c>
      <c r="K17" s="18">
        <f t="shared" si="880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71"/>
        <v>641315.99429886416</v>
      </c>
      <c r="F18" s="13">
        <v>0</v>
      </c>
      <c r="G18" s="13">
        <v>0</v>
      </c>
      <c r="H18" s="13">
        <v>0</v>
      </c>
      <c r="I18" s="16">
        <f t="shared" si="872"/>
        <v>0</v>
      </c>
      <c r="J18" s="17">
        <f t="shared" si="873"/>
        <v>63917</v>
      </c>
      <c r="K18" s="18">
        <f t="shared" si="880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71"/>
        <v>0</v>
      </c>
      <c r="F19" s="13">
        <v>0</v>
      </c>
      <c r="G19" s="13">
        <v>0</v>
      </c>
      <c r="H19" s="13">
        <v>0</v>
      </c>
      <c r="I19" s="16">
        <f t="shared" si="872"/>
        <v>0</v>
      </c>
      <c r="J19" s="17">
        <f t="shared" si="873"/>
        <v>0</v>
      </c>
      <c r="K19" s="18">
        <f t="shared" si="87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76"/>
        <v>0</v>
      </c>
      <c r="S19" s="35">
        <f t="shared" si="877"/>
        <v>0</v>
      </c>
      <c r="T19" s="35">
        <f t="shared" si="878"/>
        <v>0</v>
      </c>
      <c r="U19" s="19" t="e">
        <f t="shared" si="879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71"/>
        <v>0</v>
      </c>
      <c r="F20" s="13">
        <v>0</v>
      </c>
      <c r="G20" s="13">
        <v>0</v>
      </c>
      <c r="H20" s="13">
        <v>0</v>
      </c>
      <c r="I20" s="16">
        <f t="shared" si="872"/>
        <v>0</v>
      </c>
      <c r="J20" s="17">
        <f t="shared" si="873"/>
        <v>0</v>
      </c>
      <c r="K20" s="18">
        <f>+G20*D20</f>
        <v>0</v>
      </c>
      <c r="L20" s="19" t="e">
        <f t="shared" ref="L20:L21" si="881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76"/>
        <v>0</v>
      </c>
      <c r="S20" s="35">
        <f t="shared" si="877"/>
        <v>0</v>
      </c>
      <c r="T20" s="35">
        <f t="shared" si="878"/>
        <v>0</v>
      </c>
      <c r="U20" s="19" t="e">
        <f t="shared" si="879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882">SUM(E3:E20)</f>
        <v>4674049.9832285084</v>
      </c>
      <c r="F21" s="24">
        <f t="shared" si="882"/>
        <v>885180</v>
      </c>
      <c r="G21" s="24">
        <f t="shared" si="882"/>
        <v>1338837</v>
      </c>
      <c r="H21" s="24">
        <f t="shared" si="882"/>
        <v>360624</v>
      </c>
      <c r="I21" s="25">
        <f t="shared" si="882"/>
        <v>1245804</v>
      </c>
      <c r="J21" s="26">
        <f t="shared" si="882"/>
        <v>747372</v>
      </c>
      <c r="K21" s="26">
        <f t="shared" si="882"/>
        <v>2146957.1561474833</v>
      </c>
      <c r="L21" s="27">
        <f t="shared" si="881"/>
        <v>0.45933551499261349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76"/>
        <v>0</v>
      </c>
      <c r="S21" s="35">
        <f t="shared" si="877"/>
        <v>2584641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3300B7-0013-469E-928F-006C00FD008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B00053-00FC-4516-A0C3-002B000B00C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E20004-007A-421E-9861-006500D3008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110048-00B1-4D8F-990A-00AE00E3004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880080-0076-4BC7-AC88-00BE00B400A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290048-0089-4FA7-9DF9-003600AB008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6F005D-00A5-4127-BC09-00A100AD005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A0028-00CA-45BC-B4FD-0082000B008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DE00CE-0037-435D-8755-00B700E7007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EB00B3-00BD-4E8E-A5B6-0075000400E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20001-00C3-40FA-9716-00660054006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CC00F4-00C2-494E-9DB4-009A008300C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3" activeCellId="0" sqref="G3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163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83">C3*D3</f>
        <v>1083560.0226702918</v>
      </c>
      <c r="F3" s="13">
        <v>111512</v>
      </c>
      <c r="G3" s="44">
        <v>355649</v>
      </c>
      <c r="H3" s="13">
        <v>18977</v>
      </c>
      <c r="I3" s="16">
        <f t="shared" ref="I3:I20" si="884">F3+H3</f>
        <v>130489</v>
      </c>
      <c r="J3" s="17">
        <f t="shared" ref="J3:J20" si="885">C3-G3</f>
        <v>18977</v>
      </c>
      <c r="K3" s="18">
        <f t="shared" ref="K3:K19" si="886">+G3*D3</f>
        <v>1028671.3642477206</v>
      </c>
      <c r="L3" s="19">
        <f t="shared" ref="L3:L11" si="887">K3/E3</f>
        <v>0.94934414589483895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888">M3+N3+O3+P3+Q3</f>
        <v>0</v>
      </c>
      <c r="S3" s="35">
        <f t="shared" ref="S3:S21" si="889">G3+I3+R3</f>
        <v>486138</v>
      </c>
      <c r="T3" s="35">
        <f t="shared" ref="T3:T20" si="890">S3-C3</f>
        <v>111512</v>
      </c>
      <c r="U3" s="19">
        <f t="shared" ref="U3:U20" si="891">S3/C3</f>
        <v>1.2976622017692312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83"/>
        <v>649805.93517786788</v>
      </c>
      <c r="F4" s="13">
        <v>267716</v>
      </c>
      <c r="G4" s="13">
        <v>61518</v>
      </c>
      <c r="H4" s="13">
        <v>0</v>
      </c>
      <c r="I4" s="16">
        <f t="shared" si="884"/>
        <v>267716</v>
      </c>
      <c r="J4" s="17">
        <f t="shared" si="885"/>
        <v>437207</v>
      </c>
      <c r="K4" s="18">
        <f t="shared" si="886"/>
        <v>80153.915525133256</v>
      </c>
      <c r="L4" s="19">
        <f t="shared" si="887"/>
        <v>0.12335054388691165</v>
      </c>
      <c r="M4" s="34">
        <v>0</v>
      </c>
      <c r="N4" s="58">
        <v>0</v>
      </c>
      <c r="O4" s="34">
        <v>445180</v>
      </c>
      <c r="P4" s="34">
        <v>0</v>
      </c>
      <c r="Q4" s="34">
        <v>0</v>
      </c>
      <c r="R4" s="34">
        <f t="shared" si="888"/>
        <v>445180</v>
      </c>
      <c r="S4" s="35">
        <f t="shared" si="889"/>
        <v>774414</v>
      </c>
      <c r="T4" s="35">
        <f t="shared" si="890"/>
        <v>275689</v>
      </c>
      <c r="U4" s="19">
        <f t="shared" si="891"/>
        <v>1.5527876084014236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83"/>
        <v>0</v>
      </c>
      <c r="F5" s="13">
        <v>0</v>
      </c>
      <c r="G5" s="13">
        <v>0</v>
      </c>
      <c r="H5" s="13">
        <v>0</v>
      </c>
      <c r="I5" s="16">
        <f t="shared" si="884"/>
        <v>0</v>
      </c>
      <c r="J5" s="17">
        <f t="shared" si="885"/>
        <v>0</v>
      </c>
      <c r="K5" s="18">
        <f t="shared" si="88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888"/>
        <v>0</v>
      </c>
      <c r="S5" s="35">
        <f t="shared" si="889"/>
        <v>0</v>
      </c>
      <c r="T5" s="35">
        <f t="shared" si="890"/>
        <v>0</v>
      </c>
      <c r="U5" s="19" t="e">
        <f t="shared" si="891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83"/>
        <v>258147.17194829654</v>
      </c>
      <c r="F6" s="13">
        <v>128814</v>
      </c>
      <c r="G6" s="44">
        <v>225845</v>
      </c>
      <c r="H6" s="44">
        <v>0</v>
      </c>
      <c r="I6" s="16">
        <f t="shared" si="884"/>
        <v>128814</v>
      </c>
      <c r="J6" s="17">
        <f t="shared" si="885"/>
        <v>0</v>
      </c>
      <c r="K6" s="18">
        <f t="shared" si="886"/>
        <v>258147.17194829654</v>
      </c>
      <c r="L6" s="19">
        <f t="shared" si="887"/>
        <v>1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888"/>
        <v>0</v>
      </c>
      <c r="S6" s="35">
        <f t="shared" si="889"/>
        <v>354659</v>
      </c>
      <c r="T6" s="35">
        <f t="shared" si="890"/>
        <v>128814</v>
      </c>
      <c r="U6" s="19">
        <f t="shared" si="891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83"/>
        <v>138084.13297023674</v>
      </c>
      <c r="F7" s="13">
        <v>0</v>
      </c>
      <c r="G7" s="44">
        <v>229798</v>
      </c>
      <c r="H7" s="13">
        <v>178200</v>
      </c>
      <c r="I7" s="16">
        <f t="shared" si="884"/>
        <v>178200</v>
      </c>
      <c r="J7" s="17">
        <f t="shared" si="885"/>
        <v>-12078</v>
      </c>
      <c r="K7" s="18">
        <f t="shared" si="886"/>
        <v>145744.33946488361</v>
      </c>
      <c r="L7" s="19">
        <f t="shared" si="887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888"/>
        <v>0</v>
      </c>
      <c r="S7" s="35">
        <f t="shared" si="889"/>
        <v>407998</v>
      </c>
      <c r="T7" s="35">
        <f t="shared" si="890"/>
        <v>190278</v>
      </c>
      <c r="U7" s="19">
        <f t="shared" si="891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83"/>
        <v>257038.53610178718</v>
      </c>
      <c r="F8" s="44">
        <v>318563</v>
      </c>
      <c r="G8" s="13">
        <v>287667</v>
      </c>
      <c r="H8" s="44">
        <v>0</v>
      </c>
      <c r="I8" s="16">
        <f t="shared" si="884"/>
        <v>318563</v>
      </c>
      <c r="J8" s="17">
        <f t="shared" si="885"/>
        <v>0</v>
      </c>
      <c r="K8" s="18">
        <f t="shared" si="886"/>
        <v>257038.53610178718</v>
      </c>
      <c r="L8" s="19">
        <f t="shared" si="887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888"/>
        <v>0</v>
      </c>
      <c r="S8" s="35">
        <f t="shared" si="889"/>
        <v>606230</v>
      </c>
      <c r="T8" s="35">
        <f t="shared" si="890"/>
        <v>318563</v>
      </c>
      <c r="U8" s="19">
        <f t="shared" si="891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83"/>
        <v>79590.440383440364</v>
      </c>
      <c r="F9" s="13">
        <v>58575</v>
      </c>
      <c r="G9" s="13">
        <v>74500</v>
      </c>
      <c r="H9" s="13">
        <v>0</v>
      </c>
      <c r="I9" s="16">
        <f t="shared" si="884"/>
        <v>58575</v>
      </c>
      <c r="J9" s="17">
        <f t="shared" si="885"/>
        <v>0</v>
      </c>
      <c r="K9" s="18">
        <f t="shared" si="886"/>
        <v>79590.440383440364</v>
      </c>
      <c r="L9" s="19">
        <f t="shared" si="887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888"/>
        <v>0</v>
      </c>
      <c r="S9" s="35">
        <f t="shared" si="889"/>
        <v>133075</v>
      </c>
      <c r="T9" s="35">
        <f t="shared" si="890"/>
        <v>58575</v>
      </c>
      <c r="U9" s="19">
        <f t="shared" si="891"/>
        <v>1.786241610738255</v>
      </c>
    </row>
    <row r="10">
      <c r="A10" s="9" t="s">
        <v>34</v>
      </c>
      <c r="B10" s="9" t="s">
        <v>35</v>
      </c>
      <c r="C10" s="14">
        <v>230838</v>
      </c>
      <c r="D10" s="11">
        <v>2.1696780588381257</v>
      </c>
      <c r="E10" s="12">
        <f t="shared" si="883"/>
        <v>500844.14374607528</v>
      </c>
      <c r="F10" s="13">
        <v>0</v>
      </c>
      <c r="G10" s="13">
        <v>140800</v>
      </c>
      <c r="H10" s="13">
        <v>93047</v>
      </c>
      <c r="I10" s="16">
        <f t="shared" si="884"/>
        <v>93047</v>
      </c>
      <c r="J10" s="17">
        <f t="shared" si="885"/>
        <v>90038</v>
      </c>
      <c r="K10" s="18">
        <f t="shared" si="886"/>
        <v>305490.67068440811</v>
      </c>
      <c r="L10" s="19">
        <f t="shared" si="887"/>
        <v>0.60995156776613901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888"/>
        <v>0</v>
      </c>
      <c r="S10" s="35">
        <f t="shared" si="889"/>
        <v>233847</v>
      </c>
      <c r="T10" s="35">
        <f t="shared" si="890"/>
        <v>3009</v>
      </c>
      <c r="U10" s="19">
        <f t="shared" si="891"/>
        <v>1.0130351155355704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83"/>
        <v>0</v>
      </c>
      <c r="F11" s="13">
        <v>0</v>
      </c>
      <c r="G11" s="13">
        <v>0</v>
      </c>
      <c r="H11" s="13">
        <v>0</v>
      </c>
      <c r="I11" s="16">
        <f t="shared" si="884"/>
        <v>0</v>
      </c>
      <c r="J11" s="17">
        <f t="shared" si="885"/>
        <v>0</v>
      </c>
      <c r="K11" s="18">
        <f t="shared" si="886"/>
        <v>0</v>
      </c>
      <c r="L11" s="19" t="e">
        <f t="shared" si="887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888"/>
        <v>0</v>
      </c>
      <c r="S11" s="35">
        <f t="shared" si="889"/>
        <v>0</v>
      </c>
      <c r="T11" s="35">
        <f t="shared" si="890"/>
        <v>0</v>
      </c>
      <c r="U11" s="19" t="e">
        <f t="shared" si="89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83"/>
        <v>0</v>
      </c>
      <c r="F12" s="13">
        <v>0</v>
      </c>
      <c r="G12" s="13">
        <v>0</v>
      </c>
      <c r="H12" s="13">
        <v>0</v>
      </c>
      <c r="I12" s="16">
        <f t="shared" si="884"/>
        <v>0</v>
      </c>
      <c r="J12" s="17">
        <f t="shared" si="88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888"/>
        <v>0</v>
      </c>
      <c r="S12" s="35">
        <f t="shared" si="889"/>
        <v>0</v>
      </c>
      <c r="T12" s="35">
        <f t="shared" si="890"/>
        <v>0</v>
      </c>
      <c r="U12" s="19" t="e">
        <f t="shared" si="891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83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85"/>
        <v>-60</v>
      </c>
      <c r="K13" s="18">
        <f t="shared" si="886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888"/>
        <v>0</v>
      </c>
      <c r="S13" s="35">
        <f t="shared" si="889"/>
        <v>33460</v>
      </c>
      <c r="T13" s="35">
        <f t="shared" si="890"/>
        <v>60</v>
      </c>
      <c r="U13" s="19">
        <f t="shared" si="891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83"/>
        <v>0</v>
      </c>
      <c r="F14" s="13">
        <v>0</v>
      </c>
      <c r="G14" s="13">
        <v>0</v>
      </c>
      <c r="H14" s="13">
        <v>0</v>
      </c>
      <c r="I14" s="16">
        <f t="shared" si="884"/>
        <v>0</v>
      </c>
      <c r="J14" s="17">
        <f t="shared" si="885"/>
        <v>0</v>
      </c>
      <c r="K14" s="18">
        <f t="shared" si="88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888"/>
        <v>0</v>
      </c>
      <c r="S14" s="35">
        <f t="shared" si="889"/>
        <v>0</v>
      </c>
      <c r="T14" s="35">
        <f t="shared" si="890"/>
        <v>0</v>
      </c>
      <c r="U14" s="19" t="e">
        <f t="shared" si="891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83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85"/>
        <v>0</v>
      </c>
      <c r="K15" s="18">
        <f t="shared" si="88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888"/>
        <v>0</v>
      </c>
      <c r="S15" s="35">
        <f t="shared" si="889"/>
        <v>0</v>
      </c>
      <c r="T15" s="35">
        <f t="shared" si="890"/>
        <v>0</v>
      </c>
      <c r="U15" s="19" t="e">
        <f t="shared" si="891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83"/>
        <v>880480.2848245952</v>
      </c>
      <c r="F16" s="13">
        <v>0</v>
      </c>
      <c r="G16" s="13">
        <v>0</v>
      </c>
      <c r="H16" s="13">
        <v>0</v>
      </c>
      <c r="I16" s="16">
        <f t="shared" si="884"/>
        <v>0</v>
      </c>
      <c r="J16" s="17">
        <f t="shared" si="885"/>
        <v>73000</v>
      </c>
      <c r="K16" s="18">
        <f t="shared" ref="K16:K18" si="892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888"/>
        <v>72973</v>
      </c>
      <c r="S16" s="35">
        <f t="shared" si="889"/>
        <v>72973</v>
      </c>
      <c r="T16" s="35">
        <f t="shared" si="890"/>
        <v>-27</v>
      </c>
      <c r="U16" s="19">
        <f t="shared" si="891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83"/>
        <v>40577.039735978113</v>
      </c>
      <c r="F17" s="13">
        <v>0</v>
      </c>
      <c r="G17" s="13">
        <v>0</v>
      </c>
      <c r="H17" s="13">
        <v>0</v>
      </c>
      <c r="I17" s="16">
        <f t="shared" si="884"/>
        <v>0</v>
      </c>
      <c r="J17" s="17">
        <f t="shared" si="885"/>
        <v>5971</v>
      </c>
      <c r="K17" s="18">
        <f t="shared" si="892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83"/>
        <v>641315.99429886416</v>
      </c>
      <c r="F18" s="13">
        <v>0</v>
      </c>
      <c r="G18" s="13">
        <v>0</v>
      </c>
      <c r="H18" s="13">
        <v>0</v>
      </c>
      <c r="I18" s="16">
        <f t="shared" si="884"/>
        <v>0</v>
      </c>
      <c r="J18" s="17">
        <f t="shared" si="885"/>
        <v>63917</v>
      </c>
      <c r="K18" s="18">
        <f t="shared" si="892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83"/>
        <v>0</v>
      </c>
      <c r="F19" s="13">
        <v>0</v>
      </c>
      <c r="G19" s="13">
        <v>0</v>
      </c>
      <c r="H19" s="13">
        <v>0</v>
      </c>
      <c r="I19" s="16">
        <f t="shared" si="884"/>
        <v>0</v>
      </c>
      <c r="J19" s="17">
        <f t="shared" si="885"/>
        <v>0</v>
      </c>
      <c r="K19" s="18">
        <f t="shared" si="88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888"/>
        <v>0</v>
      </c>
      <c r="S19" s="35">
        <f t="shared" si="889"/>
        <v>0</v>
      </c>
      <c r="T19" s="35">
        <f t="shared" si="890"/>
        <v>0</v>
      </c>
      <c r="U19" s="19" t="e">
        <f t="shared" si="891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83"/>
        <v>0</v>
      </c>
      <c r="F20" s="13">
        <v>0</v>
      </c>
      <c r="G20" s="13">
        <v>0</v>
      </c>
      <c r="H20" s="13">
        <v>0</v>
      </c>
      <c r="I20" s="16">
        <f t="shared" si="884"/>
        <v>0</v>
      </c>
      <c r="J20" s="17">
        <f t="shared" si="885"/>
        <v>0</v>
      </c>
      <c r="K20" s="18">
        <f>+G20*D20</f>
        <v>0</v>
      </c>
      <c r="L20" s="19" t="e">
        <f t="shared" ref="L20:L21" si="893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888"/>
        <v>0</v>
      </c>
      <c r="S20" s="35">
        <f t="shared" si="889"/>
        <v>0</v>
      </c>
      <c r="T20" s="35">
        <f t="shared" si="890"/>
        <v>0</v>
      </c>
      <c r="U20" s="19" t="e">
        <f t="shared" si="891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894">SUM(E3:E20)</f>
        <v>4674049.9832285084</v>
      </c>
      <c r="F21" s="24">
        <f t="shared" si="894"/>
        <v>885180</v>
      </c>
      <c r="G21" s="24">
        <f t="shared" si="894"/>
        <v>1409237</v>
      </c>
      <c r="H21" s="24">
        <f t="shared" si="894"/>
        <v>290224</v>
      </c>
      <c r="I21" s="25">
        <f t="shared" si="894"/>
        <v>1175404</v>
      </c>
      <c r="J21" s="26">
        <f t="shared" si="894"/>
        <v>676972</v>
      </c>
      <c r="K21" s="26">
        <f t="shared" si="894"/>
        <v>2299702.491489687</v>
      </c>
      <c r="L21" s="27">
        <f t="shared" si="893"/>
        <v>0.49201495485532071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888"/>
        <v>0</v>
      </c>
      <c r="S21" s="35">
        <f t="shared" si="889"/>
        <v>2584641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600E4-00E1-4CE3-B0BD-001200AC00A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82005E-0003-4517-93C3-0050005A00E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5500D4-0015-4287-BDC1-001400C4005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DA00B3-00D4-4B30-A763-00DF006E009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8C0029-00C5-4EA6-9420-00E000C5008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D400B8-005E-437C-B656-00FF0079001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7A00FF-00F9-41E1-9AB0-002500CC002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330072-0013-46B3-9456-006000DF006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36000B-00C0-4E17-BCB3-0096005200D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8B008A-0025-4469-B222-006D000B003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10004D-0035-49A9-8189-003500AF00F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A00FA-001A-41C1-84BD-00A800AE001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9" activeCellId="0" sqref="F9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164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895">C3*D3</f>
        <v>1083560.0226702918</v>
      </c>
      <c r="F3" s="13">
        <v>111512</v>
      </c>
      <c r="G3" s="44">
        <v>355649</v>
      </c>
      <c r="H3" s="13">
        <v>18977</v>
      </c>
      <c r="I3" s="16">
        <f t="shared" ref="I3:I20" si="896">F3+H3</f>
        <v>130489</v>
      </c>
      <c r="J3" s="17">
        <f t="shared" ref="J3:J20" si="897">C3-G3</f>
        <v>18977</v>
      </c>
      <c r="K3" s="18">
        <f t="shared" ref="K3:K19" si="898">+G3*D3</f>
        <v>1028671.3642477206</v>
      </c>
      <c r="L3" s="19">
        <f t="shared" ref="L3:L11" si="899">K3/E3</f>
        <v>0.94934414589483895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900">M3+N3+O3+P3+Q3</f>
        <v>0</v>
      </c>
      <c r="S3" s="35">
        <f t="shared" ref="S3:S21" si="901">G3+I3+R3</f>
        <v>486138</v>
      </c>
      <c r="T3" s="35">
        <f t="shared" ref="T3:T20" si="902">S3-C3</f>
        <v>111512</v>
      </c>
      <c r="U3" s="19">
        <f t="shared" ref="U3:U20" si="903">S3/C3</f>
        <v>1.2976622017692312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895"/>
        <v>649805.93517786788</v>
      </c>
      <c r="F4" s="13">
        <v>267716</v>
      </c>
      <c r="G4" s="13">
        <v>61518</v>
      </c>
      <c r="H4" s="13">
        <v>0</v>
      </c>
      <c r="I4" s="16">
        <f t="shared" si="896"/>
        <v>267716</v>
      </c>
      <c r="J4" s="17">
        <f t="shared" si="897"/>
        <v>437207</v>
      </c>
      <c r="K4" s="18">
        <f t="shared" si="898"/>
        <v>80153.915525133256</v>
      </c>
      <c r="L4" s="19">
        <f t="shared" si="899"/>
        <v>0.12335054388691165</v>
      </c>
      <c r="M4" s="34">
        <v>0</v>
      </c>
      <c r="N4" s="58">
        <v>0</v>
      </c>
      <c r="O4" s="34">
        <v>445180</v>
      </c>
      <c r="P4" s="34">
        <v>0</v>
      </c>
      <c r="Q4" s="34">
        <v>0</v>
      </c>
      <c r="R4" s="34">
        <f t="shared" si="900"/>
        <v>445180</v>
      </c>
      <c r="S4" s="35">
        <f t="shared" si="901"/>
        <v>774414</v>
      </c>
      <c r="T4" s="35">
        <f t="shared" si="902"/>
        <v>275689</v>
      </c>
      <c r="U4" s="19">
        <f t="shared" si="903"/>
        <v>1.5527876084014236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895"/>
        <v>0</v>
      </c>
      <c r="F5" s="13">
        <v>0</v>
      </c>
      <c r="G5" s="13">
        <v>0</v>
      </c>
      <c r="H5" s="13">
        <v>0</v>
      </c>
      <c r="I5" s="16">
        <f t="shared" si="896"/>
        <v>0</v>
      </c>
      <c r="J5" s="17">
        <f t="shared" si="897"/>
        <v>0</v>
      </c>
      <c r="K5" s="18">
        <f t="shared" si="89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00"/>
        <v>0</v>
      </c>
      <c r="S5" s="35">
        <f t="shared" si="901"/>
        <v>0</v>
      </c>
      <c r="T5" s="35">
        <f t="shared" si="902"/>
        <v>0</v>
      </c>
      <c r="U5" s="19" t="e">
        <f t="shared" si="903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895"/>
        <v>258147.17194829654</v>
      </c>
      <c r="F6" s="13">
        <v>128814</v>
      </c>
      <c r="G6" s="44">
        <v>225845</v>
      </c>
      <c r="H6" s="44">
        <v>0</v>
      </c>
      <c r="I6" s="16">
        <f t="shared" si="896"/>
        <v>128814</v>
      </c>
      <c r="J6" s="17">
        <f t="shared" si="897"/>
        <v>0</v>
      </c>
      <c r="K6" s="18">
        <f t="shared" si="898"/>
        <v>258147.17194829654</v>
      </c>
      <c r="L6" s="19">
        <f t="shared" si="899"/>
        <v>1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900"/>
        <v>0</v>
      </c>
      <c r="S6" s="35">
        <f t="shared" si="901"/>
        <v>354659</v>
      </c>
      <c r="T6" s="35">
        <f t="shared" si="902"/>
        <v>128814</v>
      </c>
      <c r="U6" s="19">
        <f t="shared" si="903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895"/>
        <v>138084.13297023674</v>
      </c>
      <c r="F7" s="13">
        <v>0</v>
      </c>
      <c r="G7" s="44">
        <v>229798</v>
      </c>
      <c r="H7" s="13">
        <v>178200</v>
      </c>
      <c r="I7" s="16">
        <f t="shared" si="896"/>
        <v>178200</v>
      </c>
      <c r="J7" s="17">
        <f t="shared" si="897"/>
        <v>-12078</v>
      </c>
      <c r="K7" s="18">
        <f t="shared" si="898"/>
        <v>145744.33946488361</v>
      </c>
      <c r="L7" s="19">
        <f t="shared" si="899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900"/>
        <v>0</v>
      </c>
      <c r="S7" s="35">
        <f t="shared" si="901"/>
        <v>407998</v>
      </c>
      <c r="T7" s="35">
        <f t="shared" si="902"/>
        <v>190278</v>
      </c>
      <c r="U7" s="19">
        <f t="shared" si="903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895"/>
        <v>257038.53610178718</v>
      </c>
      <c r="F8" s="44">
        <v>318563</v>
      </c>
      <c r="G8" s="13">
        <v>287667</v>
      </c>
      <c r="H8" s="44">
        <v>0</v>
      </c>
      <c r="I8" s="16">
        <f t="shared" si="896"/>
        <v>318563</v>
      </c>
      <c r="J8" s="17">
        <f t="shared" si="897"/>
        <v>0</v>
      </c>
      <c r="K8" s="18">
        <f t="shared" si="898"/>
        <v>257038.53610178718</v>
      </c>
      <c r="L8" s="19">
        <f t="shared" si="899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900"/>
        <v>0</v>
      </c>
      <c r="S8" s="35">
        <f t="shared" si="901"/>
        <v>606230</v>
      </c>
      <c r="T8" s="35">
        <f t="shared" si="902"/>
        <v>318563</v>
      </c>
      <c r="U8" s="19">
        <f t="shared" si="903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895"/>
        <v>79590.440383440364</v>
      </c>
      <c r="F9" s="13">
        <v>58575</v>
      </c>
      <c r="G9" s="13">
        <v>74500</v>
      </c>
      <c r="H9" s="13">
        <v>0</v>
      </c>
      <c r="I9" s="16">
        <f t="shared" si="896"/>
        <v>58575</v>
      </c>
      <c r="J9" s="17">
        <f t="shared" si="897"/>
        <v>0</v>
      </c>
      <c r="K9" s="18">
        <f t="shared" si="898"/>
        <v>79590.440383440364</v>
      </c>
      <c r="L9" s="19">
        <f t="shared" si="899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900"/>
        <v>0</v>
      </c>
      <c r="S9" s="35">
        <f t="shared" si="901"/>
        <v>133075</v>
      </c>
      <c r="T9" s="35">
        <f t="shared" si="902"/>
        <v>58575</v>
      </c>
      <c r="U9" s="19">
        <f t="shared" si="903"/>
        <v>1.786241610738255</v>
      </c>
    </row>
    <row r="10">
      <c r="A10" s="9" t="s">
        <v>34</v>
      </c>
      <c r="B10" s="9" t="s">
        <v>35</v>
      </c>
      <c r="C10" s="14">
        <v>230838</v>
      </c>
      <c r="D10" s="50">
        <v>2.1696780588381257</v>
      </c>
      <c r="E10" s="14">
        <f t="shared" si="895"/>
        <v>500844.14374607528</v>
      </c>
      <c r="F10" s="13">
        <v>0</v>
      </c>
      <c r="G10" s="13">
        <v>211200</v>
      </c>
      <c r="H10" s="13">
        <v>22647</v>
      </c>
      <c r="I10" s="16">
        <f t="shared" si="896"/>
        <v>22647</v>
      </c>
      <c r="J10" s="17">
        <f t="shared" si="897"/>
        <v>19638</v>
      </c>
      <c r="K10" s="18">
        <f t="shared" si="898"/>
        <v>458236.00602661213</v>
      </c>
      <c r="L10" s="19">
        <f t="shared" si="899"/>
        <v>0.91492735164920846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900"/>
        <v>0</v>
      </c>
      <c r="S10" s="35">
        <f t="shared" si="901"/>
        <v>233847</v>
      </c>
      <c r="T10" s="35">
        <f t="shared" si="902"/>
        <v>3009</v>
      </c>
      <c r="U10" s="19">
        <f t="shared" si="903"/>
        <v>1.0130351155355704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895"/>
        <v>0</v>
      </c>
      <c r="F11" s="13">
        <v>0</v>
      </c>
      <c r="G11" s="13">
        <v>0</v>
      </c>
      <c r="H11" s="13">
        <v>0</v>
      </c>
      <c r="I11" s="16">
        <f t="shared" si="896"/>
        <v>0</v>
      </c>
      <c r="J11" s="17">
        <f t="shared" si="897"/>
        <v>0</v>
      </c>
      <c r="K11" s="18">
        <f t="shared" si="898"/>
        <v>0</v>
      </c>
      <c r="L11" s="19" t="e">
        <f t="shared" si="899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900"/>
        <v>0</v>
      </c>
      <c r="S11" s="35">
        <f t="shared" si="901"/>
        <v>0</v>
      </c>
      <c r="T11" s="35">
        <f t="shared" si="902"/>
        <v>0</v>
      </c>
      <c r="U11" s="19" t="e">
        <f t="shared" si="903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895"/>
        <v>0</v>
      </c>
      <c r="F12" s="13">
        <v>0</v>
      </c>
      <c r="G12" s="13">
        <v>0</v>
      </c>
      <c r="H12" s="13">
        <v>0</v>
      </c>
      <c r="I12" s="16">
        <f t="shared" si="896"/>
        <v>0</v>
      </c>
      <c r="J12" s="17">
        <f t="shared" si="89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00"/>
        <v>0</v>
      </c>
      <c r="S12" s="35">
        <f t="shared" si="901"/>
        <v>0</v>
      </c>
      <c r="T12" s="35">
        <f t="shared" si="902"/>
        <v>0</v>
      </c>
      <c r="U12" s="19" t="e">
        <f t="shared" si="903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895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897"/>
        <v>-60</v>
      </c>
      <c r="K13" s="18">
        <f t="shared" si="898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00"/>
        <v>0</v>
      </c>
      <c r="S13" s="35">
        <f t="shared" si="901"/>
        <v>33460</v>
      </c>
      <c r="T13" s="35">
        <f t="shared" si="902"/>
        <v>60</v>
      </c>
      <c r="U13" s="19">
        <f t="shared" si="903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895"/>
        <v>0</v>
      </c>
      <c r="F14" s="13">
        <v>0</v>
      </c>
      <c r="G14" s="13">
        <v>0</v>
      </c>
      <c r="H14" s="13">
        <v>0</v>
      </c>
      <c r="I14" s="16">
        <f t="shared" si="896"/>
        <v>0</v>
      </c>
      <c r="J14" s="17">
        <f t="shared" si="897"/>
        <v>0</v>
      </c>
      <c r="K14" s="18">
        <f t="shared" si="89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00"/>
        <v>0</v>
      </c>
      <c r="S14" s="35">
        <f t="shared" si="901"/>
        <v>0</v>
      </c>
      <c r="T14" s="35">
        <f t="shared" si="902"/>
        <v>0</v>
      </c>
      <c r="U14" s="19" t="e">
        <f t="shared" si="903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895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897"/>
        <v>0</v>
      </c>
      <c r="K15" s="18">
        <f t="shared" si="89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00"/>
        <v>0</v>
      </c>
      <c r="S15" s="35">
        <f t="shared" si="901"/>
        <v>0</v>
      </c>
      <c r="T15" s="35">
        <f t="shared" si="902"/>
        <v>0</v>
      </c>
      <c r="U15" s="19" t="e">
        <f t="shared" si="903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895"/>
        <v>880480.2848245952</v>
      </c>
      <c r="F16" s="13">
        <v>0</v>
      </c>
      <c r="G16" s="13">
        <v>0</v>
      </c>
      <c r="H16" s="13">
        <v>0</v>
      </c>
      <c r="I16" s="16">
        <f t="shared" si="896"/>
        <v>0</v>
      </c>
      <c r="J16" s="17">
        <f t="shared" si="897"/>
        <v>73000</v>
      </c>
      <c r="K16" s="18">
        <f t="shared" ref="K16:K18" si="904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900"/>
        <v>72973</v>
      </c>
      <c r="S16" s="35">
        <f t="shared" si="901"/>
        <v>72973</v>
      </c>
      <c r="T16" s="35">
        <f t="shared" si="902"/>
        <v>-27</v>
      </c>
      <c r="U16" s="19">
        <f t="shared" si="903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895"/>
        <v>40577.039735978113</v>
      </c>
      <c r="F17" s="13">
        <v>0</v>
      </c>
      <c r="G17" s="13">
        <v>0</v>
      </c>
      <c r="H17" s="13">
        <v>0</v>
      </c>
      <c r="I17" s="16">
        <f t="shared" si="896"/>
        <v>0</v>
      </c>
      <c r="J17" s="17">
        <f t="shared" si="897"/>
        <v>5971</v>
      </c>
      <c r="K17" s="18">
        <f t="shared" si="904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895"/>
        <v>641315.99429886416</v>
      </c>
      <c r="F18" s="13">
        <v>0</v>
      </c>
      <c r="G18" s="13">
        <v>0</v>
      </c>
      <c r="H18" s="13">
        <v>0</v>
      </c>
      <c r="I18" s="16">
        <f t="shared" si="896"/>
        <v>0</v>
      </c>
      <c r="J18" s="17">
        <f t="shared" si="897"/>
        <v>63917</v>
      </c>
      <c r="K18" s="18">
        <f t="shared" si="904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895"/>
        <v>0</v>
      </c>
      <c r="F19" s="13">
        <v>0</v>
      </c>
      <c r="G19" s="13">
        <v>0</v>
      </c>
      <c r="H19" s="13">
        <v>0</v>
      </c>
      <c r="I19" s="16">
        <f t="shared" si="896"/>
        <v>0</v>
      </c>
      <c r="J19" s="17">
        <f t="shared" si="897"/>
        <v>0</v>
      </c>
      <c r="K19" s="18">
        <f t="shared" si="89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00"/>
        <v>0</v>
      </c>
      <c r="S19" s="35">
        <f t="shared" si="901"/>
        <v>0</v>
      </c>
      <c r="T19" s="35">
        <f t="shared" si="902"/>
        <v>0</v>
      </c>
      <c r="U19" s="19" t="e">
        <f t="shared" si="903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895"/>
        <v>0</v>
      </c>
      <c r="F20" s="13">
        <v>0</v>
      </c>
      <c r="G20" s="13">
        <v>0</v>
      </c>
      <c r="H20" s="13">
        <v>0</v>
      </c>
      <c r="I20" s="16">
        <f t="shared" si="896"/>
        <v>0</v>
      </c>
      <c r="J20" s="17">
        <f t="shared" si="897"/>
        <v>0</v>
      </c>
      <c r="K20" s="18">
        <f>+G20*D20</f>
        <v>0</v>
      </c>
      <c r="L20" s="19" t="e">
        <f t="shared" ref="L20:L21" si="905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00"/>
        <v>0</v>
      </c>
      <c r="S20" s="35">
        <f t="shared" si="901"/>
        <v>0</v>
      </c>
      <c r="T20" s="35">
        <f t="shared" si="902"/>
        <v>0</v>
      </c>
      <c r="U20" s="19" t="e">
        <f t="shared" si="903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906">SUM(E3:E20)</f>
        <v>4674049.9832285084</v>
      </c>
      <c r="F21" s="24">
        <f t="shared" si="906"/>
        <v>885180</v>
      </c>
      <c r="G21" s="24">
        <f t="shared" si="906"/>
        <v>1479637</v>
      </c>
      <c r="H21" s="24">
        <f t="shared" si="906"/>
        <v>219824</v>
      </c>
      <c r="I21" s="25">
        <f t="shared" si="906"/>
        <v>1105004</v>
      </c>
      <c r="J21" s="26">
        <f t="shared" si="906"/>
        <v>606572</v>
      </c>
      <c r="K21" s="26">
        <f t="shared" si="906"/>
        <v>2452447.8268318912</v>
      </c>
      <c r="L21" s="27">
        <f t="shared" si="905"/>
        <v>0.52469439471802803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900"/>
        <v>0</v>
      </c>
      <c r="S21" s="35">
        <f t="shared" si="901"/>
        <v>2584641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8A00BB-0025-4E50-B9FB-001A0090006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3F0025-00CA-414D-8D05-00400028003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A30033-0060-428F-8F7E-0013005A007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63006A-0064-4BF6-8228-006A00DB000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DA00CF-00A2-45AA-B360-00E7008400F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530057-0099-4BD9-A369-0074000F00C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D90026-00A8-48CB-AEC8-0075006A00F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EA00DD-0014-4CF5-BA3B-00A90091008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31001D-00FF-4067-838F-003000C4009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1D003B-00A1-422A-81B9-00490091000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DD00B0-00C7-4E59-BC77-00A000B1000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060038-0034-416D-8138-00570059005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10" activeCellId="0" sqref="G10:H10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165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907">C3*D3</f>
        <v>1083560.0226702918</v>
      </c>
      <c r="F3" s="13">
        <v>111512</v>
      </c>
      <c r="G3" s="44">
        <v>374626</v>
      </c>
      <c r="H3" s="13">
        <v>0</v>
      </c>
      <c r="I3" s="16">
        <f t="shared" ref="I3:I20" si="908">F3+H3</f>
        <v>111512</v>
      </c>
      <c r="J3" s="17">
        <f t="shared" ref="J3:J20" si="909">C3-G3</f>
        <v>0</v>
      </c>
      <c r="K3" s="18">
        <f t="shared" ref="K3:K19" si="910">+G3*D3</f>
        <v>1083560.0226702918</v>
      </c>
      <c r="L3" s="19">
        <f t="shared" ref="L3:L11" si="911">K3/E3</f>
        <v>1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912">M3+N3+O3+P3+Q3</f>
        <v>0</v>
      </c>
      <c r="S3" s="35">
        <f t="shared" ref="S3:S21" si="913">G3+I3+R3</f>
        <v>486138</v>
      </c>
      <c r="T3" s="35">
        <f t="shared" ref="T3:T20" si="914">S3-C3</f>
        <v>111512</v>
      </c>
      <c r="U3" s="19">
        <f t="shared" ref="U3:U20" si="915">S3/C3</f>
        <v>1.2976622017692312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907"/>
        <v>649805.93517786788</v>
      </c>
      <c r="F4" s="13">
        <v>119569</v>
      </c>
      <c r="G4" s="13">
        <v>209665</v>
      </c>
      <c r="H4" s="13">
        <v>0</v>
      </c>
      <c r="I4" s="16">
        <f t="shared" si="908"/>
        <v>119569</v>
      </c>
      <c r="J4" s="17">
        <f t="shared" si="909"/>
        <v>289060</v>
      </c>
      <c r="K4" s="18">
        <f t="shared" si="910"/>
        <v>273179.73111247219</v>
      </c>
      <c r="L4" s="19">
        <f t="shared" si="911"/>
        <v>0.42040202516416869</v>
      </c>
      <c r="M4" s="34">
        <v>0</v>
      </c>
      <c r="N4" s="58">
        <v>0</v>
      </c>
      <c r="O4" s="34">
        <v>445180</v>
      </c>
      <c r="P4" s="34">
        <v>0</v>
      </c>
      <c r="Q4" s="34">
        <v>0</v>
      </c>
      <c r="R4" s="34">
        <f t="shared" si="912"/>
        <v>445180</v>
      </c>
      <c r="S4" s="35">
        <f t="shared" si="913"/>
        <v>774414</v>
      </c>
      <c r="T4" s="35">
        <f t="shared" si="914"/>
        <v>275689</v>
      </c>
      <c r="U4" s="19">
        <f t="shared" si="915"/>
        <v>1.5527876084014236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07"/>
        <v>0</v>
      </c>
      <c r="F5" s="13">
        <v>0</v>
      </c>
      <c r="G5" s="13">
        <v>0</v>
      </c>
      <c r="H5" s="13">
        <v>0</v>
      </c>
      <c r="I5" s="16">
        <f t="shared" si="908"/>
        <v>0</v>
      </c>
      <c r="J5" s="17">
        <f t="shared" si="909"/>
        <v>0</v>
      </c>
      <c r="K5" s="18">
        <f t="shared" si="91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12"/>
        <v>0</v>
      </c>
      <c r="S5" s="35">
        <f t="shared" si="913"/>
        <v>0</v>
      </c>
      <c r="T5" s="35">
        <f t="shared" si="914"/>
        <v>0</v>
      </c>
      <c r="U5" s="19" t="e">
        <f t="shared" si="915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907"/>
        <v>258147.17194829654</v>
      </c>
      <c r="F6" s="13">
        <v>128814</v>
      </c>
      <c r="G6" s="44">
        <v>225845</v>
      </c>
      <c r="H6" s="44">
        <v>0</v>
      </c>
      <c r="I6" s="16">
        <f t="shared" si="908"/>
        <v>128814</v>
      </c>
      <c r="J6" s="17">
        <f t="shared" si="909"/>
        <v>0</v>
      </c>
      <c r="K6" s="18">
        <f t="shared" si="910"/>
        <v>258147.17194829654</v>
      </c>
      <c r="L6" s="19">
        <f t="shared" si="911"/>
        <v>1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912"/>
        <v>0</v>
      </c>
      <c r="S6" s="35">
        <f t="shared" si="913"/>
        <v>354659</v>
      </c>
      <c r="T6" s="35">
        <f t="shared" si="914"/>
        <v>128814</v>
      </c>
      <c r="U6" s="19">
        <f t="shared" si="915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907"/>
        <v>138084.13297023674</v>
      </c>
      <c r="F7" s="13">
        <v>0</v>
      </c>
      <c r="G7" s="44">
        <v>229798</v>
      </c>
      <c r="H7" s="13">
        <v>178200</v>
      </c>
      <c r="I7" s="16">
        <f t="shared" si="908"/>
        <v>178200</v>
      </c>
      <c r="J7" s="17">
        <f t="shared" si="909"/>
        <v>-12078</v>
      </c>
      <c r="K7" s="18">
        <f t="shared" si="910"/>
        <v>145744.33946488361</v>
      </c>
      <c r="L7" s="19">
        <f t="shared" si="911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912"/>
        <v>0</v>
      </c>
      <c r="S7" s="35">
        <f t="shared" si="913"/>
        <v>407998</v>
      </c>
      <c r="T7" s="35">
        <f t="shared" si="914"/>
        <v>190278</v>
      </c>
      <c r="U7" s="19">
        <f t="shared" si="915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907"/>
        <v>257038.53610178718</v>
      </c>
      <c r="F8" s="44">
        <v>318563</v>
      </c>
      <c r="G8" s="13">
        <v>287667</v>
      </c>
      <c r="H8" s="44">
        <v>0</v>
      </c>
      <c r="I8" s="16">
        <f t="shared" si="908"/>
        <v>318563</v>
      </c>
      <c r="J8" s="17">
        <f t="shared" si="909"/>
        <v>0</v>
      </c>
      <c r="K8" s="18">
        <f t="shared" si="910"/>
        <v>257038.53610178718</v>
      </c>
      <c r="L8" s="19">
        <f t="shared" si="911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912"/>
        <v>0</v>
      </c>
      <c r="S8" s="35">
        <f t="shared" si="913"/>
        <v>606230</v>
      </c>
      <c r="T8" s="35">
        <f t="shared" si="914"/>
        <v>318563</v>
      </c>
      <c r="U8" s="19">
        <f t="shared" si="915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907"/>
        <v>79590.440383440364</v>
      </c>
      <c r="F9" s="13">
        <v>58575</v>
      </c>
      <c r="G9" s="13">
        <v>74500</v>
      </c>
      <c r="H9" s="13">
        <v>0</v>
      </c>
      <c r="I9" s="16">
        <f t="shared" si="908"/>
        <v>58575</v>
      </c>
      <c r="J9" s="17">
        <f t="shared" si="909"/>
        <v>0</v>
      </c>
      <c r="K9" s="18">
        <f t="shared" si="910"/>
        <v>79590.440383440364</v>
      </c>
      <c r="L9" s="19">
        <f t="shared" si="911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912"/>
        <v>0</v>
      </c>
      <c r="S9" s="35">
        <f t="shared" si="913"/>
        <v>133075</v>
      </c>
      <c r="T9" s="35">
        <f t="shared" si="914"/>
        <v>58575</v>
      </c>
      <c r="U9" s="19">
        <f t="shared" si="915"/>
        <v>1.786241610738255</v>
      </c>
    </row>
    <row r="10">
      <c r="A10" s="9" t="s">
        <v>34</v>
      </c>
      <c r="B10" s="9" t="s">
        <v>35</v>
      </c>
      <c r="C10" s="14">
        <v>230838</v>
      </c>
      <c r="D10" s="50">
        <v>2.1696780588381257</v>
      </c>
      <c r="E10" s="14">
        <f t="shared" si="907"/>
        <v>500844.14374607528</v>
      </c>
      <c r="F10" s="13">
        <v>0</v>
      </c>
      <c r="G10" s="13">
        <v>211200</v>
      </c>
      <c r="H10" s="13">
        <v>22647</v>
      </c>
      <c r="I10" s="16">
        <f t="shared" si="908"/>
        <v>22647</v>
      </c>
      <c r="J10" s="17">
        <f t="shared" si="909"/>
        <v>19638</v>
      </c>
      <c r="K10" s="18">
        <f t="shared" si="910"/>
        <v>458236.00602661213</v>
      </c>
      <c r="L10" s="19">
        <f t="shared" si="911"/>
        <v>0.91492735164920846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912"/>
        <v>0</v>
      </c>
      <c r="S10" s="35">
        <f t="shared" si="913"/>
        <v>233847</v>
      </c>
      <c r="T10" s="35">
        <f t="shared" si="914"/>
        <v>3009</v>
      </c>
      <c r="U10" s="19">
        <f t="shared" si="915"/>
        <v>1.0130351155355704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907"/>
        <v>0</v>
      </c>
      <c r="F11" s="13">
        <v>0</v>
      </c>
      <c r="G11" s="13">
        <v>0</v>
      </c>
      <c r="H11" s="13">
        <v>0</v>
      </c>
      <c r="I11" s="16">
        <f t="shared" si="908"/>
        <v>0</v>
      </c>
      <c r="J11" s="17">
        <f t="shared" si="909"/>
        <v>0</v>
      </c>
      <c r="K11" s="18">
        <f t="shared" si="910"/>
        <v>0</v>
      </c>
      <c r="L11" s="19" t="e">
        <f t="shared" si="911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912"/>
        <v>0</v>
      </c>
      <c r="S11" s="35">
        <f t="shared" si="913"/>
        <v>0</v>
      </c>
      <c r="T11" s="35">
        <f t="shared" si="914"/>
        <v>0</v>
      </c>
      <c r="U11" s="19" t="e">
        <f t="shared" si="915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07"/>
        <v>0</v>
      </c>
      <c r="F12" s="13">
        <v>0</v>
      </c>
      <c r="G12" s="13">
        <v>0</v>
      </c>
      <c r="H12" s="13">
        <v>0</v>
      </c>
      <c r="I12" s="16">
        <f t="shared" si="908"/>
        <v>0</v>
      </c>
      <c r="J12" s="17">
        <f t="shared" si="90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12"/>
        <v>0</v>
      </c>
      <c r="S12" s="35">
        <f t="shared" si="913"/>
        <v>0</v>
      </c>
      <c r="T12" s="35">
        <f t="shared" si="914"/>
        <v>0</v>
      </c>
      <c r="U12" s="19" t="e">
        <f t="shared" si="915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907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909"/>
        <v>-60</v>
      </c>
      <c r="K13" s="18">
        <f t="shared" si="910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12"/>
        <v>0</v>
      </c>
      <c r="S13" s="35">
        <f t="shared" si="913"/>
        <v>33460</v>
      </c>
      <c r="T13" s="35">
        <f t="shared" si="914"/>
        <v>60</v>
      </c>
      <c r="U13" s="19">
        <f t="shared" si="915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07"/>
        <v>0</v>
      </c>
      <c r="F14" s="13">
        <v>0</v>
      </c>
      <c r="G14" s="13">
        <v>0</v>
      </c>
      <c r="H14" s="13">
        <v>0</v>
      </c>
      <c r="I14" s="16">
        <f t="shared" si="908"/>
        <v>0</v>
      </c>
      <c r="J14" s="17">
        <f t="shared" si="909"/>
        <v>0</v>
      </c>
      <c r="K14" s="18">
        <f t="shared" si="91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12"/>
        <v>0</v>
      </c>
      <c r="S14" s="35">
        <f t="shared" si="913"/>
        <v>0</v>
      </c>
      <c r="T14" s="35">
        <f t="shared" si="914"/>
        <v>0</v>
      </c>
      <c r="U14" s="19" t="e">
        <f t="shared" si="915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907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09"/>
        <v>0</v>
      </c>
      <c r="K15" s="18">
        <f t="shared" si="91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12"/>
        <v>0</v>
      </c>
      <c r="S15" s="35">
        <f t="shared" si="913"/>
        <v>0</v>
      </c>
      <c r="T15" s="35">
        <f t="shared" si="914"/>
        <v>0</v>
      </c>
      <c r="U15" s="19" t="e">
        <f t="shared" si="915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907"/>
        <v>880480.2848245952</v>
      </c>
      <c r="F16" s="13">
        <v>0</v>
      </c>
      <c r="G16" s="13">
        <v>0</v>
      </c>
      <c r="H16" s="13">
        <v>0</v>
      </c>
      <c r="I16" s="16">
        <f t="shared" si="908"/>
        <v>0</v>
      </c>
      <c r="J16" s="17">
        <f t="shared" si="909"/>
        <v>73000</v>
      </c>
      <c r="K16" s="18">
        <f t="shared" ref="K16:K18" si="916">+G16*D16</f>
        <v>0</v>
      </c>
      <c r="L16" s="19"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912"/>
        <v>72973</v>
      </c>
      <c r="S16" s="35">
        <f t="shared" si="913"/>
        <v>72973</v>
      </c>
      <c r="T16" s="35">
        <f t="shared" si="914"/>
        <v>-27</v>
      </c>
      <c r="U16" s="19">
        <f t="shared" si="915"/>
        <v>0.99963013698630132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907"/>
        <v>40577.039735978113</v>
      </c>
      <c r="F17" s="13">
        <v>0</v>
      </c>
      <c r="G17" s="13">
        <v>0</v>
      </c>
      <c r="H17" s="13">
        <v>0</v>
      </c>
      <c r="I17" s="16">
        <f t="shared" si="908"/>
        <v>0</v>
      </c>
      <c r="J17" s="17">
        <f t="shared" si="909"/>
        <v>5971</v>
      </c>
      <c r="K17" s="18">
        <f t="shared" si="916"/>
        <v>0</v>
      </c>
      <c r="L17" s="19"/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907"/>
        <v>641315.99429886416</v>
      </c>
      <c r="F18" s="13">
        <v>0</v>
      </c>
      <c r="G18" s="13">
        <v>0</v>
      </c>
      <c r="H18" s="13">
        <v>0</v>
      </c>
      <c r="I18" s="16">
        <f t="shared" si="908"/>
        <v>0</v>
      </c>
      <c r="J18" s="17">
        <f t="shared" si="909"/>
        <v>63917</v>
      </c>
      <c r="K18" s="18">
        <f t="shared" si="916"/>
        <v>0</v>
      </c>
      <c r="L18" s="19"/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07"/>
        <v>0</v>
      </c>
      <c r="F19" s="13">
        <v>0</v>
      </c>
      <c r="G19" s="13">
        <v>0</v>
      </c>
      <c r="H19" s="13">
        <v>0</v>
      </c>
      <c r="I19" s="16">
        <f t="shared" si="908"/>
        <v>0</v>
      </c>
      <c r="J19" s="17">
        <f t="shared" si="909"/>
        <v>0</v>
      </c>
      <c r="K19" s="18">
        <f t="shared" si="91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12"/>
        <v>0</v>
      </c>
      <c r="S19" s="35">
        <f t="shared" si="913"/>
        <v>0</v>
      </c>
      <c r="T19" s="35">
        <f t="shared" si="914"/>
        <v>0</v>
      </c>
      <c r="U19" s="19" t="e">
        <f t="shared" si="915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07"/>
        <v>0</v>
      </c>
      <c r="F20" s="13">
        <v>0</v>
      </c>
      <c r="G20" s="13">
        <v>0</v>
      </c>
      <c r="H20" s="13">
        <v>0</v>
      </c>
      <c r="I20" s="16">
        <f t="shared" si="908"/>
        <v>0</v>
      </c>
      <c r="J20" s="17">
        <f t="shared" si="909"/>
        <v>0</v>
      </c>
      <c r="K20" s="18">
        <f>+G20*D20</f>
        <v>0</v>
      </c>
      <c r="L20" s="19" t="e">
        <f t="shared" ref="L20:L21" si="917">K20/E20</f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12"/>
        <v>0</v>
      </c>
      <c r="S20" s="35">
        <f t="shared" si="913"/>
        <v>0</v>
      </c>
      <c r="T20" s="35">
        <f t="shared" si="914"/>
        <v>0</v>
      </c>
      <c r="U20" s="19" t="e">
        <f t="shared" si="915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918">SUM(E3:E20)</f>
        <v>4674049.9832285084</v>
      </c>
      <c r="F21" s="24">
        <f t="shared" si="918"/>
        <v>737033</v>
      </c>
      <c r="G21" s="24">
        <f t="shared" si="918"/>
        <v>1646761</v>
      </c>
      <c r="H21" s="24">
        <f t="shared" si="918"/>
        <v>200847</v>
      </c>
      <c r="I21" s="25">
        <f t="shared" si="918"/>
        <v>937880</v>
      </c>
      <c r="J21" s="26">
        <f t="shared" si="918"/>
        <v>439448</v>
      </c>
      <c r="K21" s="26">
        <f t="shared" si="918"/>
        <v>2700362.3008418013</v>
      </c>
      <c r="L21" s="27">
        <f t="shared" si="917"/>
        <v>0.57773500722741078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912"/>
        <v>0</v>
      </c>
      <c r="S21" s="35">
        <f t="shared" si="913"/>
        <v>2584641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5">
      <c r="E25" t="s">
        <v>64</v>
      </c>
      <c r="G25" t="s">
        <v>64</v>
      </c>
    </row>
    <row r="26">
      <c r="G26" t="s">
        <v>64</v>
      </c>
    </row>
    <row r="27">
      <c r="G27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760091-0065-4667-BA27-0048006800F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87003E-009A-4D7C-9197-005F00DB00F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FD0082-000E-46A5-A822-005E00DE004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0700DB-0083-4A0E-942B-004B00DA006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7F00C9-00F9-4189-AC84-0067002300E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0E00D7-00DE-4DC2-84E2-00A0002800D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AB005F-0035-4443-89CE-00B3003500B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180025-005B-472D-B4C8-008000AA000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5A0087-0034-4C86-BE90-006B008D007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C1002C-0081-4F05-A058-00AA0027005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400A5-0083-4A15-8C94-002300DF00B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F0073-0068-4080-A9C8-00420025002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6" activeCellId="0" sqref="G6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166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919">C3*D3</f>
        <v>1083560.0226702918</v>
      </c>
      <c r="F3" s="13">
        <v>111512</v>
      </c>
      <c r="G3" s="44">
        <v>374626</v>
      </c>
      <c r="H3" s="13">
        <v>0</v>
      </c>
      <c r="I3" s="16">
        <f t="shared" ref="I3:I20" si="920">F3+H3</f>
        <v>111512</v>
      </c>
      <c r="J3" s="17">
        <f t="shared" ref="J3:J20" si="921">C3-G3</f>
        <v>0</v>
      </c>
      <c r="K3" s="18">
        <f t="shared" ref="K3:K19" si="922">+G3*D3</f>
        <v>1083560.0226702918</v>
      </c>
      <c r="L3" s="19">
        <f t="shared" ref="L3:L11" si="923">K3/E3</f>
        <v>1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924">M3+N3+O3+P3+Q3</f>
        <v>0</v>
      </c>
      <c r="S3" s="35">
        <f t="shared" ref="S3:S21" si="925">G3+I3+R3</f>
        <v>486138</v>
      </c>
      <c r="T3" s="35">
        <f t="shared" ref="T3:T20" si="926">S3-C3</f>
        <v>111512</v>
      </c>
      <c r="U3" s="19">
        <f t="shared" ref="U3:U20" si="927">S3/C3</f>
        <v>1.2976622017692312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919"/>
        <v>649805.93517786788</v>
      </c>
      <c r="F4" s="13">
        <v>445135</v>
      </c>
      <c r="G4" s="13">
        <v>329229</v>
      </c>
      <c r="H4" s="13">
        <v>0</v>
      </c>
      <c r="I4" s="16">
        <f t="shared" si="920"/>
        <v>445135</v>
      </c>
      <c r="J4" s="17">
        <f t="shared" si="921"/>
        <v>169496</v>
      </c>
      <c r="K4" s="18">
        <f t="shared" si="922"/>
        <v>428963.77408927621</v>
      </c>
      <c r="L4" s="19">
        <f t="shared" si="923"/>
        <v>0.66014136046919647</v>
      </c>
      <c r="M4" s="34">
        <v>0</v>
      </c>
      <c r="N4" s="58">
        <v>0</v>
      </c>
      <c r="O4" s="34">
        <v>445180</v>
      </c>
      <c r="P4" s="34">
        <v>0</v>
      </c>
      <c r="Q4" s="34">
        <v>0</v>
      </c>
      <c r="R4" s="34">
        <f t="shared" si="924"/>
        <v>445180</v>
      </c>
      <c r="S4" s="35">
        <f t="shared" si="925"/>
        <v>1219544</v>
      </c>
      <c r="T4" s="35">
        <f t="shared" si="926"/>
        <v>720819</v>
      </c>
      <c r="U4" s="19">
        <f t="shared" si="927"/>
        <v>2.4453235751165474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19"/>
        <v>0</v>
      </c>
      <c r="F5" s="13">
        <v>0</v>
      </c>
      <c r="G5" s="13">
        <v>0</v>
      </c>
      <c r="H5" s="13">
        <v>0</v>
      </c>
      <c r="I5" s="16">
        <f t="shared" si="920"/>
        <v>0</v>
      </c>
      <c r="J5" s="17">
        <f t="shared" si="921"/>
        <v>0</v>
      </c>
      <c r="K5" s="18">
        <f t="shared" si="92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24"/>
        <v>0</v>
      </c>
      <c r="S5" s="35">
        <f t="shared" si="925"/>
        <v>0</v>
      </c>
      <c r="T5" s="35">
        <f t="shared" si="926"/>
        <v>0</v>
      </c>
      <c r="U5" s="19" t="e">
        <f t="shared" si="927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919"/>
        <v>258147.17194829654</v>
      </c>
      <c r="F6" s="13">
        <v>128814</v>
      </c>
      <c r="G6" s="44">
        <v>225845</v>
      </c>
      <c r="H6" s="44">
        <v>0</v>
      </c>
      <c r="I6" s="16">
        <f t="shared" si="920"/>
        <v>128814</v>
      </c>
      <c r="J6" s="17">
        <f t="shared" si="921"/>
        <v>0</v>
      </c>
      <c r="K6" s="18">
        <f t="shared" si="922"/>
        <v>258147.17194829654</v>
      </c>
      <c r="L6" s="19">
        <f t="shared" si="923"/>
        <v>1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924"/>
        <v>0</v>
      </c>
      <c r="S6" s="35">
        <f t="shared" si="925"/>
        <v>354659</v>
      </c>
      <c r="T6" s="35">
        <f t="shared" si="926"/>
        <v>128814</v>
      </c>
      <c r="U6" s="19">
        <f t="shared" si="927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919"/>
        <v>138084.13297023674</v>
      </c>
      <c r="F7" s="13">
        <v>0</v>
      </c>
      <c r="G7" s="44">
        <v>229798</v>
      </c>
      <c r="H7" s="13">
        <v>178200</v>
      </c>
      <c r="I7" s="16">
        <f t="shared" si="920"/>
        <v>178200</v>
      </c>
      <c r="J7" s="17">
        <f t="shared" si="921"/>
        <v>-12078</v>
      </c>
      <c r="K7" s="18">
        <f t="shared" si="922"/>
        <v>145744.33946488361</v>
      </c>
      <c r="L7" s="19">
        <f t="shared" si="923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924"/>
        <v>0</v>
      </c>
      <c r="S7" s="35">
        <f t="shared" si="925"/>
        <v>407998</v>
      </c>
      <c r="T7" s="35">
        <f t="shared" si="926"/>
        <v>190278</v>
      </c>
      <c r="U7" s="19">
        <f t="shared" si="927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919"/>
        <v>257038.53610178718</v>
      </c>
      <c r="F8" s="44">
        <v>318563</v>
      </c>
      <c r="G8" s="13">
        <v>287667</v>
      </c>
      <c r="H8" s="44">
        <v>0</v>
      </c>
      <c r="I8" s="16">
        <f t="shared" si="920"/>
        <v>318563</v>
      </c>
      <c r="J8" s="17">
        <f t="shared" si="921"/>
        <v>0</v>
      </c>
      <c r="K8" s="18">
        <f t="shared" si="922"/>
        <v>257038.53610178718</v>
      </c>
      <c r="L8" s="19">
        <f t="shared" si="923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924"/>
        <v>0</v>
      </c>
      <c r="S8" s="35">
        <f t="shared" si="925"/>
        <v>606230</v>
      </c>
      <c r="T8" s="35">
        <f t="shared" si="926"/>
        <v>318563</v>
      </c>
      <c r="U8" s="19">
        <f t="shared" si="927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919"/>
        <v>79590.440383440364</v>
      </c>
      <c r="F9" s="13">
        <v>58575</v>
      </c>
      <c r="G9" s="13">
        <v>74500</v>
      </c>
      <c r="H9" s="13">
        <v>0</v>
      </c>
      <c r="I9" s="16">
        <f t="shared" si="920"/>
        <v>58575</v>
      </c>
      <c r="J9" s="17">
        <f t="shared" si="921"/>
        <v>0</v>
      </c>
      <c r="K9" s="18">
        <f t="shared" si="922"/>
        <v>79590.440383440364</v>
      </c>
      <c r="L9" s="19">
        <f t="shared" si="923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924"/>
        <v>0</v>
      </c>
      <c r="S9" s="35">
        <f t="shared" si="925"/>
        <v>133075</v>
      </c>
      <c r="T9" s="35">
        <f t="shared" si="926"/>
        <v>58575</v>
      </c>
      <c r="U9" s="19">
        <f t="shared" si="927"/>
        <v>1.786241610738255</v>
      </c>
    </row>
    <row r="10">
      <c r="A10" s="9" t="s">
        <v>34</v>
      </c>
      <c r="B10" s="9" t="s">
        <v>35</v>
      </c>
      <c r="C10" s="14">
        <v>230838</v>
      </c>
      <c r="D10" s="50">
        <v>2.1696780588381257</v>
      </c>
      <c r="E10" s="14">
        <f t="shared" si="919"/>
        <v>500844.14374607528</v>
      </c>
      <c r="F10" s="13">
        <v>0</v>
      </c>
      <c r="G10" s="13">
        <v>233847</v>
      </c>
      <c r="H10" s="13">
        <v>0</v>
      </c>
      <c r="I10" s="16">
        <f t="shared" si="920"/>
        <v>0</v>
      </c>
      <c r="J10" s="17">
        <f t="shared" si="921"/>
        <v>-3009</v>
      </c>
      <c r="K10" s="18">
        <f t="shared" si="922"/>
        <v>507372.70502511918</v>
      </c>
      <c r="L10" s="19">
        <f t="shared" si="923"/>
        <v>1.0130351155355704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924"/>
        <v>0</v>
      </c>
      <c r="S10" s="35">
        <f t="shared" si="925"/>
        <v>233847</v>
      </c>
      <c r="T10" s="35">
        <f t="shared" si="926"/>
        <v>3009</v>
      </c>
      <c r="U10" s="19">
        <f t="shared" si="927"/>
        <v>1.0130351155355704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919"/>
        <v>0</v>
      </c>
      <c r="F11" s="13">
        <v>0</v>
      </c>
      <c r="G11" s="13">
        <v>0</v>
      </c>
      <c r="H11" s="13">
        <v>0</v>
      </c>
      <c r="I11" s="16">
        <f t="shared" si="920"/>
        <v>0</v>
      </c>
      <c r="J11" s="17">
        <f t="shared" si="921"/>
        <v>0</v>
      </c>
      <c r="K11" s="18">
        <f t="shared" si="922"/>
        <v>0</v>
      </c>
      <c r="L11" s="19" t="e">
        <f t="shared" si="923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924"/>
        <v>0</v>
      </c>
      <c r="S11" s="35">
        <f t="shared" si="925"/>
        <v>0</v>
      </c>
      <c r="T11" s="35">
        <f t="shared" si="926"/>
        <v>0</v>
      </c>
      <c r="U11" s="19" t="e">
        <f t="shared" si="927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19"/>
        <v>0</v>
      </c>
      <c r="F12" s="13">
        <v>0</v>
      </c>
      <c r="G12" s="13">
        <v>0</v>
      </c>
      <c r="H12" s="13">
        <v>0</v>
      </c>
      <c r="I12" s="16">
        <f t="shared" si="920"/>
        <v>0</v>
      </c>
      <c r="J12" s="17">
        <f t="shared" si="92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24"/>
        <v>0</v>
      </c>
      <c r="S12" s="35">
        <f t="shared" si="925"/>
        <v>0</v>
      </c>
      <c r="T12" s="35">
        <f t="shared" si="926"/>
        <v>0</v>
      </c>
      <c r="U12" s="19" t="e">
        <f t="shared" si="927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919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921"/>
        <v>-60</v>
      </c>
      <c r="K13" s="18">
        <f t="shared" si="922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24"/>
        <v>0</v>
      </c>
      <c r="S13" s="35">
        <f t="shared" si="925"/>
        <v>33460</v>
      </c>
      <c r="T13" s="35">
        <f t="shared" si="926"/>
        <v>60</v>
      </c>
      <c r="U13" s="19">
        <f t="shared" si="927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19"/>
        <v>0</v>
      </c>
      <c r="F14" s="13">
        <v>0</v>
      </c>
      <c r="G14" s="13">
        <v>0</v>
      </c>
      <c r="H14" s="13">
        <v>0</v>
      </c>
      <c r="I14" s="16">
        <f t="shared" si="920"/>
        <v>0</v>
      </c>
      <c r="J14" s="17">
        <f t="shared" si="921"/>
        <v>0</v>
      </c>
      <c r="K14" s="18">
        <f t="shared" si="92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24"/>
        <v>0</v>
      </c>
      <c r="S14" s="35">
        <f t="shared" si="925"/>
        <v>0</v>
      </c>
      <c r="T14" s="35">
        <f t="shared" si="926"/>
        <v>0</v>
      </c>
      <c r="U14" s="19" t="e">
        <f t="shared" si="927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919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21"/>
        <v>0</v>
      </c>
      <c r="K15" s="18">
        <f t="shared" si="92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24"/>
        <v>0</v>
      </c>
      <c r="S15" s="35">
        <f t="shared" si="925"/>
        <v>0</v>
      </c>
      <c r="T15" s="35">
        <f t="shared" si="926"/>
        <v>0</v>
      </c>
      <c r="U15" s="19" t="e">
        <f t="shared" si="927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919"/>
        <v>880480.2848245952</v>
      </c>
      <c r="F16" s="13">
        <v>72943</v>
      </c>
      <c r="G16" s="33">
        <v>0</v>
      </c>
      <c r="H16" s="13">
        <v>0</v>
      </c>
      <c r="I16" s="16">
        <f t="shared" si="920"/>
        <v>72943</v>
      </c>
      <c r="J16" s="17">
        <f t="shared" si="921"/>
        <v>73000</v>
      </c>
      <c r="K16" s="18">
        <f t="shared" ref="K16:K18" si="928">+G16*D16</f>
        <v>0</v>
      </c>
      <c r="L16" s="19">
        <f t="shared" ref="L16:L21" si="929">K16/E16</f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924"/>
        <v>72973</v>
      </c>
      <c r="S16" s="35">
        <f t="shared" si="925"/>
        <v>145916</v>
      </c>
      <c r="T16" s="35">
        <f t="shared" si="926"/>
        <v>72916</v>
      </c>
      <c r="U16" s="19">
        <f t="shared" si="927"/>
        <v>1.9988493150684932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919"/>
        <v>40577.039735978113</v>
      </c>
      <c r="F17" s="13">
        <v>5956</v>
      </c>
      <c r="G17" s="33">
        <v>0</v>
      </c>
      <c r="H17" s="13">
        <v>0</v>
      </c>
      <c r="I17" s="16">
        <f t="shared" si="920"/>
        <v>5956</v>
      </c>
      <c r="J17" s="17">
        <f t="shared" si="921"/>
        <v>5971</v>
      </c>
      <c r="K17" s="18">
        <f t="shared" si="928"/>
        <v>0</v>
      </c>
      <c r="L17" s="19">
        <f t="shared" si="929"/>
        <v>0</v>
      </c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919"/>
        <v>641315.99429886416</v>
      </c>
      <c r="F18" s="13">
        <v>63903</v>
      </c>
      <c r="G18" s="33">
        <v>0</v>
      </c>
      <c r="H18" s="13">
        <v>0</v>
      </c>
      <c r="I18" s="16">
        <f t="shared" si="920"/>
        <v>63903</v>
      </c>
      <c r="J18" s="17">
        <f t="shared" si="921"/>
        <v>63917</v>
      </c>
      <c r="K18" s="18">
        <f t="shared" si="928"/>
        <v>0</v>
      </c>
      <c r="L18" s="19">
        <f t="shared" si="929"/>
        <v>0</v>
      </c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19"/>
        <v>0</v>
      </c>
      <c r="F19" s="13">
        <v>0</v>
      </c>
      <c r="G19" s="13">
        <v>0</v>
      </c>
      <c r="H19" s="13">
        <v>0</v>
      </c>
      <c r="I19" s="16">
        <f t="shared" si="920"/>
        <v>0</v>
      </c>
      <c r="J19" s="17">
        <f t="shared" si="921"/>
        <v>0</v>
      </c>
      <c r="K19" s="18">
        <f t="shared" si="92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24"/>
        <v>0</v>
      </c>
      <c r="S19" s="35">
        <f t="shared" si="925"/>
        <v>0</v>
      </c>
      <c r="T19" s="35">
        <f t="shared" si="926"/>
        <v>0</v>
      </c>
      <c r="U19" s="19" t="e">
        <f t="shared" si="927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19"/>
        <v>0</v>
      </c>
      <c r="F20" s="13">
        <v>0</v>
      </c>
      <c r="G20" s="13">
        <v>0</v>
      </c>
      <c r="H20" s="13">
        <v>0</v>
      </c>
      <c r="I20" s="16">
        <f t="shared" si="920"/>
        <v>0</v>
      </c>
      <c r="J20" s="17">
        <f t="shared" si="921"/>
        <v>0</v>
      </c>
      <c r="K20" s="18">
        <f>+G20*D20</f>
        <v>0</v>
      </c>
      <c r="L20" s="19" t="e">
        <f t="shared" si="929"/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24"/>
        <v>0</v>
      </c>
      <c r="S20" s="35">
        <f t="shared" si="925"/>
        <v>0</v>
      </c>
      <c r="T20" s="35">
        <f t="shared" si="926"/>
        <v>0</v>
      </c>
      <c r="U20" s="19" t="e">
        <f t="shared" si="927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K21" si="930">SUM(E3:E20)</f>
        <v>4674049.9832285084</v>
      </c>
      <c r="F21" s="24">
        <f t="shared" si="930"/>
        <v>1205401</v>
      </c>
      <c r="G21" s="24">
        <f t="shared" si="930"/>
        <v>1788972</v>
      </c>
      <c r="H21" s="24">
        <f t="shared" si="930"/>
        <v>178200</v>
      </c>
      <c r="I21" s="25">
        <f t="shared" si="930"/>
        <v>1383601</v>
      </c>
      <c r="J21" s="26">
        <f t="shared" si="930"/>
        <v>297237</v>
      </c>
      <c r="K21" s="26">
        <f t="shared" si="930"/>
        <v>2905283.0428171125</v>
      </c>
      <c r="L21" s="27">
        <f t="shared" si="929"/>
        <v>0.62157723029105161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924"/>
        <v>0</v>
      </c>
      <c r="S21" s="35">
        <f t="shared" si="925"/>
        <v>3172573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6E00D5-008D-4912-A2F1-000600DE00F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B7007B-00B9-4100-B8EF-008D007F00B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4F00D2-0057-4121-9C25-00B2009E009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7200FC-001D-477D-B3FF-00AA0015007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45007D-00C2-4690-AFE6-00ED000300F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5C00F9-0079-4BC3-9821-00FE000A004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7F0088-00DD-4F02-82B7-000A00AB001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4C00E1-0079-4F50-B779-007D003200F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D10052-00D7-4F90-B1F0-005A00CE007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E20001-000B-4CCA-B10E-0012005000E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DB0038-00A4-4EE9-BEBA-001B000C00B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AB0072-002B-412F-9B04-004A00B500D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1" activeCellId="0" sqref="J21"/>
    </sheetView>
  </sheetViews>
  <sheetFormatPr baseColWidth="10" defaultRowHeight="14.25" outlineLevelCol="1"/>
  <cols>
    <col customWidth="1" min="1" max="1" width="16.3320312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167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147</v>
      </c>
      <c r="O2" s="53" t="s">
        <v>148</v>
      </c>
      <c r="P2" s="53" t="s">
        <v>149</v>
      </c>
      <c r="Q2" s="47" t="s">
        <v>109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931">C3*D3</f>
        <v>1083560.0226702918</v>
      </c>
      <c r="F3" s="13">
        <v>111512</v>
      </c>
      <c r="G3" s="44">
        <v>374626</v>
      </c>
      <c r="H3" s="13">
        <v>0</v>
      </c>
      <c r="I3" s="16">
        <f t="shared" ref="I3:I20" si="932">F3+H3</f>
        <v>111512</v>
      </c>
      <c r="J3" s="17">
        <f t="shared" ref="J3:J20" si="933">C3-G3</f>
        <v>0</v>
      </c>
      <c r="K3" s="18">
        <f t="shared" ref="K3:K19" si="934">+G3*D3</f>
        <v>1083560.0226702918</v>
      </c>
      <c r="L3" s="19">
        <f t="shared" ref="L3:L11" si="935">K3/E3</f>
        <v>1</v>
      </c>
      <c r="M3" s="34">
        <v>0</v>
      </c>
      <c r="N3" s="58">
        <v>0</v>
      </c>
      <c r="O3" s="34">
        <v>0</v>
      </c>
      <c r="P3" s="34">
        <v>0</v>
      </c>
      <c r="Q3" s="34">
        <v>0</v>
      </c>
      <c r="R3" s="34">
        <f t="shared" ref="R3:R21" si="936">M3+N3+O3+P3+Q3</f>
        <v>0</v>
      </c>
      <c r="S3" s="35">
        <f t="shared" ref="S3:S21" si="937">G3+I3+R3</f>
        <v>486138</v>
      </c>
      <c r="T3" s="35">
        <f t="shared" ref="T3:T20" si="938">S3-C3</f>
        <v>111512</v>
      </c>
      <c r="U3" s="19">
        <f t="shared" ref="U3:U20" si="939">S3/C3</f>
        <v>1.2976622017692312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931"/>
        <v>649805.93517786788</v>
      </c>
      <c r="F4" s="13">
        <v>368655</v>
      </c>
      <c r="G4" s="13">
        <v>510669</v>
      </c>
      <c r="H4" s="13">
        <v>43048</v>
      </c>
      <c r="I4" s="16">
        <f t="shared" si="932"/>
        <v>411703</v>
      </c>
      <c r="J4" s="17">
        <f t="shared" si="933"/>
        <v>-11944</v>
      </c>
      <c r="K4" s="18">
        <f t="shared" si="934"/>
        <v>665368.18308957166</v>
      </c>
      <c r="L4" s="19">
        <f t="shared" si="935"/>
        <v>1.0239490701288285</v>
      </c>
      <c r="M4" s="34">
        <v>0</v>
      </c>
      <c r="N4" s="58">
        <v>0</v>
      </c>
      <c r="O4" s="34">
        <v>445180</v>
      </c>
      <c r="P4" s="34">
        <v>0</v>
      </c>
      <c r="Q4" s="34">
        <v>0</v>
      </c>
      <c r="R4" s="34">
        <f t="shared" si="936"/>
        <v>445180</v>
      </c>
      <c r="S4" s="35">
        <f t="shared" si="937"/>
        <v>1367552</v>
      </c>
      <c r="T4" s="35">
        <f t="shared" si="938"/>
        <v>868827</v>
      </c>
      <c r="U4" s="19">
        <f t="shared" si="939"/>
        <v>2.742096345681488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31"/>
        <v>0</v>
      </c>
      <c r="F5" s="13">
        <v>0</v>
      </c>
      <c r="G5" s="13">
        <v>0</v>
      </c>
      <c r="H5" s="13">
        <v>0</v>
      </c>
      <c r="I5" s="16">
        <f t="shared" si="932"/>
        <v>0</v>
      </c>
      <c r="J5" s="17">
        <f t="shared" si="933"/>
        <v>0</v>
      </c>
      <c r="K5" s="18">
        <f t="shared" si="93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36"/>
        <v>0</v>
      </c>
      <c r="S5" s="35">
        <f t="shared" si="937"/>
        <v>0</v>
      </c>
      <c r="T5" s="35">
        <f t="shared" si="938"/>
        <v>0</v>
      </c>
      <c r="U5" s="19" t="e">
        <f t="shared" si="939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931"/>
        <v>258147.17194829654</v>
      </c>
      <c r="F6" s="13">
        <v>128814</v>
      </c>
      <c r="G6" s="44">
        <v>225845</v>
      </c>
      <c r="H6" s="44">
        <v>0</v>
      </c>
      <c r="I6" s="16">
        <f t="shared" si="932"/>
        <v>128814</v>
      </c>
      <c r="J6" s="17">
        <f t="shared" si="933"/>
        <v>0</v>
      </c>
      <c r="K6" s="18">
        <f t="shared" si="934"/>
        <v>258147.17194829654</v>
      </c>
      <c r="L6" s="19">
        <f t="shared" si="935"/>
        <v>1</v>
      </c>
      <c r="M6" s="34">
        <v>0</v>
      </c>
      <c r="N6" s="58">
        <v>0</v>
      </c>
      <c r="O6" s="34">
        <v>0</v>
      </c>
      <c r="P6" s="34">
        <v>0</v>
      </c>
      <c r="Q6" s="34">
        <v>0</v>
      </c>
      <c r="R6" s="34">
        <f t="shared" si="936"/>
        <v>0</v>
      </c>
      <c r="S6" s="35">
        <f t="shared" si="937"/>
        <v>354659</v>
      </c>
      <c r="T6" s="35">
        <f t="shared" si="938"/>
        <v>128814</v>
      </c>
      <c r="U6" s="19">
        <f t="shared" si="939"/>
        <v>1.5703646306094887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931"/>
        <v>138084.13297023674</v>
      </c>
      <c r="F7" s="13">
        <v>0</v>
      </c>
      <c r="G7" s="44">
        <v>229798</v>
      </c>
      <c r="H7" s="13">
        <v>178200</v>
      </c>
      <c r="I7" s="16">
        <f t="shared" si="932"/>
        <v>178200</v>
      </c>
      <c r="J7" s="17">
        <f t="shared" si="933"/>
        <v>-12078</v>
      </c>
      <c r="K7" s="18">
        <f t="shared" si="934"/>
        <v>145744.33946488361</v>
      </c>
      <c r="L7" s="19">
        <f t="shared" si="935"/>
        <v>1.0554749219180599</v>
      </c>
      <c r="M7" s="34">
        <v>0</v>
      </c>
      <c r="N7" s="58">
        <v>0</v>
      </c>
      <c r="O7" s="34">
        <v>0</v>
      </c>
      <c r="P7" s="34">
        <v>0</v>
      </c>
      <c r="Q7" s="34">
        <v>0</v>
      </c>
      <c r="R7" s="34">
        <f t="shared" si="936"/>
        <v>0</v>
      </c>
      <c r="S7" s="35">
        <f t="shared" si="937"/>
        <v>407998</v>
      </c>
      <c r="T7" s="35">
        <f t="shared" si="938"/>
        <v>190278</v>
      </c>
      <c r="U7" s="19">
        <f t="shared" si="939"/>
        <v>1.8739573764468125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931"/>
        <v>257038.53610178718</v>
      </c>
      <c r="F8" s="44">
        <v>318563</v>
      </c>
      <c r="G8" s="13">
        <v>287667</v>
      </c>
      <c r="H8" s="44">
        <v>0</v>
      </c>
      <c r="I8" s="16">
        <f t="shared" si="932"/>
        <v>318563</v>
      </c>
      <c r="J8" s="17">
        <f t="shared" si="933"/>
        <v>0</v>
      </c>
      <c r="K8" s="18">
        <f t="shared" si="934"/>
        <v>257038.53610178718</v>
      </c>
      <c r="L8" s="19">
        <f t="shared" si="935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936"/>
        <v>0</v>
      </c>
      <c r="S8" s="35">
        <f t="shared" si="937"/>
        <v>606230</v>
      </c>
      <c r="T8" s="35">
        <f t="shared" si="938"/>
        <v>318563</v>
      </c>
      <c r="U8" s="19">
        <f t="shared" si="939"/>
        <v>2.1074019612955257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931"/>
        <v>79590.440383440364</v>
      </c>
      <c r="F9" s="13">
        <v>58575</v>
      </c>
      <c r="G9" s="13">
        <v>74500</v>
      </c>
      <c r="H9" s="13">
        <v>0</v>
      </c>
      <c r="I9" s="16">
        <f t="shared" si="932"/>
        <v>58575</v>
      </c>
      <c r="J9" s="17">
        <f t="shared" si="933"/>
        <v>0</v>
      </c>
      <c r="K9" s="18">
        <f t="shared" si="934"/>
        <v>79590.440383440364</v>
      </c>
      <c r="L9" s="19">
        <f t="shared" si="935"/>
        <v>1</v>
      </c>
      <c r="M9" s="34">
        <v>0</v>
      </c>
      <c r="N9" s="58">
        <v>0</v>
      </c>
      <c r="O9" s="34">
        <v>0</v>
      </c>
      <c r="P9" s="34">
        <v>0</v>
      </c>
      <c r="Q9" s="34">
        <v>0</v>
      </c>
      <c r="R9" s="34">
        <f t="shared" si="936"/>
        <v>0</v>
      </c>
      <c r="S9" s="35">
        <f t="shared" si="937"/>
        <v>133075</v>
      </c>
      <c r="T9" s="35">
        <f t="shared" si="938"/>
        <v>58575</v>
      </c>
      <c r="U9" s="19">
        <f t="shared" si="939"/>
        <v>1.786241610738255</v>
      </c>
    </row>
    <row r="10">
      <c r="A10" s="9" t="s">
        <v>34</v>
      </c>
      <c r="B10" s="9" t="s">
        <v>35</v>
      </c>
      <c r="C10" s="14">
        <v>230838</v>
      </c>
      <c r="D10" s="50">
        <v>2.1696780588381257</v>
      </c>
      <c r="E10" s="14">
        <f t="shared" si="931"/>
        <v>500844.14374607528</v>
      </c>
      <c r="F10" s="13">
        <v>0</v>
      </c>
      <c r="G10" s="13">
        <v>233847</v>
      </c>
      <c r="H10" s="13">
        <v>0</v>
      </c>
      <c r="I10" s="16">
        <f t="shared" si="932"/>
        <v>0</v>
      </c>
      <c r="J10" s="17">
        <f t="shared" si="933"/>
        <v>-3009</v>
      </c>
      <c r="K10" s="18">
        <f t="shared" si="934"/>
        <v>507372.70502511918</v>
      </c>
      <c r="L10" s="19">
        <f t="shared" si="935"/>
        <v>1.0130351155355704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936"/>
        <v>0</v>
      </c>
      <c r="S10" s="35">
        <f t="shared" si="937"/>
        <v>233847</v>
      </c>
      <c r="T10" s="35">
        <f t="shared" si="938"/>
        <v>3009</v>
      </c>
      <c r="U10" s="19">
        <f t="shared" si="939"/>
        <v>1.0130351155355704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931"/>
        <v>0</v>
      </c>
      <c r="F11" s="13">
        <v>0</v>
      </c>
      <c r="G11" s="13">
        <v>0</v>
      </c>
      <c r="H11" s="13">
        <v>0</v>
      </c>
      <c r="I11" s="16">
        <f t="shared" si="932"/>
        <v>0</v>
      </c>
      <c r="J11" s="17">
        <f t="shared" si="933"/>
        <v>0</v>
      </c>
      <c r="K11" s="18">
        <f t="shared" si="934"/>
        <v>0</v>
      </c>
      <c r="L11" s="19" t="e">
        <f t="shared" si="935"/>
        <v>#DIV/0!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936"/>
        <v>0</v>
      </c>
      <c r="S11" s="35">
        <f t="shared" si="937"/>
        <v>0</v>
      </c>
      <c r="T11" s="35">
        <f t="shared" si="938"/>
        <v>0</v>
      </c>
      <c r="U11" s="19" t="e">
        <f t="shared" si="939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31"/>
        <v>0</v>
      </c>
      <c r="F12" s="13">
        <v>0</v>
      </c>
      <c r="G12" s="13">
        <v>0</v>
      </c>
      <c r="H12" s="13">
        <v>0</v>
      </c>
      <c r="I12" s="16">
        <f t="shared" si="932"/>
        <v>0</v>
      </c>
      <c r="J12" s="17">
        <f t="shared" si="93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36"/>
        <v>0</v>
      </c>
      <c r="S12" s="35">
        <f t="shared" si="937"/>
        <v>0</v>
      </c>
      <c r="T12" s="35">
        <f t="shared" si="938"/>
        <v>0</v>
      </c>
      <c r="U12" s="19" t="e">
        <f t="shared" si="939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931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933"/>
        <v>-60</v>
      </c>
      <c r="K13" s="18">
        <f t="shared" si="934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36"/>
        <v>0</v>
      </c>
      <c r="S13" s="35">
        <f t="shared" si="937"/>
        <v>33460</v>
      </c>
      <c r="T13" s="35">
        <f t="shared" si="938"/>
        <v>60</v>
      </c>
      <c r="U13" s="19">
        <f t="shared" si="939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31"/>
        <v>0</v>
      </c>
      <c r="F14" s="13">
        <v>0</v>
      </c>
      <c r="G14" s="13">
        <v>0</v>
      </c>
      <c r="H14" s="13">
        <v>0</v>
      </c>
      <c r="I14" s="16">
        <f t="shared" si="932"/>
        <v>0</v>
      </c>
      <c r="J14" s="17">
        <f t="shared" si="933"/>
        <v>0</v>
      </c>
      <c r="K14" s="18">
        <f t="shared" si="93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36"/>
        <v>0</v>
      </c>
      <c r="S14" s="35">
        <f t="shared" si="937"/>
        <v>0</v>
      </c>
      <c r="T14" s="35">
        <f t="shared" si="938"/>
        <v>0</v>
      </c>
      <c r="U14" s="19" t="e">
        <f t="shared" si="939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931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33"/>
        <v>0</v>
      </c>
      <c r="K15" s="18">
        <f t="shared" si="93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36"/>
        <v>0</v>
      </c>
      <c r="S15" s="35">
        <f t="shared" si="937"/>
        <v>0</v>
      </c>
      <c r="T15" s="35">
        <f t="shared" si="938"/>
        <v>0</v>
      </c>
      <c r="U15" s="19" t="e">
        <f t="shared" si="939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931"/>
        <v>880480.2848245952</v>
      </c>
      <c r="F16" s="13">
        <v>72943</v>
      </c>
      <c r="G16" s="33">
        <v>0</v>
      </c>
      <c r="H16" s="13">
        <v>0</v>
      </c>
      <c r="I16" s="16">
        <f t="shared" si="932"/>
        <v>72943</v>
      </c>
      <c r="J16" s="17">
        <f t="shared" si="933"/>
        <v>73000</v>
      </c>
      <c r="K16" s="18">
        <f t="shared" ref="K16:K18" si="940">+G16*D16</f>
        <v>0</v>
      </c>
      <c r="L16" s="19">
        <f t="shared" ref="L16:L21" si="941">K16/E16</f>
        <v>0</v>
      </c>
      <c r="M16" s="34">
        <v>0</v>
      </c>
      <c r="N16" s="34">
        <v>0</v>
      </c>
      <c r="O16" s="34">
        <v>0</v>
      </c>
      <c r="P16" s="34">
        <v>72973</v>
      </c>
      <c r="Q16" s="34">
        <v>0</v>
      </c>
      <c r="R16" s="34">
        <f t="shared" si="936"/>
        <v>72973</v>
      </c>
      <c r="S16" s="35">
        <f t="shared" si="937"/>
        <v>145916</v>
      </c>
      <c r="T16" s="35">
        <f t="shared" si="938"/>
        <v>72916</v>
      </c>
      <c r="U16" s="19">
        <f t="shared" si="939"/>
        <v>1.9988493150684932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931"/>
        <v>40577.039735978113</v>
      </c>
      <c r="F17" s="13">
        <v>5956</v>
      </c>
      <c r="G17" s="33">
        <v>0</v>
      </c>
      <c r="H17" s="13">
        <v>0</v>
      </c>
      <c r="I17" s="16">
        <f t="shared" si="932"/>
        <v>5956</v>
      </c>
      <c r="J17" s="17">
        <f t="shared" si="933"/>
        <v>5971</v>
      </c>
      <c r="K17" s="18">
        <f t="shared" si="940"/>
        <v>0</v>
      </c>
      <c r="L17" s="19">
        <f t="shared" si="941"/>
        <v>0</v>
      </c>
      <c r="M17" s="34"/>
      <c r="N17" s="34"/>
      <c r="O17" s="34"/>
      <c r="P17" s="34">
        <v>5971</v>
      </c>
      <c r="Q17" s="34"/>
      <c r="R17" s="34"/>
      <c r="S17" s="35"/>
      <c r="T17" s="35"/>
      <c r="U17" s="19"/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931"/>
        <v>641315.99429886416</v>
      </c>
      <c r="F18" s="13">
        <v>63903</v>
      </c>
      <c r="G18" s="33">
        <v>0</v>
      </c>
      <c r="H18" s="13">
        <v>0</v>
      </c>
      <c r="I18" s="16">
        <f t="shared" si="932"/>
        <v>63903</v>
      </c>
      <c r="J18" s="17">
        <f t="shared" si="933"/>
        <v>63917</v>
      </c>
      <c r="K18" s="18">
        <f t="shared" si="940"/>
        <v>0</v>
      </c>
      <c r="L18" s="19">
        <f t="shared" si="941"/>
        <v>0</v>
      </c>
      <c r="M18" s="34"/>
      <c r="N18" s="34"/>
      <c r="O18" s="34"/>
      <c r="P18" s="34">
        <v>63917</v>
      </c>
      <c r="Q18" s="34"/>
      <c r="R18" s="34"/>
      <c r="S18" s="35"/>
      <c r="T18" s="35"/>
      <c r="U18" s="19"/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31"/>
        <v>0</v>
      </c>
      <c r="F19" s="13">
        <v>0</v>
      </c>
      <c r="G19" s="13">
        <v>0</v>
      </c>
      <c r="H19" s="13">
        <v>0</v>
      </c>
      <c r="I19" s="16">
        <f t="shared" si="932"/>
        <v>0</v>
      </c>
      <c r="J19" s="17">
        <f t="shared" si="933"/>
        <v>0</v>
      </c>
      <c r="K19" s="18">
        <f t="shared" si="93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36"/>
        <v>0</v>
      </c>
      <c r="S19" s="35">
        <f t="shared" si="937"/>
        <v>0</v>
      </c>
      <c r="T19" s="35">
        <f t="shared" si="938"/>
        <v>0</v>
      </c>
      <c r="U19" s="19" t="e">
        <f t="shared" si="939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31"/>
        <v>0</v>
      </c>
      <c r="F20" s="13">
        <v>0</v>
      </c>
      <c r="G20" s="13">
        <v>0</v>
      </c>
      <c r="H20" s="13">
        <v>0</v>
      </c>
      <c r="I20" s="16">
        <f t="shared" si="932"/>
        <v>0</v>
      </c>
      <c r="J20" s="17">
        <f t="shared" si="933"/>
        <v>0</v>
      </c>
      <c r="K20" s="18">
        <f>+G20*D20</f>
        <v>0</v>
      </c>
      <c r="L20" s="19" t="e">
        <f t="shared" si="941"/>
        <v>#DIV/0!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36"/>
        <v>0</v>
      </c>
      <c r="S20" s="35">
        <f t="shared" si="937"/>
        <v>0</v>
      </c>
      <c r="T20" s="35">
        <f t="shared" si="938"/>
        <v>0</v>
      </c>
      <c r="U20" s="19" t="e">
        <f t="shared" si="939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I21" si="942">SUM(E3:E20)</f>
        <v>4674049.9832285084</v>
      </c>
      <c r="F21" s="24">
        <f t="shared" si="942"/>
        <v>1128921</v>
      </c>
      <c r="G21" s="24">
        <f t="shared" si="942"/>
        <v>1970412</v>
      </c>
      <c r="H21" s="24">
        <f t="shared" si="942"/>
        <v>221248</v>
      </c>
      <c r="I21" s="25">
        <f t="shared" si="942"/>
        <v>1350169</v>
      </c>
      <c r="J21" s="26">
        <f>SUM(J3:J20)</f>
        <v>115797</v>
      </c>
      <c r="K21" s="26">
        <f>SUM(K3:K20)</f>
        <v>3141687.4518174082</v>
      </c>
      <c r="L21" s="27">
        <f t="shared" si="941"/>
        <v>0.67215529638973803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f t="shared" si="936"/>
        <v>0</v>
      </c>
      <c r="S21" s="35">
        <f t="shared" si="937"/>
        <v>3320581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86005A-000A-48A4-8B23-00B800CD00F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E0007-002C-4378-A545-002B006C005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9D00FC-0020-42C6-A0A0-00E70022003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6A00B0-0036-4171-BE8B-00C3004600D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CE002D-004D-4473-BBD0-00F30068000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BD0060-00FA-4685-971B-00F3005800B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3D0080-00DB-4D68-A60C-00DF0048001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7C00FE-00F2-4279-87FA-00420043002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F9009B-0051-4B3F-AF34-002400F1005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A500EC-008B-4488-A6DC-002B008E00A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C90079-0008-43A7-BC5B-008800CB00D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070041-005A-4BAD-B82A-005C00BB004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14" activeCellId="0" sqref="H14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157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168</v>
      </c>
      <c r="J2" s="7" t="s">
        <v>17</v>
      </c>
      <c r="K2" s="7" t="s">
        <v>18</v>
      </c>
      <c r="L2" s="7" t="s">
        <v>19</v>
      </c>
      <c r="M2" s="53" t="s">
        <v>146</v>
      </c>
      <c r="N2" s="53" t="s">
        <v>169</v>
      </c>
      <c r="O2" s="53" t="s">
        <v>170</v>
      </c>
      <c r="P2" s="53" t="s">
        <v>171</v>
      </c>
      <c r="Q2" s="47" t="s">
        <v>172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374626</v>
      </c>
      <c r="D3" s="11">
        <v>2.8923780588381258</v>
      </c>
      <c r="E3" s="12">
        <f t="shared" ref="E3:E20" si="943">C3*D3</f>
        <v>1083560.0226702918</v>
      </c>
      <c r="F3" s="13">
        <v>148369</v>
      </c>
      <c r="G3" s="44">
        <v>374626</v>
      </c>
      <c r="H3" s="13">
        <v>0</v>
      </c>
      <c r="I3" s="16">
        <f t="shared" ref="I3:I20" si="944">F3+H3</f>
        <v>148369</v>
      </c>
      <c r="J3" s="17">
        <f t="shared" ref="J3:J20" si="945">C3-G3</f>
        <v>0</v>
      </c>
      <c r="K3" s="18">
        <f t="shared" ref="K3:K19" si="946">+G3*D3</f>
        <v>1083560.0226702918</v>
      </c>
      <c r="L3" s="19">
        <f t="shared" ref="L3:L10" si="947">K3/E3</f>
        <v>1</v>
      </c>
      <c r="M3" s="34">
        <v>0</v>
      </c>
      <c r="N3" s="58">
        <v>111000</v>
      </c>
      <c r="O3" s="34">
        <v>130000</v>
      </c>
      <c r="P3" s="34">
        <v>148000</v>
      </c>
      <c r="Q3" s="34">
        <v>130000</v>
      </c>
      <c r="R3" s="34">
        <f t="shared" ref="R3:R21" si="948">M3+N3+O3+P3+Q3</f>
        <v>519000</v>
      </c>
      <c r="S3" s="35">
        <f t="shared" ref="S3:S21" si="949">G3+I3+R3</f>
        <v>1041995</v>
      </c>
      <c r="T3" s="35">
        <f t="shared" ref="T3:T20" si="950">S3-C3</f>
        <v>667369</v>
      </c>
      <c r="U3" s="19">
        <f t="shared" ref="U3:U20" si="951">S3/C3</f>
        <v>2.7814273435372878</v>
      </c>
    </row>
    <row r="4">
      <c r="A4" s="9" t="s">
        <v>22</v>
      </c>
      <c r="B4" s="9" t="s">
        <v>23</v>
      </c>
      <c r="C4" s="14">
        <v>498725</v>
      </c>
      <c r="D4" s="50">
        <v>1.3029343529557731</v>
      </c>
      <c r="E4" s="14">
        <f t="shared" si="943"/>
        <v>649805.93517786788</v>
      </c>
      <c r="F4" s="13">
        <v>368655</v>
      </c>
      <c r="G4" s="13">
        <v>553717</v>
      </c>
      <c r="H4" s="13">
        <v>0</v>
      </c>
      <c r="I4" s="16">
        <f t="shared" si="944"/>
        <v>368655</v>
      </c>
      <c r="J4" s="17">
        <f t="shared" si="945"/>
        <v>-54992</v>
      </c>
      <c r="K4" s="18">
        <f t="shared" si="946"/>
        <v>721456.90111561178</v>
      </c>
      <c r="L4" s="19">
        <f t="shared" si="947"/>
        <v>1.1102651761993083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948"/>
        <v>0</v>
      </c>
      <c r="S4" s="35">
        <f t="shared" si="949"/>
        <v>922372</v>
      </c>
      <c r="T4" s="35">
        <f t="shared" si="950"/>
        <v>423647</v>
      </c>
      <c r="U4" s="19">
        <f t="shared" si="951"/>
        <v>1.8494601233144519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43"/>
        <v>0</v>
      </c>
      <c r="F5" s="13">
        <v>0</v>
      </c>
      <c r="G5" s="13">
        <v>0</v>
      </c>
      <c r="H5" s="13">
        <v>0</v>
      </c>
      <c r="I5" s="16">
        <f t="shared" si="944"/>
        <v>0</v>
      </c>
      <c r="J5" s="17">
        <f t="shared" si="945"/>
        <v>0</v>
      </c>
      <c r="K5" s="18">
        <f t="shared" si="94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48"/>
        <v>0</v>
      </c>
      <c r="S5" s="35">
        <f t="shared" si="949"/>
        <v>0</v>
      </c>
      <c r="T5" s="35">
        <f t="shared" si="950"/>
        <v>0</v>
      </c>
      <c r="U5" s="19" t="e">
        <f t="shared" si="951"/>
        <v>#DIV/0!</v>
      </c>
    </row>
    <row r="6">
      <c r="A6" s="9" t="s">
        <v>26</v>
      </c>
      <c r="B6" s="9" t="s">
        <v>27</v>
      </c>
      <c r="C6" s="14">
        <v>225845</v>
      </c>
      <c r="D6" s="11">
        <v>1.1430280588381259</v>
      </c>
      <c r="E6" s="12">
        <f t="shared" si="943"/>
        <v>258147.17194829654</v>
      </c>
      <c r="F6" s="13">
        <v>192541</v>
      </c>
      <c r="G6" s="44">
        <v>225845</v>
      </c>
      <c r="H6" s="44">
        <v>0</v>
      </c>
      <c r="I6" s="16">
        <f t="shared" si="944"/>
        <v>192541</v>
      </c>
      <c r="J6" s="17">
        <f t="shared" si="945"/>
        <v>0</v>
      </c>
      <c r="K6" s="18">
        <f t="shared" si="946"/>
        <v>258147.17194829654</v>
      </c>
      <c r="L6" s="19">
        <f t="shared" si="947"/>
        <v>1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948"/>
        <v>94000</v>
      </c>
      <c r="S6" s="35">
        <f t="shared" si="949"/>
        <v>512386</v>
      </c>
      <c r="T6" s="35">
        <f t="shared" si="950"/>
        <v>286541</v>
      </c>
      <c r="U6" s="19">
        <f t="shared" si="951"/>
        <v>2.2687506918461775</v>
      </c>
    </row>
    <row r="7">
      <c r="A7" s="9" t="s">
        <v>28</v>
      </c>
      <c r="B7" s="9" t="s">
        <v>29</v>
      </c>
      <c r="C7" s="14">
        <v>217720</v>
      </c>
      <c r="D7" s="11">
        <v>0.63422805883812572</v>
      </c>
      <c r="E7" s="12">
        <f t="shared" si="943"/>
        <v>138084.13297023674</v>
      </c>
      <c r="F7" s="13">
        <v>0</v>
      </c>
      <c r="G7" s="44">
        <v>229798</v>
      </c>
      <c r="H7" s="13">
        <v>178200</v>
      </c>
      <c r="I7" s="16">
        <f t="shared" si="944"/>
        <v>178200</v>
      </c>
      <c r="J7" s="17">
        <f t="shared" si="945"/>
        <v>-12078</v>
      </c>
      <c r="K7" s="18">
        <f t="shared" si="946"/>
        <v>145744.33946488361</v>
      </c>
      <c r="L7" s="19">
        <f t="shared" si="947"/>
        <v>1.0554749219180599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948"/>
        <v>522000</v>
      </c>
      <c r="S7" s="35">
        <f t="shared" si="949"/>
        <v>929998</v>
      </c>
      <c r="T7" s="35">
        <f t="shared" si="950"/>
        <v>712278</v>
      </c>
      <c r="U7" s="19">
        <f t="shared" si="951"/>
        <v>4.2715322432482088</v>
      </c>
    </row>
    <row r="8">
      <c r="A8" s="9" t="s">
        <v>30</v>
      </c>
      <c r="B8" s="9" t="s">
        <v>31</v>
      </c>
      <c r="C8" s="14">
        <v>287667</v>
      </c>
      <c r="D8" s="50">
        <v>0.89352805883812592</v>
      </c>
      <c r="E8" s="14">
        <f t="shared" si="943"/>
        <v>257038.53610178718</v>
      </c>
      <c r="F8" s="44">
        <v>318563</v>
      </c>
      <c r="G8" s="13">
        <v>287667</v>
      </c>
      <c r="H8" s="44">
        <v>0</v>
      </c>
      <c r="I8" s="16">
        <f t="shared" si="944"/>
        <v>318563</v>
      </c>
      <c r="J8" s="17">
        <f t="shared" si="945"/>
        <v>0</v>
      </c>
      <c r="K8" s="18">
        <f t="shared" si="946"/>
        <v>257038.53610178718</v>
      </c>
      <c r="L8" s="19">
        <f t="shared" si="947"/>
        <v>1</v>
      </c>
      <c r="M8" s="34">
        <v>0</v>
      </c>
      <c r="N8" s="58">
        <v>0</v>
      </c>
      <c r="O8" s="34">
        <v>260000</v>
      </c>
      <c r="P8" s="34">
        <v>0</v>
      </c>
      <c r="Q8" s="34">
        <v>0</v>
      </c>
      <c r="R8" s="34">
        <f t="shared" si="948"/>
        <v>260000</v>
      </c>
      <c r="S8" s="35">
        <f t="shared" si="949"/>
        <v>866230</v>
      </c>
      <c r="T8" s="35">
        <f t="shared" si="950"/>
        <v>578563</v>
      </c>
      <c r="U8" s="19">
        <f t="shared" si="951"/>
        <v>3.0112247842123012</v>
      </c>
    </row>
    <row r="9">
      <c r="A9" s="9" t="s">
        <v>32</v>
      </c>
      <c r="B9" s="9" t="s">
        <v>33</v>
      </c>
      <c r="C9" s="14">
        <v>74500</v>
      </c>
      <c r="D9" s="11">
        <v>1.0683280588381256</v>
      </c>
      <c r="E9" s="12">
        <f t="shared" si="943"/>
        <v>79590.440383440364</v>
      </c>
      <c r="F9" s="13">
        <v>58575</v>
      </c>
      <c r="G9" s="13">
        <v>74500</v>
      </c>
      <c r="H9" s="13">
        <v>0</v>
      </c>
      <c r="I9" s="16">
        <f t="shared" si="944"/>
        <v>58575</v>
      </c>
      <c r="J9" s="17">
        <f t="shared" si="945"/>
        <v>0</v>
      </c>
      <c r="K9" s="18">
        <f t="shared" si="946"/>
        <v>79590.440383440364</v>
      </c>
      <c r="L9" s="19">
        <f t="shared" si="947"/>
        <v>1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948"/>
        <v>233000</v>
      </c>
      <c r="S9" s="35">
        <f t="shared" si="949"/>
        <v>366075</v>
      </c>
      <c r="T9" s="35">
        <f t="shared" si="950"/>
        <v>291575</v>
      </c>
      <c r="U9" s="19">
        <f t="shared" si="951"/>
        <v>4.9137583892617451</v>
      </c>
    </row>
    <row r="10">
      <c r="A10" s="9" t="s">
        <v>34</v>
      </c>
      <c r="B10" s="9" t="s">
        <v>35</v>
      </c>
      <c r="C10" s="14">
        <v>230838</v>
      </c>
      <c r="D10" s="50">
        <v>2.1696780588381257</v>
      </c>
      <c r="E10" s="14">
        <f t="shared" si="943"/>
        <v>500844.14374607528</v>
      </c>
      <c r="F10" s="13">
        <v>0</v>
      </c>
      <c r="G10" s="13">
        <v>233847</v>
      </c>
      <c r="H10" s="13">
        <v>0</v>
      </c>
      <c r="I10" s="16">
        <f t="shared" si="944"/>
        <v>0</v>
      </c>
      <c r="J10" s="17">
        <f t="shared" si="945"/>
        <v>-3009</v>
      </c>
      <c r="K10" s="18">
        <f t="shared" si="946"/>
        <v>507372.70502511918</v>
      </c>
      <c r="L10" s="19">
        <f t="shared" si="947"/>
        <v>1.0130351155355704</v>
      </c>
      <c r="M10" s="34">
        <v>0</v>
      </c>
      <c r="N10" s="58">
        <v>234000</v>
      </c>
      <c r="O10" s="34">
        <v>234000</v>
      </c>
      <c r="P10" s="34">
        <v>0</v>
      </c>
      <c r="Q10" s="34">
        <v>0</v>
      </c>
      <c r="R10" s="34">
        <f t="shared" si="948"/>
        <v>468000</v>
      </c>
      <c r="S10" s="35">
        <f t="shared" si="949"/>
        <v>701847</v>
      </c>
      <c r="T10" s="35">
        <f t="shared" si="950"/>
        <v>471009</v>
      </c>
      <c r="U10" s="19">
        <f t="shared" si="951"/>
        <v>3.0404309515764303</v>
      </c>
    </row>
    <row r="11">
      <c r="A11" s="9" t="s">
        <v>36</v>
      </c>
      <c r="B11" s="9" t="s">
        <v>37</v>
      </c>
      <c r="C11" s="14">
        <v>0</v>
      </c>
      <c r="D11" s="11">
        <v>1.5549280588381262</v>
      </c>
      <c r="E11" s="12">
        <f t="shared" si="943"/>
        <v>0</v>
      </c>
      <c r="F11" s="13">
        <v>0</v>
      </c>
      <c r="G11" s="13">
        <v>0</v>
      </c>
      <c r="H11" s="13">
        <v>0</v>
      </c>
      <c r="I11" s="16">
        <f t="shared" si="944"/>
        <v>0</v>
      </c>
      <c r="J11" s="17">
        <f t="shared" si="945"/>
        <v>0</v>
      </c>
      <c r="K11" s="18">
        <f t="shared" si="946"/>
        <v>0</v>
      </c>
      <c r="L11" s="19">
        <v>0</v>
      </c>
      <c r="M11" s="34">
        <v>0</v>
      </c>
      <c r="N11" s="58">
        <v>37000</v>
      </c>
      <c r="O11" s="34">
        <v>0</v>
      </c>
      <c r="P11" s="34">
        <v>0</v>
      </c>
      <c r="Q11" s="34">
        <v>0</v>
      </c>
      <c r="R11" s="34">
        <f t="shared" si="948"/>
        <v>37000</v>
      </c>
      <c r="S11" s="35">
        <f t="shared" si="949"/>
        <v>37000</v>
      </c>
      <c r="T11" s="35">
        <f t="shared" si="950"/>
        <v>37000</v>
      </c>
      <c r="U11" s="19" t="e">
        <f t="shared" si="951"/>
        <v>#DIV/0!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43"/>
        <v>0</v>
      </c>
      <c r="F12" s="13">
        <v>0</v>
      </c>
      <c r="G12" s="13">
        <v>0</v>
      </c>
      <c r="H12" s="13">
        <v>0</v>
      </c>
      <c r="I12" s="16">
        <f t="shared" si="944"/>
        <v>0</v>
      </c>
      <c r="J12" s="17">
        <f t="shared" si="94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48"/>
        <v>0</v>
      </c>
      <c r="S12" s="35">
        <f t="shared" si="949"/>
        <v>0</v>
      </c>
      <c r="T12" s="35">
        <f t="shared" si="950"/>
        <v>0</v>
      </c>
      <c r="U12" s="19" t="e">
        <f t="shared" si="951"/>
        <v>#DIV/0!</v>
      </c>
    </row>
    <row r="13">
      <c r="A13" s="9" t="s">
        <v>40</v>
      </c>
      <c r="B13" s="9" t="s">
        <v>41</v>
      </c>
      <c r="C13" s="14">
        <v>33400</v>
      </c>
      <c r="D13" s="11">
        <v>4.3295293823675376</v>
      </c>
      <c r="E13" s="12">
        <f t="shared" si="943"/>
        <v>144606.28137107575</v>
      </c>
      <c r="F13" s="13">
        <v>0</v>
      </c>
      <c r="G13" s="13">
        <v>33460</v>
      </c>
      <c r="H13" s="13">
        <v>0</v>
      </c>
      <c r="I13" s="16">
        <f>F13+H13</f>
        <v>0</v>
      </c>
      <c r="J13" s="17">
        <f t="shared" si="945"/>
        <v>-60</v>
      </c>
      <c r="K13" s="18">
        <f t="shared" si="946"/>
        <v>144866.0531340178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48"/>
        <v>0</v>
      </c>
      <c r="S13" s="35">
        <f t="shared" si="949"/>
        <v>33460</v>
      </c>
      <c r="T13" s="35">
        <f t="shared" si="950"/>
        <v>60</v>
      </c>
      <c r="U13" s="19">
        <f t="shared" si="951"/>
        <v>1.0017964071856287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43"/>
        <v>0</v>
      </c>
      <c r="F14" s="13">
        <v>0</v>
      </c>
      <c r="G14" s="13">
        <v>0</v>
      </c>
      <c r="H14" s="13">
        <v>0</v>
      </c>
      <c r="I14" s="16">
        <f t="shared" si="944"/>
        <v>0</v>
      </c>
      <c r="J14" s="17">
        <f t="shared" si="945"/>
        <v>0</v>
      </c>
      <c r="K14" s="18">
        <f t="shared" si="94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48"/>
        <v>0</v>
      </c>
      <c r="S14" s="35">
        <f t="shared" si="949"/>
        <v>0</v>
      </c>
      <c r="T14" s="35">
        <f t="shared" si="950"/>
        <v>0</v>
      </c>
      <c r="U14" s="19" t="e">
        <f t="shared" si="951"/>
        <v>#DIV/0!</v>
      </c>
    </row>
    <row r="15">
      <c r="A15" s="9" t="s">
        <v>42</v>
      </c>
      <c r="B15" s="9" t="s">
        <v>43</v>
      </c>
      <c r="C15" s="14">
        <v>0</v>
      </c>
      <c r="D15" s="11">
        <v>8.9388782058969483</v>
      </c>
      <c r="E15" s="12">
        <f t="shared" si="943"/>
        <v>0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45"/>
        <v>0</v>
      </c>
      <c r="K15" s="18">
        <f t="shared" si="94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48"/>
        <v>0</v>
      </c>
      <c r="S15" s="35">
        <f t="shared" si="949"/>
        <v>0</v>
      </c>
      <c r="T15" s="35">
        <f t="shared" si="950"/>
        <v>0</v>
      </c>
      <c r="U15" s="19" t="e">
        <f t="shared" si="951"/>
        <v>#DIV/0!</v>
      </c>
    </row>
    <row r="16">
      <c r="A16" s="9" t="s">
        <v>44</v>
      </c>
      <c r="B16" s="9" t="s">
        <v>45</v>
      </c>
      <c r="C16" s="14">
        <v>73000</v>
      </c>
      <c r="D16" s="11">
        <v>12.061373764720482</v>
      </c>
      <c r="E16" s="12">
        <f t="shared" si="943"/>
        <v>880480.2848245952</v>
      </c>
      <c r="F16" s="13">
        <v>0</v>
      </c>
      <c r="G16" s="33">
        <v>72943</v>
      </c>
      <c r="H16" s="13">
        <v>0</v>
      </c>
      <c r="I16" s="16">
        <f t="shared" si="944"/>
        <v>0</v>
      </c>
      <c r="J16" s="17">
        <f t="shared" si="945"/>
        <v>57</v>
      </c>
      <c r="K16" s="18">
        <f t="shared" ref="K16:K18" si="952">+G16*D16</f>
        <v>879792.78652000614</v>
      </c>
      <c r="L16" s="19">
        <f t="shared" ref="L16:L21" si="953">K16/E16</f>
        <v>0.99921917808219174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948"/>
        <v>0</v>
      </c>
      <c r="S16" s="35">
        <f t="shared" si="949"/>
        <v>72943</v>
      </c>
      <c r="T16" s="35">
        <f t="shared" si="950"/>
        <v>-57</v>
      </c>
      <c r="U16" s="19">
        <f t="shared" si="951"/>
        <v>0.99921917808219174</v>
      </c>
    </row>
    <row r="17">
      <c r="A17" s="62" t="s">
        <v>150</v>
      </c>
      <c r="B17" s="63" t="s">
        <v>151</v>
      </c>
      <c r="C17" s="14">
        <v>5971</v>
      </c>
      <c r="D17" s="11">
        <v>6.7956857705540301</v>
      </c>
      <c r="E17" s="12">
        <f t="shared" si="943"/>
        <v>40577.039735978113</v>
      </c>
      <c r="F17" s="13">
        <v>0</v>
      </c>
      <c r="G17" s="33">
        <v>5956</v>
      </c>
      <c r="H17" s="13">
        <v>0</v>
      </c>
      <c r="I17" s="16">
        <f t="shared" si="944"/>
        <v>0</v>
      </c>
      <c r="J17" s="17">
        <f t="shared" si="945"/>
        <v>15</v>
      </c>
      <c r="K17" s="18">
        <f t="shared" si="952"/>
        <v>40475.104449419807</v>
      </c>
      <c r="L17" s="19">
        <f t="shared" si="953"/>
        <v>0.99748785798023798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948"/>
        <v>0</v>
      </c>
      <c r="S17" s="35">
        <f t="shared" si="949"/>
        <v>5956</v>
      </c>
      <c r="T17" s="35">
        <f t="shared" si="950"/>
        <v>-15</v>
      </c>
      <c r="U17" s="19">
        <f t="shared" si="951"/>
        <v>0.99748785798023787</v>
      </c>
    </row>
    <row r="18">
      <c r="A18" s="62" t="s">
        <v>152</v>
      </c>
      <c r="B18" s="63" t="s">
        <v>153</v>
      </c>
      <c r="C18" s="14">
        <v>63917</v>
      </c>
      <c r="D18" s="11">
        <v>10.033574703112851</v>
      </c>
      <c r="E18" s="12">
        <f t="shared" si="943"/>
        <v>641315.99429886416</v>
      </c>
      <c r="F18" s="13">
        <v>0</v>
      </c>
      <c r="G18" s="33">
        <v>63903</v>
      </c>
      <c r="H18" s="13">
        <v>0</v>
      </c>
      <c r="I18" s="16">
        <f t="shared" si="944"/>
        <v>0</v>
      </c>
      <c r="J18" s="17">
        <f t="shared" si="945"/>
        <v>14</v>
      </c>
      <c r="K18" s="18">
        <f t="shared" si="952"/>
        <v>641175.52425302053</v>
      </c>
      <c r="L18" s="19">
        <f t="shared" si="953"/>
        <v>0.9997809659402036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948"/>
        <v>0</v>
      </c>
      <c r="S18" s="35">
        <f t="shared" si="949"/>
        <v>63903</v>
      </c>
      <c r="T18" s="35">
        <f t="shared" si="950"/>
        <v>-14</v>
      </c>
      <c r="U18" s="19">
        <f t="shared" si="951"/>
        <v>0.99978096594020371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43"/>
        <v>0</v>
      </c>
      <c r="F19" s="13">
        <v>0</v>
      </c>
      <c r="G19" s="13">
        <v>0</v>
      </c>
      <c r="H19" s="13">
        <v>0</v>
      </c>
      <c r="I19" s="16">
        <f t="shared" si="944"/>
        <v>0</v>
      </c>
      <c r="J19" s="17">
        <f t="shared" si="945"/>
        <v>0</v>
      </c>
      <c r="K19" s="18">
        <f t="shared" si="94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48"/>
        <v>0</v>
      </c>
      <c r="S19" s="35">
        <f t="shared" si="949"/>
        <v>0</v>
      </c>
      <c r="T19" s="35">
        <f t="shared" si="950"/>
        <v>0</v>
      </c>
      <c r="U19" s="19" t="e">
        <f t="shared" si="951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43"/>
        <v>0</v>
      </c>
      <c r="F20" s="13">
        <v>0</v>
      </c>
      <c r="G20" s="13">
        <v>0</v>
      </c>
      <c r="H20" s="13">
        <v>0</v>
      </c>
      <c r="I20" s="16">
        <f t="shared" si="944"/>
        <v>0</v>
      </c>
      <c r="J20" s="17">
        <f t="shared" si="945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48"/>
        <v>0</v>
      </c>
      <c r="S20" s="35">
        <f t="shared" si="949"/>
        <v>0</v>
      </c>
      <c r="T20" s="35">
        <f t="shared" si="950"/>
        <v>0</v>
      </c>
      <c r="U20" s="19" t="e">
        <f t="shared" si="951"/>
        <v>#DIV/0!</v>
      </c>
    </row>
    <row r="21" ht="16.5">
      <c r="A21" s="21" t="s">
        <v>50</v>
      </c>
      <c r="B21" s="21"/>
      <c r="C21" s="36">
        <f>SUM(C3:C20)</f>
        <v>2086209</v>
      </c>
      <c r="D21" s="23"/>
      <c r="E21" s="22">
        <f t="shared" ref="E21:H21" si="954">SUM(E3:E20)</f>
        <v>4674049.9832285084</v>
      </c>
      <c r="F21" s="24">
        <f>SUM(F3:F20)</f>
        <v>1086703</v>
      </c>
      <c r="G21" s="24">
        <f t="shared" si="954"/>
        <v>2156262</v>
      </c>
      <c r="H21" s="24">
        <f t="shared" si="954"/>
        <v>178200</v>
      </c>
      <c r="I21" s="25">
        <f>SUM(I3:I20)</f>
        <v>1264903</v>
      </c>
      <c r="J21" s="26">
        <f>SUM(J3:J20)</f>
        <v>-70053</v>
      </c>
      <c r="K21" s="26">
        <f>SUM(K3:K20)</f>
        <v>4759219.5850658948</v>
      </c>
      <c r="L21" s="27">
        <f t="shared" si="953"/>
        <v>1.0182217995406539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948"/>
        <v>1</v>
      </c>
      <c r="S21" s="35">
        <f t="shared" si="949"/>
        <v>3421166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610084-0070-47B7-8336-00D50065004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0E002C-007C-413A-B741-009000AF00F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0800B8-00C2-43BC-AF55-004900B4004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BB0032-000E-4E6F-A4B9-00CD0014007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76008C-00CA-4877-8184-00460007007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E000C1-002A-4A98-90A6-00FE001C0079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4B00A3-0087-4FCD-9098-00CF000B00D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300C6-00A7-447F-A954-00750070009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4F009C-00AA-44D6-A6CF-001E000C00A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A4003F-00C4-41C5-B15C-0002009A00C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3200E7-00E3-4A96-8846-003F000E00C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B300C5-0003-4E04-B7C1-003D005D005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26" activeCellId="0" sqref="H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174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300000</v>
      </c>
      <c r="D3" s="11">
        <v>2.8923780588381258</v>
      </c>
      <c r="E3" s="12">
        <f t="shared" ref="E3:E20" si="955">C3*D3</f>
        <v>867713.41765143769</v>
      </c>
      <c r="F3" s="13">
        <v>148369</v>
      </c>
      <c r="G3" s="44">
        <v>0</v>
      </c>
      <c r="H3" s="13">
        <v>0</v>
      </c>
      <c r="I3" s="16">
        <f t="shared" ref="I3:I20" si="956">F3+H3</f>
        <v>148369</v>
      </c>
      <c r="J3" s="17">
        <f t="shared" ref="J3:J20" si="957">C3-G3</f>
        <v>300000</v>
      </c>
      <c r="K3" s="18">
        <f t="shared" ref="K3:K19" si="958">+G3*D3</f>
        <v>0</v>
      </c>
      <c r="L3" s="19">
        <f t="shared" ref="L3:L10" si="959">K3/E3</f>
        <v>0</v>
      </c>
      <c r="M3" s="34">
        <v>0</v>
      </c>
      <c r="N3" s="58">
        <v>111000</v>
      </c>
      <c r="O3" s="34">
        <v>130000</v>
      </c>
      <c r="P3" s="34">
        <v>148000</v>
      </c>
      <c r="Q3" s="34">
        <v>130000</v>
      </c>
      <c r="R3" s="34">
        <f t="shared" ref="R3:R21" si="960">M3+N3+O3+P3+Q3</f>
        <v>519000</v>
      </c>
      <c r="S3" s="35">
        <f t="shared" ref="S3:S21" si="961">G3+I3+R3</f>
        <v>667369</v>
      </c>
      <c r="T3" s="35">
        <f t="shared" ref="T3:T20" si="962">S3-C3</f>
        <v>367369</v>
      </c>
      <c r="U3" s="19">
        <f t="shared" ref="U3:U20" si="963">S3/C3</f>
        <v>2.2245633333333332</v>
      </c>
    </row>
    <row r="4">
      <c r="A4" s="9" t="s">
        <v>22</v>
      </c>
      <c r="B4" s="9" t="s">
        <v>23</v>
      </c>
      <c r="C4" s="14">
        <v>490000</v>
      </c>
      <c r="D4" s="50">
        <v>1.3029343529557731</v>
      </c>
      <c r="E4" s="14">
        <f t="shared" si="955"/>
        <v>638437.83294832881</v>
      </c>
      <c r="F4" s="13">
        <v>368655</v>
      </c>
      <c r="G4" s="13">
        <v>0</v>
      </c>
      <c r="H4" s="13">
        <v>0</v>
      </c>
      <c r="I4" s="16">
        <f t="shared" si="956"/>
        <v>368655</v>
      </c>
      <c r="J4" s="17">
        <f t="shared" si="957"/>
        <v>490000</v>
      </c>
      <c r="K4" s="18">
        <f t="shared" si="958"/>
        <v>0</v>
      </c>
      <c r="L4" s="19">
        <f t="shared" si="959"/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960"/>
        <v>0</v>
      </c>
      <c r="S4" s="35">
        <f t="shared" si="961"/>
        <v>368655</v>
      </c>
      <c r="T4" s="35">
        <f t="shared" si="962"/>
        <v>-121345</v>
      </c>
      <c r="U4" s="19">
        <f t="shared" si="963"/>
        <v>0.75235714285714284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55"/>
        <v>0</v>
      </c>
      <c r="F5" s="13">
        <v>0</v>
      </c>
      <c r="G5" s="13">
        <v>0</v>
      </c>
      <c r="H5" s="13">
        <v>0</v>
      </c>
      <c r="I5" s="16">
        <f t="shared" si="956"/>
        <v>0</v>
      </c>
      <c r="J5" s="17">
        <f t="shared" si="957"/>
        <v>0</v>
      </c>
      <c r="K5" s="18">
        <f t="shared" si="95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60"/>
        <v>0</v>
      </c>
      <c r="S5" s="35">
        <f t="shared" si="961"/>
        <v>0</v>
      </c>
      <c r="T5" s="35">
        <f t="shared" si="962"/>
        <v>0</v>
      </c>
      <c r="U5" s="19" t="e">
        <f t="shared" si="963"/>
        <v>#DIV/0!</v>
      </c>
    </row>
    <row r="6">
      <c r="A6" s="9" t="s">
        <v>26</v>
      </c>
      <c r="B6" s="9" t="s">
        <v>27</v>
      </c>
      <c r="C6" s="14">
        <v>300000</v>
      </c>
      <c r="D6" s="11">
        <v>1.1430280588381259</v>
      </c>
      <c r="E6" s="12">
        <f t="shared" si="955"/>
        <v>342908.41765143775</v>
      </c>
      <c r="F6" s="13">
        <v>192541</v>
      </c>
      <c r="G6" s="44">
        <v>0</v>
      </c>
      <c r="H6" s="44">
        <v>0</v>
      </c>
      <c r="I6" s="16">
        <f t="shared" si="956"/>
        <v>192541</v>
      </c>
      <c r="J6" s="17">
        <f t="shared" si="957"/>
        <v>300000</v>
      </c>
      <c r="K6" s="18">
        <f t="shared" si="958"/>
        <v>0</v>
      </c>
      <c r="L6" s="19">
        <f t="shared" si="959"/>
        <v>0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960"/>
        <v>94000</v>
      </c>
      <c r="S6" s="35">
        <f t="shared" si="961"/>
        <v>286541</v>
      </c>
      <c r="T6" s="35">
        <f t="shared" si="962"/>
        <v>-13459</v>
      </c>
      <c r="U6" s="19">
        <f t="shared" si="963"/>
        <v>0.95513666666666663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955"/>
        <v>205985.22317750531</v>
      </c>
      <c r="F7" s="13">
        <v>0</v>
      </c>
      <c r="G7" s="44">
        <v>118800</v>
      </c>
      <c r="H7" s="13">
        <v>59400</v>
      </c>
      <c r="I7" s="16">
        <f t="shared" si="956"/>
        <v>59400</v>
      </c>
      <c r="J7" s="17">
        <f t="shared" si="957"/>
        <v>205981</v>
      </c>
      <c r="K7" s="18">
        <f t="shared" si="958"/>
        <v>75346.293389969331</v>
      </c>
      <c r="L7" s="19">
        <f t="shared" si="959"/>
        <v>0.36578494431632391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960"/>
        <v>522000</v>
      </c>
      <c r="S7" s="35">
        <f t="shared" si="961"/>
        <v>700200</v>
      </c>
      <c r="T7" s="35">
        <f t="shared" si="962"/>
        <v>375419</v>
      </c>
      <c r="U7" s="19">
        <f t="shared" si="963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955"/>
        <v>322487.6793555622</v>
      </c>
      <c r="F8" s="44">
        <v>318563</v>
      </c>
      <c r="G8" s="13">
        <v>0</v>
      </c>
      <c r="H8" s="44">
        <v>0</v>
      </c>
      <c r="I8" s="16">
        <f t="shared" si="956"/>
        <v>318563</v>
      </c>
      <c r="J8" s="17">
        <f t="shared" si="957"/>
        <v>360915</v>
      </c>
      <c r="K8" s="18">
        <f t="shared" si="958"/>
        <v>0</v>
      </c>
      <c r="L8" s="19">
        <f t="shared" si="959"/>
        <v>0</v>
      </c>
      <c r="M8" s="34">
        <v>0</v>
      </c>
      <c r="N8" s="58">
        <v>0</v>
      </c>
      <c r="O8" s="34">
        <v>260000</v>
      </c>
      <c r="P8" s="34">
        <v>0</v>
      </c>
      <c r="Q8" s="34">
        <v>0</v>
      </c>
      <c r="R8" s="34">
        <f t="shared" si="960"/>
        <v>260000</v>
      </c>
      <c r="S8" s="35">
        <f t="shared" si="961"/>
        <v>578563</v>
      </c>
      <c r="T8" s="35">
        <f t="shared" si="962"/>
        <v>217648</v>
      </c>
      <c r="U8" s="19">
        <f t="shared" si="963"/>
        <v>1.6030450383054182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955"/>
        <v>140431.72333427161</v>
      </c>
      <c r="F9" s="13">
        <v>58575</v>
      </c>
      <c r="G9" s="13">
        <v>0</v>
      </c>
      <c r="H9" s="13">
        <v>0</v>
      </c>
      <c r="I9" s="16">
        <f t="shared" si="956"/>
        <v>58575</v>
      </c>
      <c r="J9" s="17">
        <f t="shared" si="957"/>
        <v>131450</v>
      </c>
      <c r="K9" s="18">
        <f t="shared" si="958"/>
        <v>0</v>
      </c>
      <c r="L9" s="19">
        <f t="shared" si="959"/>
        <v>0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960"/>
        <v>233000</v>
      </c>
      <c r="S9" s="35">
        <f t="shared" si="961"/>
        <v>291575</v>
      </c>
      <c r="T9" s="35">
        <f t="shared" si="962"/>
        <v>160125</v>
      </c>
      <c r="U9" s="19">
        <f t="shared" si="963"/>
        <v>2.2181437809052871</v>
      </c>
    </row>
    <row r="10">
      <c r="A10" s="9" t="s">
        <v>34</v>
      </c>
      <c r="B10" s="9" t="s">
        <v>35</v>
      </c>
      <c r="C10" s="14">
        <v>467572</v>
      </c>
      <c r="D10" s="50">
        <v>2.1696780588381257</v>
      </c>
      <c r="E10" s="14">
        <f t="shared" si="955"/>
        <v>1014480.7093270601</v>
      </c>
      <c r="F10" s="13">
        <v>0</v>
      </c>
      <c r="G10" s="13">
        <v>0</v>
      </c>
      <c r="H10" s="13">
        <v>0</v>
      </c>
      <c r="I10" s="16">
        <f t="shared" si="956"/>
        <v>0</v>
      </c>
      <c r="J10" s="17">
        <f t="shared" si="957"/>
        <v>467572</v>
      </c>
      <c r="K10" s="18">
        <f t="shared" si="958"/>
        <v>0</v>
      </c>
      <c r="L10" s="19">
        <f t="shared" si="959"/>
        <v>0</v>
      </c>
      <c r="M10" s="34">
        <v>0</v>
      </c>
      <c r="N10" s="58">
        <v>234000</v>
      </c>
      <c r="O10" s="34">
        <v>234000</v>
      </c>
      <c r="P10" s="34">
        <v>0</v>
      </c>
      <c r="Q10" s="34">
        <v>0</v>
      </c>
      <c r="R10" s="34">
        <f t="shared" si="960"/>
        <v>468000</v>
      </c>
      <c r="S10" s="35">
        <f t="shared" si="961"/>
        <v>468000</v>
      </c>
      <c r="T10" s="35">
        <f t="shared" si="962"/>
        <v>428</v>
      </c>
      <c r="U10" s="19">
        <f t="shared" si="963"/>
        <v>1.0009153670450754</v>
      </c>
    </row>
    <row r="11">
      <c r="A11" s="9" t="s">
        <v>36</v>
      </c>
      <c r="B11" s="9" t="s">
        <v>37</v>
      </c>
      <c r="C11" s="14">
        <v>36918</v>
      </c>
      <c r="D11" s="11">
        <v>1.5549280588381262</v>
      </c>
      <c r="E11" s="12">
        <f t="shared" si="955"/>
        <v>57404.834076185944</v>
      </c>
      <c r="F11" s="13">
        <v>0</v>
      </c>
      <c r="G11" s="13">
        <v>0</v>
      </c>
      <c r="H11" s="13">
        <v>0</v>
      </c>
      <c r="I11" s="16">
        <f t="shared" si="956"/>
        <v>0</v>
      </c>
      <c r="J11" s="17">
        <f t="shared" si="957"/>
        <v>36918</v>
      </c>
      <c r="K11" s="18">
        <f t="shared" si="958"/>
        <v>0</v>
      </c>
      <c r="L11" s="19">
        <v>0</v>
      </c>
      <c r="M11" s="34">
        <v>0</v>
      </c>
      <c r="N11" s="58">
        <v>37000</v>
      </c>
      <c r="O11" s="34">
        <v>0</v>
      </c>
      <c r="P11" s="34">
        <v>0</v>
      </c>
      <c r="Q11" s="34">
        <v>0</v>
      </c>
      <c r="R11" s="34">
        <f t="shared" si="960"/>
        <v>37000</v>
      </c>
      <c r="S11" s="35">
        <f t="shared" si="961"/>
        <v>37000</v>
      </c>
      <c r="T11" s="35">
        <f t="shared" si="962"/>
        <v>82</v>
      </c>
      <c r="U11" s="19">
        <f t="shared" si="963"/>
        <v>1.00222113873991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55"/>
        <v>0</v>
      </c>
      <c r="F12" s="13">
        <v>0</v>
      </c>
      <c r="G12" s="13">
        <v>0</v>
      </c>
      <c r="H12" s="13">
        <v>0</v>
      </c>
      <c r="I12" s="16">
        <f t="shared" si="956"/>
        <v>0</v>
      </c>
      <c r="J12" s="17">
        <f t="shared" si="95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60"/>
        <v>0</v>
      </c>
      <c r="S12" s="35">
        <f t="shared" si="961"/>
        <v>0</v>
      </c>
      <c r="T12" s="35">
        <f t="shared" si="962"/>
        <v>0</v>
      </c>
      <c r="U12" s="19" t="e">
        <f t="shared" si="96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955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957"/>
        <v>0</v>
      </c>
      <c r="K13" s="18">
        <f t="shared" si="95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60"/>
        <v>0</v>
      </c>
      <c r="S13" s="35">
        <f t="shared" si="961"/>
        <v>0</v>
      </c>
      <c r="T13" s="35">
        <f t="shared" si="962"/>
        <v>0</v>
      </c>
      <c r="U13" s="19" t="e">
        <f t="shared" si="963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55"/>
        <v>0</v>
      </c>
      <c r="F14" s="13">
        <v>0</v>
      </c>
      <c r="G14" s="13">
        <v>0</v>
      </c>
      <c r="H14" s="13">
        <v>0</v>
      </c>
      <c r="I14" s="16">
        <f t="shared" si="956"/>
        <v>0</v>
      </c>
      <c r="J14" s="17">
        <f t="shared" si="957"/>
        <v>0</v>
      </c>
      <c r="K14" s="18">
        <f t="shared" si="95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60"/>
        <v>0</v>
      </c>
      <c r="S14" s="35">
        <f t="shared" si="961"/>
        <v>0</v>
      </c>
      <c r="T14" s="35">
        <f t="shared" si="962"/>
        <v>0</v>
      </c>
      <c r="U14" s="19" t="e">
        <f t="shared" si="963"/>
        <v>#DIV/0!</v>
      </c>
    </row>
    <row r="15">
      <c r="A15" s="9" t="s">
        <v>42</v>
      </c>
      <c r="B15" s="9" t="s">
        <v>43</v>
      </c>
      <c r="C15" s="14">
        <v>27260</v>
      </c>
      <c r="D15" s="11">
        <v>8.9388782058969483</v>
      </c>
      <c r="E15" s="12">
        <f t="shared" si="955"/>
        <v>243673.81989275082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57"/>
        <v>27260</v>
      </c>
      <c r="K15" s="18">
        <f t="shared" si="95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60"/>
        <v>0</v>
      </c>
      <c r="S15" s="35">
        <f t="shared" si="961"/>
        <v>0</v>
      </c>
      <c r="T15" s="35">
        <f t="shared" si="962"/>
        <v>-27260</v>
      </c>
      <c r="U15" s="19">
        <f t="shared" si="963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955"/>
        <v>0</v>
      </c>
      <c r="F16" s="13">
        <v>0</v>
      </c>
      <c r="G16" s="33">
        <v>0</v>
      </c>
      <c r="H16" s="13">
        <v>0</v>
      </c>
      <c r="I16" s="16">
        <f t="shared" si="956"/>
        <v>0</v>
      </c>
      <c r="J16" s="17">
        <f t="shared" si="957"/>
        <v>0</v>
      </c>
      <c r="K16" s="18">
        <f t="shared" ref="K16:K18" si="964">+G16*D16</f>
        <v>0</v>
      </c>
      <c r="L16" s="19" t="e">
        <f t="shared" ref="L16:L21" si="965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960"/>
        <v>0</v>
      </c>
      <c r="S16" s="35">
        <f t="shared" si="961"/>
        <v>0</v>
      </c>
      <c r="T16" s="35">
        <f t="shared" si="962"/>
        <v>0</v>
      </c>
      <c r="U16" s="19" t="e">
        <f t="shared" si="963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955"/>
        <v>0</v>
      </c>
      <c r="F17" s="13">
        <v>0</v>
      </c>
      <c r="G17" s="33">
        <v>0</v>
      </c>
      <c r="H17" s="13">
        <v>0</v>
      </c>
      <c r="I17" s="16">
        <f t="shared" si="956"/>
        <v>0</v>
      </c>
      <c r="J17" s="17">
        <f t="shared" si="957"/>
        <v>0</v>
      </c>
      <c r="K17" s="18">
        <f t="shared" si="964"/>
        <v>0</v>
      </c>
      <c r="L17" s="19" t="e">
        <f t="shared" si="96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960"/>
        <v>0</v>
      </c>
      <c r="S17" s="35">
        <f t="shared" si="961"/>
        <v>0</v>
      </c>
      <c r="T17" s="35">
        <f t="shared" si="962"/>
        <v>0</v>
      </c>
      <c r="U17" s="19" t="e">
        <f t="shared" si="963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955"/>
        <v>0</v>
      </c>
      <c r="F18" s="13">
        <v>0</v>
      </c>
      <c r="G18" s="33">
        <v>0</v>
      </c>
      <c r="H18" s="13">
        <v>0</v>
      </c>
      <c r="I18" s="16">
        <f t="shared" si="956"/>
        <v>0</v>
      </c>
      <c r="J18" s="17">
        <f t="shared" si="957"/>
        <v>0</v>
      </c>
      <c r="K18" s="18">
        <f t="shared" si="964"/>
        <v>0</v>
      </c>
      <c r="L18" s="19" t="e">
        <f t="shared" si="965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960"/>
        <v>0</v>
      </c>
      <c r="S18" s="35">
        <f t="shared" si="961"/>
        <v>0</v>
      </c>
      <c r="T18" s="35">
        <f t="shared" si="962"/>
        <v>0</v>
      </c>
      <c r="U18" s="19" t="e">
        <f t="shared" si="963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55"/>
        <v>0</v>
      </c>
      <c r="F19" s="13">
        <v>0</v>
      </c>
      <c r="G19" s="13">
        <v>0</v>
      </c>
      <c r="H19" s="13">
        <v>0</v>
      </c>
      <c r="I19" s="16">
        <f t="shared" si="956"/>
        <v>0</v>
      </c>
      <c r="J19" s="17">
        <f t="shared" si="957"/>
        <v>0</v>
      </c>
      <c r="K19" s="18">
        <f t="shared" si="95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60"/>
        <v>0</v>
      </c>
      <c r="S19" s="35">
        <f t="shared" si="961"/>
        <v>0</v>
      </c>
      <c r="T19" s="35">
        <f t="shared" si="962"/>
        <v>0</v>
      </c>
      <c r="U19" s="19" t="e">
        <f t="shared" si="963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55"/>
        <v>0</v>
      </c>
      <c r="F20" s="13">
        <v>0</v>
      </c>
      <c r="G20" s="13">
        <v>0</v>
      </c>
      <c r="H20" s="13">
        <v>0</v>
      </c>
      <c r="I20" s="16">
        <f t="shared" si="956"/>
        <v>0</v>
      </c>
      <c r="J20" s="17">
        <f t="shared" si="957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60"/>
        <v>0</v>
      </c>
      <c r="S20" s="35">
        <f t="shared" si="961"/>
        <v>0</v>
      </c>
      <c r="T20" s="35">
        <f t="shared" si="962"/>
        <v>0</v>
      </c>
      <c r="U20" s="19" t="e">
        <f t="shared" si="963"/>
        <v>#DIV/0!</v>
      </c>
    </row>
    <row r="21" ht="16.5">
      <c r="A21" s="21" t="s">
        <v>50</v>
      </c>
      <c r="B21" s="21"/>
      <c r="C21" s="36">
        <f>SUM(C3:C20)</f>
        <v>2438896</v>
      </c>
      <c r="D21" s="23"/>
      <c r="E21" s="22">
        <f t="shared" ref="E21:H21" si="966">SUM(E3:E20)</f>
        <v>3833523.6574145406</v>
      </c>
      <c r="F21" s="24">
        <f>SUM(F3:F20)</f>
        <v>1086703</v>
      </c>
      <c r="G21" s="24">
        <f t="shared" si="966"/>
        <v>118800</v>
      </c>
      <c r="H21" s="24">
        <f t="shared" si="966"/>
        <v>59400</v>
      </c>
      <c r="I21" s="25">
        <f>SUM(I3:I20)</f>
        <v>1146103</v>
      </c>
      <c r="J21" s="26">
        <f>SUM(J3:J20)</f>
        <v>2320096</v>
      </c>
      <c r="K21" s="26">
        <f>SUM(K3:K20)</f>
        <v>75346.293389969331</v>
      </c>
      <c r="L21" s="27">
        <f t="shared" si="965"/>
        <v>0.019654578952249233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960"/>
        <v>1</v>
      </c>
      <c r="S21" s="35">
        <f t="shared" si="961"/>
        <v>1264904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530034-0075-4C8D-B390-00D900E3000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C90079-00F1-45FA-AEB6-00B20036001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EF00C7-004D-479B-951B-006600B800F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160062-0087-4A07-BAAC-00C1000400A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C0004B-002F-4BB0-8919-00FB003B006A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EE002A-000E-41EE-86E7-009500FD006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880051-004B-47DD-A822-0083009000C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04006D-0099-4A9A-BE32-00370013004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FE0045-0048-4B98-B605-00FC006900D4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B00022-0089-4EE9-AAC3-005F00DA004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40007E-0064-4EF0-9A54-001200A5001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220015-0004-474E-B8C1-009700B5007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26" activeCellId="0" sqref="H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180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300000</v>
      </c>
      <c r="D3" s="11">
        <v>2.8923780588381258</v>
      </c>
      <c r="E3" s="12">
        <f t="shared" ref="E3:E20" si="967">C3*D3</f>
        <v>867713.41765143769</v>
      </c>
      <c r="F3" s="13">
        <v>92746</v>
      </c>
      <c r="G3" s="44">
        <v>55472</v>
      </c>
      <c r="H3" s="13">
        <v>56040</v>
      </c>
      <c r="I3" s="16">
        <f t="shared" ref="I3:I20" si="968">F3+H3</f>
        <v>148786</v>
      </c>
      <c r="J3" s="17">
        <f t="shared" ref="J3:J20" si="969">C3-G3</f>
        <v>244528</v>
      </c>
      <c r="K3" s="18">
        <f t="shared" ref="K3:K19" si="970">+G3*D3</f>
        <v>160445.9956798685</v>
      </c>
      <c r="L3" s="19">
        <f t="shared" ref="L3:L10" si="971">K3/E3</f>
        <v>0.18490666666666666</v>
      </c>
      <c r="M3" s="34">
        <v>0</v>
      </c>
      <c r="N3" s="58">
        <v>111000</v>
      </c>
      <c r="O3" s="34">
        <v>130000</v>
      </c>
      <c r="P3" s="34">
        <v>148000</v>
      </c>
      <c r="Q3" s="34">
        <v>130000</v>
      </c>
      <c r="R3" s="34">
        <f t="shared" ref="R3:R21" si="972">M3+N3+O3+P3+Q3</f>
        <v>519000</v>
      </c>
      <c r="S3" s="35">
        <f t="shared" ref="S3:S21" si="973">G3+I3+R3</f>
        <v>723258</v>
      </c>
      <c r="T3" s="35">
        <f t="shared" ref="T3:T20" si="974">S3-C3</f>
        <v>423258</v>
      </c>
      <c r="U3" s="19">
        <f t="shared" ref="U3:U20" si="975">S3/C3</f>
        <v>2.41086</v>
      </c>
    </row>
    <row r="4">
      <c r="A4" s="9" t="s">
        <v>22</v>
      </c>
      <c r="B4" s="9" t="s">
        <v>23</v>
      </c>
      <c r="C4" s="14">
        <v>490000</v>
      </c>
      <c r="D4" s="50">
        <v>1.3029343529557731</v>
      </c>
      <c r="E4" s="14">
        <f t="shared" si="967"/>
        <v>638437.83294832881</v>
      </c>
      <c r="F4" s="13">
        <v>368655</v>
      </c>
      <c r="G4" s="13">
        <v>0</v>
      </c>
      <c r="H4" s="13">
        <v>0</v>
      </c>
      <c r="I4" s="16">
        <f t="shared" si="968"/>
        <v>368655</v>
      </c>
      <c r="J4" s="17">
        <f t="shared" si="969"/>
        <v>490000</v>
      </c>
      <c r="K4" s="18">
        <f t="shared" si="970"/>
        <v>0</v>
      </c>
      <c r="L4" s="19">
        <f t="shared" si="971"/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972"/>
        <v>0</v>
      </c>
      <c r="S4" s="35">
        <f t="shared" si="973"/>
        <v>368655</v>
      </c>
      <c r="T4" s="35">
        <f t="shared" si="974"/>
        <v>-121345</v>
      </c>
      <c r="U4" s="19">
        <f t="shared" si="975"/>
        <v>0.75235714285714284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67"/>
        <v>0</v>
      </c>
      <c r="F5" s="13">
        <v>0</v>
      </c>
      <c r="G5" s="13">
        <v>0</v>
      </c>
      <c r="H5" s="13">
        <v>0</v>
      </c>
      <c r="I5" s="16">
        <f t="shared" si="968"/>
        <v>0</v>
      </c>
      <c r="J5" s="17">
        <f t="shared" si="969"/>
        <v>0</v>
      </c>
      <c r="K5" s="18">
        <f t="shared" si="97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72"/>
        <v>0</v>
      </c>
      <c r="S5" s="35">
        <f t="shared" si="973"/>
        <v>0</v>
      </c>
      <c r="T5" s="35">
        <f t="shared" si="974"/>
        <v>0</v>
      </c>
      <c r="U5" s="19" t="e">
        <f t="shared" si="975"/>
        <v>#DIV/0!</v>
      </c>
    </row>
    <row r="6">
      <c r="A6" s="9" t="s">
        <v>26</v>
      </c>
      <c r="B6" s="9" t="s">
        <v>27</v>
      </c>
      <c r="C6" s="14">
        <v>300000</v>
      </c>
      <c r="D6" s="11">
        <v>1.1430280588381259</v>
      </c>
      <c r="E6" s="12">
        <f t="shared" si="967"/>
        <v>342908.41765143775</v>
      </c>
      <c r="F6" s="13">
        <v>63727</v>
      </c>
      <c r="G6" s="44">
        <v>128814</v>
      </c>
      <c r="H6" s="44">
        <v>0</v>
      </c>
      <c r="I6" s="16">
        <f t="shared" si="968"/>
        <v>63727</v>
      </c>
      <c r="J6" s="17">
        <f t="shared" si="969"/>
        <v>171186</v>
      </c>
      <c r="K6" s="18">
        <f t="shared" si="970"/>
        <v>147238.01637117434</v>
      </c>
      <c r="L6" s="19">
        <f t="shared" si="971"/>
        <v>0.42937999999999998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972"/>
        <v>94000</v>
      </c>
      <c r="S6" s="35">
        <f t="shared" si="973"/>
        <v>286541</v>
      </c>
      <c r="T6" s="35">
        <f t="shared" si="974"/>
        <v>-13459</v>
      </c>
      <c r="U6" s="19">
        <f t="shared" si="975"/>
        <v>0.95513666666666663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967"/>
        <v>205985.22317750531</v>
      </c>
      <c r="F7" s="13">
        <v>0</v>
      </c>
      <c r="G7" s="44">
        <v>118800</v>
      </c>
      <c r="H7" s="13">
        <v>59400</v>
      </c>
      <c r="I7" s="16">
        <f t="shared" si="968"/>
        <v>59400</v>
      </c>
      <c r="J7" s="17">
        <f t="shared" si="969"/>
        <v>205981</v>
      </c>
      <c r="K7" s="18">
        <f t="shared" si="970"/>
        <v>75346.293389969331</v>
      </c>
      <c r="L7" s="19">
        <f t="shared" si="971"/>
        <v>0.36578494431632391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972"/>
        <v>522000</v>
      </c>
      <c r="S7" s="35">
        <f t="shared" si="973"/>
        <v>700200</v>
      </c>
      <c r="T7" s="35">
        <f t="shared" si="974"/>
        <v>375419</v>
      </c>
      <c r="U7" s="19">
        <f t="shared" si="975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967"/>
        <v>322487.6793555622</v>
      </c>
      <c r="F8" s="44">
        <v>88548</v>
      </c>
      <c r="G8" s="13">
        <v>0</v>
      </c>
      <c r="H8" s="44">
        <v>230012</v>
      </c>
      <c r="I8" s="16">
        <f t="shared" si="968"/>
        <v>318560</v>
      </c>
      <c r="J8" s="17">
        <f t="shared" si="969"/>
        <v>360915</v>
      </c>
      <c r="K8" s="18">
        <f t="shared" si="970"/>
        <v>0</v>
      </c>
      <c r="L8" s="19">
        <f t="shared" si="971"/>
        <v>0</v>
      </c>
      <c r="M8" s="34">
        <v>0</v>
      </c>
      <c r="N8" s="58">
        <v>0</v>
      </c>
      <c r="O8" s="34">
        <v>260000</v>
      </c>
      <c r="P8" s="34">
        <v>0</v>
      </c>
      <c r="Q8" s="34">
        <v>0</v>
      </c>
      <c r="R8" s="34">
        <f t="shared" si="972"/>
        <v>260000</v>
      </c>
      <c r="S8" s="35">
        <f t="shared" si="973"/>
        <v>578560</v>
      </c>
      <c r="T8" s="35">
        <f t="shared" si="974"/>
        <v>217645</v>
      </c>
      <c r="U8" s="19">
        <f t="shared" si="975"/>
        <v>1.6030367260989429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967"/>
        <v>140431.72333427161</v>
      </c>
      <c r="F9" s="13">
        <v>0</v>
      </c>
      <c r="G9" s="13">
        <v>0</v>
      </c>
      <c r="H9" s="13">
        <v>58575</v>
      </c>
      <c r="I9" s="16">
        <f t="shared" si="968"/>
        <v>58575</v>
      </c>
      <c r="J9" s="17">
        <f t="shared" si="969"/>
        <v>131450</v>
      </c>
      <c r="K9" s="18">
        <f t="shared" si="970"/>
        <v>0</v>
      </c>
      <c r="L9" s="19">
        <f t="shared" si="971"/>
        <v>0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972"/>
        <v>233000</v>
      </c>
      <c r="S9" s="35">
        <f t="shared" si="973"/>
        <v>291575</v>
      </c>
      <c r="T9" s="35">
        <f t="shared" si="974"/>
        <v>160125</v>
      </c>
      <c r="U9" s="19">
        <f t="shared" si="975"/>
        <v>2.2181437809052871</v>
      </c>
    </row>
    <row r="10">
      <c r="A10" s="9" t="s">
        <v>34</v>
      </c>
      <c r="B10" s="9" t="s">
        <v>35</v>
      </c>
      <c r="C10" s="14">
        <v>467572</v>
      </c>
      <c r="D10" s="50">
        <v>2.1696780588381257</v>
      </c>
      <c r="E10" s="14">
        <f t="shared" si="967"/>
        <v>1014480.7093270601</v>
      </c>
      <c r="F10" s="13">
        <v>233245</v>
      </c>
      <c r="G10" s="13">
        <v>0</v>
      </c>
      <c r="H10" s="13">
        <v>0</v>
      </c>
      <c r="I10" s="16">
        <f t="shared" si="968"/>
        <v>233245</v>
      </c>
      <c r="J10" s="17">
        <f t="shared" si="969"/>
        <v>467572</v>
      </c>
      <c r="K10" s="18">
        <f t="shared" si="970"/>
        <v>0</v>
      </c>
      <c r="L10" s="19">
        <f t="shared" si="971"/>
        <v>0</v>
      </c>
      <c r="M10" s="34">
        <v>0</v>
      </c>
      <c r="N10" s="58">
        <v>234000</v>
      </c>
      <c r="O10" s="34">
        <v>234000</v>
      </c>
      <c r="P10" s="34">
        <v>0</v>
      </c>
      <c r="Q10" s="34">
        <v>0</v>
      </c>
      <c r="R10" s="34">
        <f t="shared" si="972"/>
        <v>468000</v>
      </c>
      <c r="S10" s="35">
        <f t="shared" si="973"/>
        <v>701245</v>
      </c>
      <c r="T10" s="35">
        <f t="shared" si="974"/>
        <v>233673</v>
      </c>
      <c r="U10" s="19">
        <f t="shared" si="975"/>
        <v>1.4997583259904357</v>
      </c>
    </row>
    <row r="11">
      <c r="A11" s="9" t="s">
        <v>36</v>
      </c>
      <c r="B11" s="9" t="s">
        <v>37</v>
      </c>
      <c r="C11" s="14">
        <v>36918</v>
      </c>
      <c r="D11" s="11">
        <v>1.5549280588381262</v>
      </c>
      <c r="E11" s="12">
        <f t="shared" si="967"/>
        <v>57404.834076185944</v>
      </c>
      <c r="F11" s="13">
        <v>0</v>
      </c>
      <c r="G11" s="13">
        <v>0</v>
      </c>
      <c r="H11" s="13">
        <v>0</v>
      </c>
      <c r="I11" s="16">
        <f t="shared" si="968"/>
        <v>0</v>
      </c>
      <c r="J11" s="17">
        <f t="shared" si="969"/>
        <v>36918</v>
      </c>
      <c r="K11" s="18">
        <f t="shared" si="970"/>
        <v>0</v>
      </c>
      <c r="L11" s="19">
        <v>0</v>
      </c>
      <c r="M11" s="34">
        <v>0</v>
      </c>
      <c r="N11" s="58">
        <v>37000</v>
      </c>
      <c r="O11" s="34">
        <v>0</v>
      </c>
      <c r="P11" s="34">
        <v>0</v>
      </c>
      <c r="Q11" s="34">
        <v>0</v>
      </c>
      <c r="R11" s="34">
        <f t="shared" si="972"/>
        <v>37000</v>
      </c>
      <c r="S11" s="35">
        <f t="shared" si="973"/>
        <v>37000</v>
      </c>
      <c r="T11" s="35">
        <f t="shared" si="974"/>
        <v>82</v>
      </c>
      <c r="U11" s="19">
        <f t="shared" si="975"/>
        <v>1.00222113873991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67"/>
        <v>0</v>
      </c>
      <c r="F12" s="13">
        <v>0</v>
      </c>
      <c r="G12" s="13">
        <v>0</v>
      </c>
      <c r="H12" s="13">
        <v>0</v>
      </c>
      <c r="I12" s="16">
        <f t="shared" si="968"/>
        <v>0</v>
      </c>
      <c r="J12" s="17">
        <f t="shared" si="96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72"/>
        <v>0</v>
      </c>
      <c r="S12" s="35">
        <f t="shared" si="973"/>
        <v>0</v>
      </c>
      <c r="T12" s="35">
        <f t="shared" si="974"/>
        <v>0</v>
      </c>
      <c r="U12" s="19" t="e">
        <f t="shared" si="975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967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969"/>
        <v>0</v>
      </c>
      <c r="K13" s="18">
        <f t="shared" si="97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72"/>
        <v>0</v>
      </c>
      <c r="S13" s="35">
        <f t="shared" si="973"/>
        <v>0</v>
      </c>
      <c r="T13" s="35">
        <f t="shared" si="974"/>
        <v>0</v>
      </c>
      <c r="U13" s="19" t="e">
        <f t="shared" si="975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67"/>
        <v>0</v>
      </c>
      <c r="F14" s="13">
        <v>0</v>
      </c>
      <c r="G14" s="13">
        <v>0</v>
      </c>
      <c r="H14" s="13">
        <v>0</v>
      </c>
      <c r="I14" s="16">
        <f t="shared" si="968"/>
        <v>0</v>
      </c>
      <c r="J14" s="17">
        <f t="shared" si="969"/>
        <v>0</v>
      </c>
      <c r="K14" s="18">
        <f t="shared" si="97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72"/>
        <v>0</v>
      </c>
      <c r="S14" s="35">
        <f t="shared" si="973"/>
        <v>0</v>
      </c>
      <c r="T14" s="35">
        <f t="shared" si="974"/>
        <v>0</v>
      </c>
      <c r="U14" s="19" t="e">
        <f t="shared" si="975"/>
        <v>#DIV/0!</v>
      </c>
    </row>
    <row r="15">
      <c r="A15" s="9" t="s">
        <v>42</v>
      </c>
      <c r="B15" s="9" t="s">
        <v>43</v>
      </c>
      <c r="C15" s="14">
        <v>27260</v>
      </c>
      <c r="D15" s="11">
        <v>8.9388782058969483</v>
      </c>
      <c r="E15" s="12">
        <f t="shared" si="967"/>
        <v>243673.81989275082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69"/>
        <v>27260</v>
      </c>
      <c r="K15" s="18">
        <f t="shared" si="97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72"/>
        <v>0</v>
      </c>
      <c r="S15" s="35">
        <f t="shared" si="973"/>
        <v>0</v>
      </c>
      <c r="T15" s="35">
        <f t="shared" si="974"/>
        <v>-27260</v>
      </c>
      <c r="U15" s="19">
        <f t="shared" si="975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967"/>
        <v>0</v>
      </c>
      <c r="F16" s="13">
        <v>0</v>
      </c>
      <c r="G16" s="33">
        <v>0</v>
      </c>
      <c r="H16" s="13">
        <v>0</v>
      </c>
      <c r="I16" s="16">
        <f t="shared" si="968"/>
        <v>0</v>
      </c>
      <c r="J16" s="17">
        <f t="shared" si="969"/>
        <v>0</v>
      </c>
      <c r="K16" s="18">
        <f t="shared" ref="K16:K18" si="976">+G16*D16</f>
        <v>0</v>
      </c>
      <c r="L16" s="19" t="e">
        <f t="shared" ref="L16:L21" si="977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972"/>
        <v>0</v>
      </c>
      <c r="S16" s="35">
        <f t="shared" si="973"/>
        <v>0</v>
      </c>
      <c r="T16" s="35">
        <f t="shared" si="974"/>
        <v>0</v>
      </c>
      <c r="U16" s="19" t="e">
        <f t="shared" si="975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967"/>
        <v>0</v>
      </c>
      <c r="F17" s="13">
        <v>0</v>
      </c>
      <c r="G17" s="33">
        <v>0</v>
      </c>
      <c r="H17" s="13">
        <v>0</v>
      </c>
      <c r="I17" s="16">
        <f t="shared" si="968"/>
        <v>0</v>
      </c>
      <c r="J17" s="17">
        <f t="shared" si="969"/>
        <v>0</v>
      </c>
      <c r="K17" s="18">
        <f t="shared" si="976"/>
        <v>0</v>
      </c>
      <c r="L17" s="19" t="e">
        <f t="shared" si="977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972"/>
        <v>0</v>
      </c>
      <c r="S17" s="35">
        <f t="shared" si="973"/>
        <v>0</v>
      </c>
      <c r="T17" s="35">
        <f t="shared" si="974"/>
        <v>0</v>
      </c>
      <c r="U17" s="19" t="e">
        <f t="shared" si="975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967"/>
        <v>0</v>
      </c>
      <c r="F18" s="13">
        <v>0</v>
      </c>
      <c r="G18" s="33">
        <v>0</v>
      </c>
      <c r="H18" s="13">
        <v>0</v>
      </c>
      <c r="I18" s="16">
        <f t="shared" si="968"/>
        <v>0</v>
      </c>
      <c r="J18" s="17">
        <f t="shared" si="969"/>
        <v>0</v>
      </c>
      <c r="K18" s="18">
        <f t="shared" si="976"/>
        <v>0</v>
      </c>
      <c r="L18" s="19" t="e">
        <f t="shared" si="977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972"/>
        <v>0</v>
      </c>
      <c r="S18" s="35">
        <f t="shared" si="973"/>
        <v>0</v>
      </c>
      <c r="T18" s="35">
        <f t="shared" si="974"/>
        <v>0</v>
      </c>
      <c r="U18" s="19" t="e">
        <f t="shared" si="975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67"/>
        <v>0</v>
      </c>
      <c r="F19" s="13">
        <v>0</v>
      </c>
      <c r="G19" s="13">
        <v>0</v>
      </c>
      <c r="H19" s="13">
        <v>0</v>
      </c>
      <c r="I19" s="16">
        <f t="shared" si="968"/>
        <v>0</v>
      </c>
      <c r="J19" s="17">
        <f t="shared" si="969"/>
        <v>0</v>
      </c>
      <c r="K19" s="18">
        <f t="shared" si="97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72"/>
        <v>0</v>
      </c>
      <c r="S19" s="35">
        <f t="shared" si="973"/>
        <v>0</v>
      </c>
      <c r="T19" s="35">
        <f t="shared" si="974"/>
        <v>0</v>
      </c>
      <c r="U19" s="19" t="e">
        <f t="shared" si="975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67"/>
        <v>0</v>
      </c>
      <c r="F20" s="13">
        <v>0</v>
      </c>
      <c r="G20" s="13">
        <v>0</v>
      </c>
      <c r="H20" s="13">
        <v>0</v>
      </c>
      <c r="I20" s="16">
        <f t="shared" si="968"/>
        <v>0</v>
      </c>
      <c r="J20" s="17">
        <f t="shared" si="969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72"/>
        <v>0</v>
      </c>
      <c r="S20" s="35">
        <f t="shared" si="973"/>
        <v>0</v>
      </c>
      <c r="T20" s="35">
        <f t="shared" si="974"/>
        <v>0</v>
      </c>
      <c r="U20" s="19" t="e">
        <f t="shared" si="975"/>
        <v>#DIV/0!</v>
      </c>
    </row>
    <row r="21" ht="16.5">
      <c r="A21" s="21" t="s">
        <v>50</v>
      </c>
      <c r="B21" s="21"/>
      <c r="C21" s="36">
        <f>SUM(C3:C20)</f>
        <v>2438896</v>
      </c>
      <c r="D21" s="23"/>
      <c r="E21" s="22">
        <f t="shared" ref="E21:H21" si="978">SUM(E3:E20)</f>
        <v>3833523.6574145406</v>
      </c>
      <c r="F21" s="24">
        <f>SUM(F3:F20)</f>
        <v>846921</v>
      </c>
      <c r="G21" s="24">
        <f t="shared" si="978"/>
        <v>303086</v>
      </c>
      <c r="H21" s="24">
        <f t="shared" si="978"/>
        <v>404027</v>
      </c>
      <c r="I21" s="25">
        <f>SUM(I3:I20)</f>
        <v>1250948</v>
      </c>
      <c r="J21" s="26">
        <f>SUM(J3:J20)</f>
        <v>2135810</v>
      </c>
      <c r="K21" s="26">
        <f>SUM(K3:K20)</f>
        <v>383030.3054410122</v>
      </c>
      <c r="L21" s="27">
        <f t="shared" si="977"/>
        <v>0.099915988440603731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972"/>
        <v>1</v>
      </c>
      <c r="S21" s="35">
        <f t="shared" si="973"/>
        <v>1554035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9F0004-00EC-4C5A-A649-00A70012006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05005F-00F5-48EC-8762-00D3006300C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4D00CB-007A-4AD6-85CC-00FC0072009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D400A1-0073-4D67-8076-005E0062003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FA007F-00DF-4834-A4B8-00DA0048008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E30034-0009-4748-A570-00AA0052004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DB009E-003A-45AB-B252-006E0030007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F500D8-00FA-4B70-B608-005900FC009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D40071-0054-4D91-ABBC-00D500B2004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A000D1-0037-4424-AB80-0003001B00A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1600EE-0090-4B7A-880C-00F10040006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8400F2-00F2-4142-B9E0-001A0047008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100" workbookViewId="0">
      <pane xSplit="3" ySplit="2" topLeftCell="D3" activePane="bottomRight" state="frozen"/>
      <selection activeCell="G11" activeCellId="0" sqref="G11"/>
    </sheetView>
  </sheetViews>
  <sheetFormatPr baseColWidth="10" defaultRowHeight="14.25" outlineLevelCol="1"/>
  <cols>
    <col bestFit="1" customWidth="1" min="1" max="1" width="15"/>
    <col customWidth="1" min="2" max="2" width="36.88671875"/>
    <col bestFit="1" customWidth="1" min="3" max="3" width="14.109375"/>
    <col customWidth="1" hidden="1" min="4" max="4" outlineLevel="1" width="7.5546875"/>
    <col bestFit="1" collapsed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8" max="18" width="14.6640625"/>
    <col customWidth="1" min="19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65</v>
      </c>
      <c r="J2" s="7" t="s">
        <v>17</v>
      </c>
      <c r="K2" s="7" t="s">
        <v>18</v>
      </c>
      <c r="L2" s="7" t="s">
        <v>19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51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8" t="s">
        <v>20</v>
      </c>
      <c r="B3" s="9" t="s">
        <v>21</v>
      </c>
      <c r="C3" s="14">
        <v>646790</v>
      </c>
      <c r="D3" s="11">
        <v>2.8923780588381258</v>
      </c>
      <c r="E3" s="12">
        <f t="shared" ref="E3:E17" si="78">C3*D3</f>
        <v>1870761.2046759115</v>
      </c>
      <c r="F3" s="13">
        <v>0</v>
      </c>
      <c r="G3" s="43">
        <v>447918</v>
      </c>
      <c r="H3" s="13">
        <v>74127</v>
      </c>
      <c r="I3" s="16">
        <f t="shared" ref="I3:I17" si="79">F3+H3</f>
        <v>74127</v>
      </c>
      <c r="J3" s="17">
        <f t="shared" ref="J3:J17" si="80">C3-G3</f>
        <v>198872</v>
      </c>
      <c r="K3" s="18">
        <f t="shared" ref="K3:K17" si="81">+G3*D3</f>
        <v>1295548.1953586556</v>
      </c>
      <c r="L3" s="19">
        <f t="shared" ref="L3:L11" si="82">K3/E3</f>
        <v>0.69252462159278894</v>
      </c>
      <c r="M3" s="33">
        <v>0</v>
      </c>
      <c r="N3" s="33">
        <v>0</v>
      </c>
      <c r="O3" s="33">
        <v>0</v>
      </c>
      <c r="P3" s="33">
        <v>222000</v>
      </c>
      <c r="Q3" s="40">
        <f>7*18500</f>
        <v>129500</v>
      </c>
      <c r="R3" s="34">
        <f t="shared" ref="R3:R18" si="83">M3+N3+O3+P3+Q3</f>
        <v>351500</v>
      </c>
      <c r="S3" s="35">
        <f t="shared" ref="S3:S18" si="84">G3+I3+R3</f>
        <v>873545</v>
      </c>
      <c r="T3" s="35">
        <f t="shared" ref="T3:T17" si="85">S3-C3</f>
        <v>226755</v>
      </c>
      <c r="U3" s="19">
        <f t="shared" ref="U3:U17" si="86">S3/C3</f>
        <v>1.3505851976684859</v>
      </c>
    </row>
    <row r="4">
      <c r="A4" s="9" t="s">
        <v>22</v>
      </c>
      <c r="B4" s="9" t="s">
        <v>23</v>
      </c>
      <c r="C4" s="14">
        <v>300000</v>
      </c>
      <c r="D4" s="11">
        <v>1.3029343529557731</v>
      </c>
      <c r="E4" s="12">
        <f t="shared" si="78"/>
        <v>390880.30588673195</v>
      </c>
      <c r="F4" s="13">
        <v>142793</v>
      </c>
      <c r="G4" s="13">
        <v>299987</v>
      </c>
      <c r="H4" s="13">
        <v>0</v>
      </c>
      <c r="I4" s="16">
        <f t="shared" si="79"/>
        <v>142793</v>
      </c>
      <c r="J4" s="17">
        <f t="shared" si="80"/>
        <v>13</v>
      </c>
      <c r="K4" s="18">
        <f t="shared" si="81"/>
        <v>390863.3677401435</v>
      </c>
      <c r="L4" s="19">
        <f t="shared" si="82"/>
        <v>0.9999566666666666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4">
        <f t="shared" si="83"/>
        <v>0</v>
      </c>
      <c r="S4" s="35">
        <f t="shared" si="84"/>
        <v>442780</v>
      </c>
      <c r="T4" s="35">
        <f t="shared" si="85"/>
        <v>142780</v>
      </c>
      <c r="U4" s="19">
        <f t="shared" si="86"/>
        <v>1.4759333333333333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78"/>
        <v>0</v>
      </c>
      <c r="F5" s="13">
        <v>0</v>
      </c>
      <c r="G5" s="13">
        <v>0</v>
      </c>
      <c r="H5" s="13">
        <v>0</v>
      </c>
      <c r="I5" s="16">
        <f t="shared" si="79"/>
        <v>0</v>
      </c>
      <c r="J5" s="17">
        <f t="shared" si="80"/>
        <v>0</v>
      </c>
      <c r="K5" s="18">
        <f t="shared" si="81"/>
        <v>0</v>
      </c>
      <c r="L5" s="19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4">
        <f t="shared" si="83"/>
        <v>0</v>
      </c>
      <c r="S5" s="35">
        <f t="shared" si="84"/>
        <v>0</v>
      </c>
      <c r="T5" s="35">
        <f t="shared" si="85"/>
        <v>0</v>
      </c>
      <c r="U5" s="19" t="e">
        <f t="shared" si="86"/>
        <v>#DIV/0!</v>
      </c>
    </row>
    <row r="6">
      <c r="A6" s="9" t="s">
        <v>26</v>
      </c>
      <c r="B6" s="9" t="s">
        <v>27</v>
      </c>
      <c r="C6" s="14">
        <v>564096</v>
      </c>
      <c r="D6" s="11">
        <v>1.1430280588381259</v>
      </c>
      <c r="E6" s="12">
        <f t="shared" si="78"/>
        <v>644777.55587835144</v>
      </c>
      <c r="F6" s="13">
        <v>0</v>
      </c>
      <c r="G6" s="43">
        <v>506437</v>
      </c>
      <c r="H6" s="43">
        <v>94693</v>
      </c>
      <c r="I6" s="16">
        <f t="shared" si="79"/>
        <v>94693</v>
      </c>
      <c r="J6" s="17">
        <f t="shared" si="80"/>
        <v>57659</v>
      </c>
      <c r="K6" s="18">
        <f t="shared" si="81"/>
        <v>578871.70103380398</v>
      </c>
      <c r="L6" s="19">
        <f t="shared" si="82"/>
        <v>0.89778512877240757</v>
      </c>
      <c r="M6" s="33">
        <v>0</v>
      </c>
      <c r="N6" s="33">
        <v>0</v>
      </c>
      <c r="O6" s="33">
        <v>0</v>
      </c>
      <c r="P6" s="33">
        <v>346500</v>
      </c>
      <c r="Q6" s="33"/>
      <c r="R6" s="34">
        <f t="shared" si="83"/>
        <v>346500</v>
      </c>
      <c r="S6" s="35">
        <f t="shared" si="84"/>
        <v>947630</v>
      </c>
      <c r="T6" s="35">
        <f t="shared" si="85"/>
        <v>383534</v>
      </c>
      <c r="U6" s="19">
        <f t="shared" si="86"/>
        <v>1.6799090934876333</v>
      </c>
    </row>
    <row r="7">
      <c r="A7" s="9" t="s">
        <v>28</v>
      </c>
      <c r="B7" s="9" t="s">
        <v>29</v>
      </c>
      <c r="C7" s="14">
        <v>349200</v>
      </c>
      <c r="D7" s="11">
        <v>0.63422805883812572</v>
      </c>
      <c r="E7" s="12">
        <f t="shared" si="78"/>
        <v>221472.43814627349</v>
      </c>
      <c r="F7" s="13">
        <v>0</v>
      </c>
      <c r="G7" s="13">
        <v>0</v>
      </c>
      <c r="H7" s="13">
        <v>0</v>
      </c>
      <c r="I7" s="16">
        <f t="shared" si="79"/>
        <v>0</v>
      </c>
      <c r="J7" s="17">
        <f t="shared" si="80"/>
        <v>349200</v>
      </c>
      <c r="K7" s="18">
        <f t="shared" si="81"/>
        <v>0</v>
      </c>
      <c r="L7" s="19">
        <f t="shared" si="82"/>
        <v>0</v>
      </c>
      <c r="M7" s="33">
        <v>0</v>
      </c>
      <c r="N7" s="33">
        <v>0</v>
      </c>
      <c r="O7" s="33">
        <v>0</v>
      </c>
      <c r="P7" s="33">
        <f>3*87000</f>
        <v>261000</v>
      </c>
      <c r="Q7" s="33">
        <v>0</v>
      </c>
      <c r="R7" s="34">
        <f t="shared" si="83"/>
        <v>261000</v>
      </c>
      <c r="S7" s="35">
        <f t="shared" si="84"/>
        <v>261000</v>
      </c>
      <c r="T7" s="35">
        <f t="shared" si="85"/>
        <v>-88200</v>
      </c>
      <c r="U7" s="19">
        <f t="shared" si="86"/>
        <v>0.74742268041237114</v>
      </c>
    </row>
    <row r="8">
      <c r="A8" s="9" t="s">
        <v>30</v>
      </c>
      <c r="B8" s="9" t="s">
        <v>31</v>
      </c>
      <c r="C8" s="14">
        <v>654750</v>
      </c>
      <c r="D8" s="11">
        <v>0.89352805883812592</v>
      </c>
      <c r="E8" s="12">
        <f t="shared" si="78"/>
        <v>585037.49652426294</v>
      </c>
      <c r="F8" s="13">
        <v>0</v>
      </c>
      <c r="G8" s="13">
        <v>481535</v>
      </c>
      <c r="H8" s="13">
        <v>0</v>
      </c>
      <c r="I8" s="16">
        <f t="shared" si="79"/>
        <v>0</v>
      </c>
      <c r="J8" s="17">
        <f t="shared" si="80"/>
        <v>173215</v>
      </c>
      <c r="K8" s="18">
        <f t="shared" si="81"/>
        <v>430265.03381261695</v>
      </c>
      <c r="L8" s="19">
        <f t="shared" si="82"/>
        <v>0.73544864452080949</v>
      </c>
      <c r="M8" s="33">
        <v>0</v>
      </c>
      <c r="N8" s="33">
        <v>0</v>
      </c>
      <c r="O8" s="33">
        <v>0</v>
      </c>
      <c r="P8" s="33">
        <v>261000</v>
      </c>
      <c r="Q8" s="33">
        <v>0</v>
      </c>
      <c r="R8" s="34">
        <f t="shared" si="83"/>
        <v>261000</v>
      </c>
      <c r="S8" s="35">
        <f t="shared" si="84"/>
        <v>742535</v>
      </c>
      <c r="T8" s="35">
        <f t="shared" si="85"/>
        <v>87785</v>
      </c>
      <c r="U8" s="19">
        <f t="shared" si="86"/>
        <v>1.134074074074074</v>
      </c>
    </row>
    <row r="9">
      <c r="A9" s="9" t="s">
        <v>32</v>
      </c>
      <c r="B9" s="9" t="s">
        <v>33</v>
      </c>
      <c r="C9" s="14">
        <v>202800</v>
      </c>
      <c r="D9" s="11">
        <v>1.0683280588381256</v>
      </c>
      <c r="E9" s="12">
        <f t="shared" si="78"/>
        <v>216656.93033237188</v>
      </c>
      <c r="F9" s="13">
        <v>0</v>
      </c>
      <c r="G9" s="13">
        <v>0</v>
      </c>
      <c r="H9" s="13">
        <v>231850</v>
      </c>
      <c r="I9" s="16">
        <f t="shared" si="79"/>
        <v>231850</v>
      </c>
      <c r="J9" s="17">
        <f t="shared" si="80"/>
        <v>202800</v>
      </c>
      <c r="K9" s="18">
        <f t="shared" si="81"/>
        <v>0</v>
      </c>
      <c r="L9" s="19">
        <f t="shared" si="82"/>
        <v>0</v>
      </c>
      <c r="M9" s="33">
        <v>0</v>
      </c>
      <c r="N9" s="33">
        <v>0</v>
      </c>
      <c r="O9" s="33">
        <v>0</v>
      </c>
      <c r="P9" s="33">
        <v>234000</v>
      </c>
      <c r="Q9" s="33">
        <v>0</v>
      </c>
      <c r="R9" s="34">
        <f t="shared" si="83"/>
        <v>234000</v>
      </c>
      <c r="S9" s="35">
        <f t="shared" si="84"/>
        <v>465850</v>
      </c>
      <c r="T9" s="35">
        <f t="shared" si="85"/>
        <v>263050</v>
      </c>
      <c r="U9" s="19">
        <f t="shared" si="86"/>
        <v>2.2970907297830374</v>
      </c>
    </row>
    <row r="10">
      <c r="A10" s="9" t="s">
        <v>34</v>
      </c>
      <c r="B10" s="9" t="s">
        <v>35</v>
      </c>
      <c r="C10" s="14">
        <v>232806</v>
      </c>
      <c r="D10" s="11">
        <v>2.1696780588381257</v>
      </c>
      <c r="E10" s="12">
        <f t="shared" si="78"/>
        <v>505114.07016586867</v>
      </c>
      <c r="F10" s="13">
        <v>0</v>
      </c>
      <c r="G10" s="13">
        <v>233346</v>
      </c>
      <c r="H10" s="13">
        <v>0</v>
      </c>
      <c r="I10" s="16">
        <f t="shared" si="79"/>
        <v>0</v>
      </c>
      <c r="J10" s="17">
        <f t="shared" si="80"/>
        <v>-540</v>
      </c>
      <c r="K10" s="18">
        <f t="shared" si="81"/>
        <v>506285.6963176413</v>
      </c>
      <c r="L10" s="19">
        <f t="shared" si="82"/>
        <v>1.0023195278472206</v>
      </c>
      <c r="M10" s="33">
        <v>0</v>
      </c>
      <c r="N10" s="33">
        <v>6</v>
      </c>
      <c r="O10" s="33">
        <v>0</v>
      </c>
      <c r="P10" s="33">
        <v>0</v>
      </c>
      <c r="Q10" s="33">
        <v>0</v>
      </c>
      <c r="R10" s="34">
        <f t="shared" si="83"/>
        <v>6</v>
      </c>
      <c r="S10" s="35">
        <f t="shared" si="84"/>
        <v>233352</v>
      </c>
      <c r="T10" s="35">
        <f t="shared" si="85"/>
        <v>546</v>
      </c>
      <c r="U10" s="19">
        <f t="shared" si="86"/>
        <v>1.0023453003788563</v>
      </c>
    </row>
    <row r="11">
      <c r="A11" s="9" t="s">
        <v>36</v>
      </c>
      <c r="B11" s="9" t="s">
        <v>37</v>
      </c>
      <c r="C11" s="14">
        <v>37379</v>
      </c>
      <c r="D11" s="11">
        <v>1.5549280588381262</v>
      </c>
      <c r="E11" s="12">
        <f t="shared" si="78"/>
        <v>58121.655911310321</v>
      </c>
      <c r="F11" s="13">
        <v>0</v>
      </c>
      <c r="G11" s="13">
        <v>37379</v>
      </c>
      <c r="H11" s="13">
        <v>0</v>
      </c>
      <c r="I11" s="16">
        <f t="shared" si="79"/>
        <v>0</v>
      </c>
      <c r="J11" s="17">
        <f t="shared" si="80"/>
        <v>0</v>
      </c>
      <c r="K11" s="18">
        <f t="shared" si="81"/>
        <v>58121.655911310321</v>
      </c>
      <c r="L11" s="19">
        <f t="shared" si="82"/>
        <v>1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f t="shared" si="83"/>
        <v>0</v>
      </c>
      <c r="S11" s="35">
        <f t="shared" si="84"/>
        <v>37379</v>
      </c>
      <c r="T11" s="35">
        <f t="shared" si="85"/>
        <v>0</v>
      </c>
      <c r="U11" s="19">
        <f t="shared" si="86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78"/>
        <v>0</v>
      </c>
      <c r="F12" s="13"/>
      <c r="G12" s="13">
        <v>0</v>
      </c>
      <c r="H12" s="13">
        <v>0</v>
      </c>
      <c r="I12" s="16">
        <f t="shared" si="79"/>
        <v>0</v>
      </c>
      <c r="J12" s="17">
        <f t="shared" si="80"/>
        <v>0</v>
      </c>
      <c r="K12" s="18">
        <f t="shared" si="81"/>
        <v>0</v>
      </c>
      <c r="L12" s="19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f t="shared" si="83"/>
        <v>0</v>
      </c>
      <c r="S12" s="35">
        <f t="shared" si="84"/>
        <v>0</v>
      </c>
      <c r="T12" s="35">
        <f t="shared" si="85"/>
        <v>0</v>
      </c>
      <c r="U12" s="19" t="e">
        <f t="shared" si="86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78"/>
        <v>0</v>
      </c>
      <c r="F13" s="13"/>
      <c r="G13" s="13">
        <v>0</v>
      </c>
      <c r="H13" s="13">
        <v>0</v>
      </c>
      <c r="I13" s="16">
        <f t="shared" si="79"/>
        <v>0</v>
      </c>
      <c r="J13" s="17">
        <f t="shared" si="80"/>
        <v>0</v>
      </c>
      <c r="K13" s="18">
        <f t="shared" si="81"/>
        <v>0</v>
      </c>
      <c r="L13" s="19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f t="shared" si="83"/>
        <v>0</v>
      </c>
      <c r="S13" s="35">
        <f t="shared" si="84"/>
        <v>0</v>
      </c>
      <c r="T13" s="35">
        <f t="shared" si="85"/>
        <v>0</v>
      </c>
      <c r="U13" s="19" t="e">
        <f t="shared" si="86"/>
        <v>#DIV/0!</v>
      </c>
    </row>
    <row r="14">
      <c r="A14" s="9" t="s">
        <v>42</v>
      </c>
      <c r="B14" s="9" t="s">
        <v>43</v>
      </c>
      <c r="C14" s="14">
        <v>0</v>
      </c>
      <c r="D14" s="11">
        <v>8.9388782058969483</v>
      </c>
      <c r="E14" s="12">
        <f t="shared" si="78"/>
        <v>0</v>
      </c>
      <c r="F14" s="13"/>
      <c r="G14" s="13">
        <v>0</v>
      </c>
      <c r="H14" s="13">
        <v>0</v>
      </c>
      <c r="I14" s="16">
        <f t="shared" si="79"/>
        <v>0</v>
      </c>
      <c r="J14" s="17">
        <f t="shared" si="80"/>
        <v>0</v>
      </c>
      <c r="K14" s="18">
        <f t="shared" si="81"/>
        <v>0</v>
      </c>
      <c r="L14" s="19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f t="shared" si="83"/>
        <v>0</v>
      </c>
      <c r="S14" s="35">
        <f t="shared" si="84"/>
        <v>0</v>
      </c>
      <c r="T14" s="35">
        <f t="shared" si="85"/>
        <v>0</v>
      </c>
      <c r="U14" s="19" t="e">
        <f t="shared" si="86"/>
        <v>#DIV/0!</v>
      </c>
    </row>
    <row r="15">
      <c r="A15" s="8" t="s">
        <v>44</v>
      </c>
      <c r="B15" s="9" t="s">
        <v>45</v>
      </c>
      <c r="C15" s="14">
        <v>0</v>
      </c>
      <c r="D15" s="11">
        <v>12.061373764720482</v>
      </c>
      <c r="E15" s="12">
        <f t="shared" si="78"/>
        <v>0</v>
      </c>
      <c r="F15" s="13"/>
      <c r="G15" s="13">
        <v>0</v>
      </c>
      <c r="H15" s="13">
        <v>0</v>
      </c>
      <c r="I15" s="16">
        <f t="shared" si="79"/>
        <v>0</v>
      </c>
      <c r="J15" s="17">
        <f t="shared" si="80"/>
        <v>0</v>
      </c>
      <c r="K15" s="18">
        <f t="shared" si="81"/>
        <v>0</v>
      </c>
      <c r="L15" s="19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f t="shared" si="83"/>
        <v>0</v>
      </c>
      <c r="S15" s="35">
        <f t="shared" si="84"/>
        <v>0</v>
      </c>
      <c r="T15" s="35">
        <f t="shared" si="85"/>
        <v>0</v>
      </c>
      <c r="U15" s="19" t="e">
        <f t="shared" si="86"/>
        <v>#DIV/0!</v>
      </c>
    </row>
    <row r="16">
      <c r="A16" s="20" t="s">
        <v>46</v>
      </c>
      <c r="B16" s="9" t="s">
        <v>47</v>
      </c>
      <c r="C16" s="14">
        <v>0</v>
      </c>
      <c r="D16" s="11">
        <v>0.40322805883812579</v>
      </c>
      <c r="E16" s="12">
        <f t="shared" si="78"/>
        <v>0</v>
      </c>
      <c r="F16" s="13"/>
      <c r="G16" s="13">
        <v>0</v>
      </c>
      <c r="H16" s="13">
        <v>0</v>
      </c>
      <c r="I16" s="16">
        <f t="shared" si="79"/>
        <v>0</v>
      </c>
      <c r="J16" s="17">
        <f t="shared" si="80"/>
        <v>0</v>
      </c>
      <c r="K16" s="18">
        <f t="shared" si="81"/>
        <v>0</v>
      </c>
      <c r="L16" s="19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f t="shared" si="83"/>
        <v>0</v>
      </c>
      <c r="S16" s="35">
        <f t="shared" si="84"/>
        <v>0</v>
      </c>
      <c r="T16" s="35">
        <f t="shared" si="85"/>
        <v>0</v>
      </c>
      <c r="U16" s="19" t="e">
        <f t="shared" si="86"/>
        <v>#DIV/0!</v>
      </c>
    </row>
    <row r="17">
      <c r="A17" s="20" t="s">
        <v>48</v>
      </c>
      <c r="B17" s="9" t="s">
        <v>49</v>
      </c>
      <c r="C17" s="14">
        <v>1187</v>
      </c>
      <c r="D17" s="11">
        <v>3.0573254068481477</v>
      </c>
      <c r="E17" s="12">
        <f t="shared" si="78"/>
        <v>3629.0452579287512</v>
      </c>
      <c r="F17" s="13">
        <v>50000</v>
      </c>
      <c r="G17" s="13">
        <v>787</v>
      </c>
      <c r="H17" s="13">
        <v>0</v>
      </c>
      <c r="I17" s="16">
        <f t="shared" si="79"/>
        <v>50000</v>
      </c>
      <c r="J17" s="17">
        <f t="shared" si="80"/>
        <v>400</v>
      </c>
      <c r="K17" s="18">
        <f t="shared" si="81"/>
        <v>2406.1150951894924</v>
      </c>
      <c r="L17" s="19">
        <f t="shared" ref="L17:L18" si="87">K17/E17</f>
        <v>0.66301600673967998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f t="shared" si="83"/>
        <v>0</v>
      </c>
      <c r="S17" s="35">
        <f t="shared" si="84"/>
        <v>50787</v>
      </c>
      <c r="T17" s="35">
        <f t="shared" si="85"/>
        <v>49600</v>
      </c>
      <c r="U17" s="19">
        <f t="shared" si="86"/>
        <v>42.786015164279696</v>
      </c>
    </row>
    <row r="18" ht="16.5">
      <c r="A18" s="21" t="s">
        <v>50</v>
      </c>
      <c r="B18" s="21"/>
      <c r="C18" s="36">
        <f>SUM(C3:C17)</f>
        <v>2989008</v>
      </c>
      <c r="D18" s="23"/>
      <c r="E18" s="22">
        <f>SUM(E3:E17)</f>
        <v>4496450.7027790118</v>
      </c>
      <c r="F18" s="21"/>
      <c r="G18" s="24">
        <f>SUM(G3:G17)</f>
        <v>2007389</v>
      </c>
      <c r="H18" s="24">
        <f>SUM(H3:H17)</f>
        <v>400670</v>
      </c>
      <c r="I18" s="25">
        <f>SUM(I3:I17)</f>
        <v>593463</v>
      </c>
      <c r="J18" s="26">
        <f>SUM(J3:J17)</f>
        <v>981619</v>
      </c>
      <c r="K18" s="26">
        <f>SUM(K3:K17)</f>
        <v>3262361.7652693605</v>
      </c>
      <c r="L18" s="27">
        <f t="shared" si="87"/>
        <v>0.72554153951984213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4">
        <f t="shared" si="83"/>
        <v>0</v>
      </c>
      <c r="S18" s="35">
        <f t="shared" si="84"/>
        <v>2600852</v>
      </c>
      <c r="T18" s="41"/>
    </row>
    <row r="19">
      <c r="B19" s="28"/>
      <c r="C19" s="28"/>
      <c r="D19" s="28"/>
      <c r="E19" s="28"/>
    </row>
    <row r="20">
      <c r="B20" s="28"/>
      <c r="C20" s="28"/>
      <c r="D20" s="28"/>
      <c r="E20" s="28"/>
      <c r="G20" s="42" t="s">
        <v>64</v>
      </c>
    </row>
    <row r="21">
      <c r="B21" s="28"/>
      <c r="C21" s="28"/>
      <c r="D21" s="28"/>
      <c r="E21" s="28"/>
      <c r="G21" s="42" t="s">
        <v>64</v>
      </c>
    </row>
    <row r="22">
      <c r="B22" s="28"/>
      <c r="C22" s="28"/>
      <c r="D22" s="28"/>
      <c r="E22" s="28"/>
    </row>
    <row r="23">
      <c r="B23" s="28"/>
      <c r="C23" s="28"/>
      <c r="D23" s="28"/>
      <c r="E23" s="28"/>
    </row>
    <row r="24">
      <c r="B24" s="28"/>
      <c r="C24" s="28"/>
      <c r="D24" s="28"/>
      <c r="E24" s="28"/>
    </row>
    <row r="25">
      <c r="B25" s="28"/>
      <c r="C25" s="28"/>
      <c r="D25" s="28"/>
      <c r="E25" s="28"/>
    </row>
    <row r="26">
      <c r="B26" s="28"/>
      <c r="C26" s="28"/>
      <c r="D26" s="28"/>
      <c r="E26" s="28"/>
    </row>
    <row r="27">
      <c r="B27" s="28"/>
      <c r="C27" s="28"/>
      <c r="D27" s="28"/>
      <c r="E27" s="28"/>
    </row>
    <row r="28">
      <c r="B28" s="28"/>
      <c r="C28" s="28"/>
      <c r="D28" s="28"/>
      <c r="E28" s="28"/>
    </row>
    <row r="29">
      <c r="B29" s="28"/>
      <c r="C29" s="28"/>
      <c r="D29" s="28"/>
      <c r="E29" s="28"/>
    </row>
    <row r="30">
      <c r="B30" s="28"/>
      <c r="C30" s="28"/>
      <c r="D30" s="28"/>
      <c r="E30" s="28"/>
    </row>
    <row r="31">
      <c r="B31" s="28"/>
      <c r="C31" s="28"/>
      <c r="D31" s="28"/>
      <c r="E31" s="28"/>
    </row>
    <row r="32">
      <c r="B32" s="28"/>
      <c r="C32" s="28"/>
      <c r="D32" s="28"/>
      <c r="E32" s="28"/>
    </row>
    <row r="33">
      <c r="B33" s="28"/>
      <c r="C33" s="28"/>
      <c r="D33" s="28"/>
      <c r="E33" s="28"/>
    </row>
    <row r="34">
      <c r="B34" s="28"/>
      <c r="C34" s="28"/>
      <c r="D34" s="28"/>
      <c r="E34" s="28"/>
    </row>
    <row r="35">
      <c r="B35" s="28"/>
      <c r="C35" s="28"/>
      <c r="D35" s="28"/>
      <c r="E35" s="28"/>
    </row>
    <row r="36">
      <c r="B36" s="28"/>
      <c r="C36" s="28"/>
      <c r="D36" s="28"/>
      <c r="E36" s="28"/>
    </row>
  </sheetData>
  <autoFilter ref="B2:U18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6D00C0-00C7-4A4E-888D-00C10065003C}">
            <xm:f>$TM20&gt;41</xm:f>
            <x14:dxf>
              <font>
                <b/>
                <i/>
                <color theme="1"/>
              </font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B20:B35</xm:sqref>
        </x14:conditionalFormatting>
        <x14:conditionalFormatting xmlns:xm="http://schemas.microsoft.com/office/excel/2006/main">
          <x14:cfRule type="cellIs" priority="6" operator="greaterThan" id="{00BB0060-00F1-444C-9208-00F100B700A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5" operator="lessThan" id="{00E50069-009F-436E-9DE9-00C700BE007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4" operator="between" id="{00F30063-0053-42B7-956C-00B50020000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L3:L18</xm:sqref>
        </x14:conditionalFormatting>
        <x14:conditionalFormatting xmlns:xm="http://schemas.microsoft.com/office/excel/2006/main">
          <x14:cfRule type="cellIs" priority="3" operator="greaterThan" id="{00960074-006A-4BEC-88F3-00AA002500B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2" operator="lessThan" id="{00C80029-0092-4D56-B702-00310065002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U3:U17</xm:sqref>
        </x14:conditionalFormatting>
        <x14:conditionalFormatting xmlns:xm="http://schemas.microsoft.com/office/excel/2006/main">
          <x14:cfRule type="cellIs" priority="1" operator="between" id="{009700A3-0080-4F90-8521-001700F0005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U3:U17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I26" activeCellId="0" sqref="I26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181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64" t="s">
        <v>21</v>
      </c>
      <c r="C3" s="14">
        <v>300000</v>
      </c>
      <c r="D3" s="11">
        <v>2.8923780588381258</v>
      </c>
      <c r="E3" s="12">
        <f t="shared" ref="E3:E20" si="979">C3*D3</f>
        <v>867713.41765143769</v>
      </c>
      <c r="F3" s="13">
        <v>111458</v>
      </c>
      <c r="G3" s="44">
        <v>111512</v>
      </c>
      <c r="H3" s="13">
        <v>0</v>
      </c>
      <c r="I3" s="16">
        <f t="shared" ref="I3:I20" si="980">F3+H3</f>
        <v>111458</v>
      </c>
      <c r="J3" s="17">
        <f t="shared" ref="J3:J20" si="981">C3-G3</f>
        <v>188488</v>
      </c>
      <c r="K3" s="18">
        <f t="shared" ref="K3:K19" si="982">+G3*D3</f>
        <v>322534.86209715711</v>
      </c>
      <c r="L3" s="19">
        <f t="shared" ref="L3:L10" si="983">K3/E3</f>
        <v>0.37170666666666674</v>
      </c>
      <c r="M3" s="34">
        <v>0</v>
      </c>
      <c r="N3" s="58">
        <v>111000</v>
      </c>
      <c r="O3" s="34">
        <v>130000</v>
      </c>
      <c r="P3" s="34">
        <v>148000</v>
      </c>
      <c r="Q3" s="34">
        <v>130000</v>
      </c>
      <c r="R3" s="34">
        <f t="shared" ref="R3:R21" si="984">M3+N3+O3+P3+Q3</f>
        <v>519000</v>
      </c>
      <c r="S3" s="35">
        <f t="shared" ref="S3:S21" si="985">G3+I3+R3</f>
        <v>741970</v>
      </c>
      <c r="T3" s="35">
        <f t="shared" ref="T3:T20" si="986">S3-C3</f>
        <v>441970</v>
      </c>
      <c r="U3" s="19">
        <f t="shared" ref="U3:U20" si="987">S3/C3</f>
        <v>2.4732333333333334</v>
      </c>
    </row>
    <row r="4">
      <c r="A4" s="9" t="s">
        <v>22</v>
      </c>
      <c r="B4" s="9" t="s">
        <v>23</v>
      </c>
      <c r="C4" s="14">
        <v>490000</v>
      </c>
      <c r="D4" s="50">
        <v>1.3029343529557731</v>
      </c>
      <c r="E4" s="14">
        <f t="shared" si="979"/>
        <v>638437.83294832881</v>
      </c>
      <c r="F4" s="13">
        <v>368655</v>
      </c>
      <c r="G4" s="13">
        <v>0</v>
      </c>
      <c r="H4" s="13">
        <v>0</v>
      </c>
      <c r="I4" s="16">
        <f t="shared" si="980"/>
        <v>368655</v>
      </c>
      <c r="J4" s="17">
        <f t="shared" si="981"/>
        <v>490000</v>
      </c>
      <c r="K4" s="18">
        <f t="shared" si="982"/>
        <v>0</v>
      </c>
      <c r="L4" s="19">
        <f t="shared" si="983"/>
        <v>0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984"/>
        <v>0</v>
      </c>
      <c r="S4" s="35">
        <f t="shared" si="985"/>
        <v>368655</v>
      </c>
      <c r="T4" s="35">
        <f t="shared" si="986"/>
        <v>-121345</v>
      </c>
      <c r="U4" s="19">
        <f t="shared" si="987"/>
        <v>0.75235714285714284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79"/>
        <v>0</v>
      </c>
      <c r="F5" s="13">
        <v>0</v>
      </c>
      <c r="G5" s="13">
        <v>0</v>
      </c>
      <c r="H5" s="13">
        <v>0</v>
      </c>
      <c r="I5" s="16">
        <f t="shared" si="980"/>
        <v>0</v>
      </c>
      <c r="J5" s="17">
        <f t="shared" si="981"/>
        <v>0</v>
      </c>
      <c r="K5" s="18">
        <f t="shared" si="98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84"/>
        <v>0</v>
      </c>
      <c r="S5" s="35">
        <f t="shared" si="985"/>
        <v>0</v>
      </c>
      <c r="T5" s="35">
        <f t="shared" si="986"/>
        <v>0</v>
      </c>
      <c r="U5" s="19" t="e">
        <f t="shared" si="987"/>
        <v>#DIV/0!</v>
      </c>
    </row>
    <row r="6">
      <c r="A6" s="9" t="s">
        <v>26</v>
      </c>
      <c r="B6" s="9" t="s">
        <v>27</v>
      </c>
      <c r="C6" s="14">
        <v>300000</v>
      </c>
      <c r="D6" s="11">
        <v>1.1430280588381259</v>
      </c>
      <c r="E6" s="12">
        <f t="shared" si="979"/>
        <v>342908.41765143775</v>
      </c>
      <c r="F6" s="13">
        <v>63727</v>
      </c>
      <c r="G6" s="44">
        <v>128814</v>
      </c>
      <c r="H6" s="44">
        <v>0</v>
      </c>
      <c r="I6" s="16">
        <f t="shared" si="980"/>
        <v>63727</v>
      </c>
      <c r="J6" s="17">
        <f t="shared" si="981"/>
        <v>171186</v>
      </c>
      <c r="K6" s="18">
        <f t="shared" si="982"/>
        <v>147238.01637117434</v>
      </c>
      <c r="L6" s="19">
        <f t="shared" si="983"/>
        <v>0.42937999999999998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984"/>
        <v>94000</v>
      </c>
      <c r="S6" s="35">
        <f t="shared" si="985"/>
        <v>286541</v>
      </c>
      <c r="T6" s="35">
        <f t="shared" si="986"/>
        <v>-13459</v>
      </c>
      <c r="U6" s="19">
        <f t="shared" si="987"/>
        <v>0.95513666666666663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979"/>
        <v>205985.22317750531</v>
      </c>
      <c r="F7" s="13">
        <v>0</v>
      </c>
      <c r="G7" s="44">
        <v>118800</v>
      </c>
      <c r="H7" s="13">
        <v>59400</v>
      </c>
      <c r="I7" s="16">
        <f t="shared" si="980"/>
        <v>59400</v>
      </c>
      <c r="J7" s="17">
        <f t="shared" si="981"/>
        <v>205981</v>
      </c>
      <c r="K7" s="18">
        <f t="shared" si="982"/>
        <v>75346.293389969331</v>
      </c>
      <c r="L7" s="19">
        <f t="shared" si="983"/>
        <v>0.36578494431632391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984"/>
        <v>522000</v>
      </c>
      <c r="S7" s="35">
        <f t="shared" si="985"/>
        <v>700200</v>
      </c>
      <c r="T7" s="35">
        <f t="shared" si="986"/>
        <v>375419</v>
      </c>
      <c r="U7" s="19">
        <f t="shared" si="987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979"/>
        <v>322487.6793555622</v>
      </c>
      <c r="F8" s="44">
        <v>88548</v>
      </c>
      <c r="G8" s="13">
        <v>0</v>
      </c>
      <c r="H8" s="44">
        <v>230012</v>
      </c>
      <c r="I8" s="16">
        <f t="shared" si="980"/>
        <v>318560</v>
      </c>
      <c r="J8" s="17">
        <f t="shared" si="981"/>
        <v>360915</v>
      </c>
      <c r="K8" s="18">
        <f t="shared" si="982"/>
        <v>0</v>
      </c>
      <c r="L8" s="19">
        <f t="shared" si="983"/>
        <v>0</v>
      </c>
      <c r="M8" s="34">
        <v>0</v>
      </c>
      <c r="N8" s="58">
        <v>0</v>
      </c>
      <c r="O8" s="34">
        <v>260000</v>
      </c>
      <c r="P8" s="34">
        <v>0</v>
      </c>
      <c r="Q8" s="34">
        <v>0</v>
      </c>
      <c r="R8" s="34">
        <f t="shared" si="984"/>
        <v>260000</v>
      </c>
      <c r="S8" s="35">
        <f t="shared" si="985"/>
        <v>578560</v>
      </c>
      <c r="T8" s="35">
        <f t="shared" si="986"/>
        <v>217645</v>
      </c>
      <c r="U8" s="19">
        <f t="shared" si="987"/>
        <v>1.6030367260989429</v>
      </c>
    </row>
    <row r="9">
      <c r="A9" s="9" t="s">
        <v>32</v>
      </c>
      <c r="B9" s="64" t="s">
        <v>33</v>
      </c>
      <c r="C9" s="14">
        <v>131450</v>
      </c>
      <c r="D9" s="11">
        <v>1.0683280588381256</v>
      </c>
      <c r="E9" s="12">
        <f t="shared" si="979"/>
        <v>140431.72333427161</v>
      </c>
      <c r="F9" s="13">
        <v>0</v>
      </c>
      <c r="G9" s="13">
        <v>58575</v>
      </c>
      <c r="H9" s="13">
        <v>0</v>
      </c>
      <c r="I9" s="16">
        <f t="shared" si="980"/>
        <v>0</v>
      </c>
      <c r="J9" s="17">
        <f t="shared" si="981"/>
        <v>72875</v>
      </c>
      <c r="K9" s="18">
        <f t="shared" si="982"/>
        <v>62577.316046443208</v>
      </c>
      <c r="L9" s="19">
        <f t="shared" si="983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984"/>
        <v>233000</v>
      </c>
      <c r="S9" s="35">
        <f t="shared" si="985"/>
        <v>291575</v>
      </c>
      <c r="T9" s="35">
        <f t="shared" si="986"/>
        <v>160125</v>
      </c>
      <c r="U9" s="19">
        <f t="shared" si="987"/>
        <v>2.2181437809052871</v>
      </c>
    </row>
    <row r="10">
      <c r="A10" s="9" t="s">
        <v>34</v>
      </c>
      <c r="B10" s="64" t="s">
        <v>35</v>
      </c>
      <c r="C10" s="14">
        <v>467572</v>
      </c>
      <c r="D10" s="50">
        <v>2.1696780588381257</v>
      </c>
      <c r="E10" s="14">
        <f t="shared" si="979"/>
        <v>1014480.7093270601</v>
      </c>
      <c r="F10" s="13">
        <v>428013</v>
      </c>
      <c r="G10" s="13">
        <v>0</v>
      </c>
      <c r="H10" s="13">
        <v>0</v>
      </c>
      <c r="I10" s="16">
        <f t="shared" si="980"/>
        <v>428013</v>
      </c>
      <c r="J10" s="17">
        <f t="shared" si="981"/>
        <v>467572</v>
      </c>
      <c r="K10" s="18">
        <f t="shared" si="982"/>
        <v>0</v>
      </c>
      <c r="L10" s="19">
        <f t="shared" si="983"/>
        <v>0</v>
      </c>
      <c r="M10" s="34">
        <v>0</v>
      </c>
      <c r="N10" s="58">
        <v>234000</v>
      </c>
      <c r="O10" s="34">
        <v>234000</v>
      </c>
      <c r="P10" s="34">
        <v>0</v>
      </c>
      <c r="Q10" s="34">
        <v>0</v>
      </c>
      <c r="R10" s="34">
        <f t="shared" si="984"/>
        <v>468000</v>
      </c>
      <c r="S10" s="35">
        <f t="shared" si="985"/>
        <v>896013</v>
      </c>
      <c r="T10" s="35">
        <f t="shared" si="986"/>
        <v>428441</v>
      </c>
      <c r="U10" s="19">
        <f t="shared" si="987"/>
        <v>1.9163102153251264</v>
      </c>
    </row>
    <row r="11">
      <c r="A11" s="9" t="s">
        <v>36</v>
      </c>
      <c r="B11" s="64" t="s">
        <v>37</v>
      </c>
      <c r="C11" s="14">
        <v>36918</v>
      </c>
      <c r="D11" s="11">
        <v>1.5549280588381262</v>
      </c>
      <c r="E11" s="12">
        <f t="shared" si="979"/>
        <v>57404.834076185944</v>
      </c>
      <c r="F11" s="13">
        <v>37030</v>
      </c>
      <c r="G11" s="13">
        <v>0</v>
      </c>
      <c r="H11" s="13">
        <v>0</v>
      </c>
      <c r="I11" s="16">
        <f t="shared" si="980"/>
        <v>37030</v>
      </c>
      <c r="J11" s="17">
        <f t="shared" si="981"/>
        <v>36918</v>
      </c>
      <c r="K11" s="18">
        <f t="shared" si="982"/>
        <v>0</v>
      </c>
      <c r="L11" s="19">
        <v>0</v>
      </c>
      <c r="M11" s="34">
        <v>0</v>
      </c>
      <c r="N11" s="58">
        <v>37000</v>
      </c>
      <c r="O11" s="34">
        <v>0</v>
      </c>
      <c r="P11" s="34">
        <v>0</v>
      </c>
      <c r="Q11" s="34">
        <v>0</v>
      </c>
      <c r="R11" s="34">
        <f t="shared" si="984"/>
        <v>37000</v>
      </c>
      <c r="S11" s="35">
        <f t="shared" si="985"/>
        <v>74030</v>
      </c>
      <c r="T11" s="35">
        <f t="shared" si="986"/>
        <v>37112</v>
      </c>
      <c r="U11" s="19">
        <f t="shared" si="987"/>
        <v>2.0052548892139335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79"/>
        <v>0</v>
      </c>
      <c r="F12" s="13">
        <v>0</v>
      </c>
      <c r="G12" s="13">
        <v>0</v>
      </c>
      <c r="H12" s="13">
        <v>0</v>
      </c>
      <c r="I12" s="16">
        <f t="shared" si="980"/>
        <v>0</v>
      </c>
      <c r="J12" s="17">
        <f t="shared" si="98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84"/>
        <v>0</v>
      </c>
      <c r="S12" s="35">
        <f t="shared" si="985"/>
        <v>0</v>
      </c>
      <c r="T12" s="35">
        <f t="shared" si="986"/>
        <v>0</v>
      </c>
      <c r="U12" s="19" t="e">
        <f t="shared" si="98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979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981"/>
        <v>0</v>
      </c>
      <c r="K13" s="18">
        <f t="shared" si="98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84"/>
        <v>0</v>
      </c>
      <c r="S13" s="35">
        <f t="shared" si="985"/>
        <v>0</v>
      </c>
      <c r="T13" s="35">
        <f t="shared" si="986"/>
        <v>0</v>
      </c>
      <c r="U13" s="19" t="e">
        <f t="shared" si="987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79"/>
        <v>0</v>
      </c>
      <c r="F14" s="13">
        <v>0</v>
      </c>
      <c r="G14" s="13">
        <v>0</v>
      </c>
      <c r="H14" s="13">
        <v>0</v>
      </c>
      <c r="I14" s="16">
        <f t="shared" si="980"/>
        <v>0</v>
      </c>
      <c r="J14" s="17">
        <f t="shared" si="981"/>
        <v>0</v>
      </c>
      <c r="K14" s="18">
        <f t="shared" si="98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84"/>
        <v>0</v>
      </c>
      <c r="S14" s="35">
        <f t="shared" si="985"/>
        <v>0</v>
      </c>
      <c r="T14" s="35">
        <f t="shared" si="986"/>
        <v>0</v>
      </c>
      <c r="U14" s="19" t="e">
        <f t="shared" si="987"/>
        <v>#DIV/0!</v>
      </c>
    </row>
    <row r="15">
      <c r="A15" s="9" t="s">
        <v>42</v>
      </c>
      <c r="B15" s="9" t="s">
        <v>43</v>
      </c>
      <c r="C15" s="14">
        <v>27260</v>
      </c>
      <c r="D15" s="11">
        <v>8.9388782058969483</v>
      </c>
      <c r="E15" s="12">
        <f t="shared" si="979"/>
        <v>243673.81989275082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81"/>
        <v>27260</v>
      </c>
      <c r="K15" s="18">
        <f t="shared" si="98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84"/>
        <v>0</v>
      </c>
      <c r="S15" s="35">
        <f t="shared" si="985"/>
        <v>0</v>
      </c>
      <c r="T15" s="35">
        <f t="shared" si="986"/>
        <v>-27260</v>
      </c>
      <c r="U15" s="19">
        <f t="shared" si="987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979"/>
        <v>0</v>
      </c>
      <c r="F16" s="13">
        <v>0</v>
      </c>
      <c r="G16" s="33">
        <v>0</v>
      </c>
      <c r="H16" s="13">
        <v>0</v>
      </c>
      <c r="I16" s="16">
        <f t="shared" si="980"/>
        <v>0</v>
      </c>
      <c r="J16" s="17">
        <f t="shared" si="981"/>
        <v>0</v>
      </c>
      <c r="K16" s="18">
        <f t="shared" ref="K16:K18" si="988">+G16*D16</f>
        <v>0</v>
      </c>
      <c r="L16" s="19" t="e">
        <f t="shared" ref="L16:L21" si="989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984"/>
        <v>0</v>
      </c>
      <c r="S16" s="35">
        <f t="shared" si="985"/>
        <v>0</v>
      </c>
      <c r="T16" s="35">
        <f t="shared" si="986"/>
        <v>0</v>
      </c>
      <c r="U16" s="19" t="e">
        <f t="shared" si="987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979"/>
        <v>0</v>
      </c>
      <c r="F17" s="13">
        <v>0</v>
      </c>
      <c r="G17" s="33">
        <v>0</v>
      </c>
      <c r="H17" s="13">
        <v>0</v>
      </c>
      <c r="I17" s="16">
        <f t="shared" si="980"/>
        <v>0</v>
      </c>
      <c r="J17" s="17">
        <f t="shared" si="981"/>
        <v>0</v>
      </c>
      <c r="K17" s="18">
        <f t="shared" si="988"/>
        <v>0</v>
      </c>
      <c r="L17" s="19" t="e">
        <f t="shared" si="989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984"/>
        <v>0</v>
      </c>
      <c r="S17" s="35">
        <f t="shared" si="985"/>
        <v>0</v>
      </c>
      <c r="T17" s="35">
        <f t="shared" si="986"/>
        <v>0</v>
      </c>
      <c r="U17" s="19" t="e">
        <f t="shared" si="987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979"/>
        <v>0</v>
      </c>
      <c r="F18" s="13">
        <v>0</v>
      </c>
      <c r="G18" s="33">
        <v>0</v>
      </c>
      <c r="H18" s="13">
        <v>0</v>
      </c>
      <c r="I18" s="16">
        <f t="shared" si="980"/>
        <v>0</v>
      </c>
      <c r="J18" s="17">
        <f t="shared" si="981"/>
        <v>0</v>
      </c>
      <c r="K18" s="18">
        <f t="shared" si="988"/>
        <v>0</v>
      </c>
      <c r="L18" s="19" t="e">
        <f t="shared" si="989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984"/>
        <v>0</v>
      </c>
      <c r="S18" s="35">
        <f t="shared" si="985"/>
        <v>0</v>
      </c>
      <c r="T18" s="35">
        <f t="shared" si="986"/>
        <v>0</v>
      </c>
      <c r="U18" s="19" t="e">
        <f t="shared" si="987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79"/>
        <v>0</v>
      </c>
      <c r="F19" s="13">
        <v>0</v>
      </c>
      <c r="G19" s="13">
        <v>0</v>
      </c>
      <c r="H19" s="13">
        <v>0</v>
      </c>
      <c r="I19" s="16">
        <f t="shared" si="980"/>
        <v>0</v>
      </c>
      <c r="J19" s="17">
        <f t="shared" si="981"/>
        <v>0</v>
      </c>
      <c r="K19" s="18">
        <f t="shared" si="98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84"/>
        <v>0</v>
      </c>
      <c r="S19" s="35">
        <f t="shared" si="985"/>
        <v>0</v>
      </c>
      <c r="T19" s="35">
        <f t="shared" si="986"/>
        <v>0</v>
      </c>
      <c r="U19" s="19" t="e">
        <f t="shared" si="987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79"/>
        <v>0</v>
      </c>
      <c r="F20" s="13">
        <v>0</v>
      </c>
      <c r="G20" s="13">
        <v>0</v>
      </c>
      <c r="H20" s="13">
        <v>0</v>
      </c>
      <c r="I20" s="16">
        <f t="shared" si="980"/>
        <v>0</v>
      </c>
      <c r="J20" s="17">
        <f t="shared" si="981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84"/>
        <v>0</v>
      </c>
      <c r="S20" s="35">
        <f t="shared" si="985"/>
        <v>0</v>
      </c>
      <c r="T20" s="35">
        <f t="shared" si="986"/>
        <v>0</v>
      </c>
      <c r="U20" s="19" t="e">
        <f t="shared" si="987"/>
        <v>#DIV/0!</v>
      </c>
    </row>
    <row r="21" ht="16.5">
      <c r="A21" s="21" t="s">
        <v>50</v>
      </c>
      <c r="B21" s="21"/>
      <c r="C21" s="36">
        <f>SUM(C3:C20)</f>
        <v>2438896</v>
      </c>
      <c r="D21" s="23"/>
      <c r="E21" s="22">
        <f t="shared" ref="E21:H21" si="990">SUM(E3:E20)</f>
        <v>3833523.6574145406</v>
      </c>
      <c r="F21" s="24">
        <f>SUM(F3:F20)</f>
        <v>1097431</v>
      </c>
      <c r="G21" s="24">
        <f t="shared" si="990"/>
        <v>417701</v>
      </c>
      <c r="H21" s="24">
        <f t="shared" si="990"/>
        <v>289412</v>
      </c>
      <c r="I21" s="25">
        <f>SUM(I3:I20)</f>
        <v>1386843</v>
      </c>
      <c r="J21" s="26">
        <f>SUM(J3:J20)</f>
        <v>2021195</v>
      </c>
      <c r="K21" s="26">
        <f>SUM(K3:K20)</f>
        <v>607696.48790474387</v>
      </c>
      <c r="L21" s="27">
        <f t="shared" si="989"/>
        <v>0.15852164802201721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984"/>
        <v>1</v>
      </c>
      <c r="S21" s="35">
        <f t="shared" si="985"/>
        <v>1804545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1000A-006C-4F1B-AE0B-00FB00C700A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AC004B-0081-4744-B8D3-00B0000D008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590052-00AD-47CD-8696-00BF003D00C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0200BB-0048-4F5E-B637-0056006C00F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A900EB-0042-4B22-859F-003800B6000F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DE0040-00A0-4A1D-9C75-0055009B004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A20004-006C-44AD-A3B5-001A000000D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B10038-0095-47A2-99EA-00D9005A00D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030017-00C6-4BB3-A4E1-00DB0071004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EA005D-00D7-470D-8B66-0097006C006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BB0027-0099-41E3-B7A4-0095007700D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E10046-002A-4E96-8231-00F1000100F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0" activeCellId="0" sqref="J20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182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300000</v>
      </c>
      <c r="D3" s="11">
        <v>2.8923780588381258</v>
      </c>
      <c r="E3" s="12">
        <f t="shared" ref="E3:E20" si="991">C3*D3</f>
        <v>867713.41765143769</v>
      </c>
      <c r="F3" s="13">
        <v>111458</v>
      </c>
      <c r="G3" s="44">
        <v>111512</v>
      </c>
      <c r="H3" s="13">
        <v>0</v>
      </c>
      <c r="I3" s="16">
        <f t="shared" ref="I3:I20" si="992">F3+H3</f>
        <v>111458</v>
      </c>
      <c r="J3" s="17">
        <f t="shared" ref="J3:J20" si="993">C3-G3</f>
        <v>188488</v>
      </c>
      <c r="K3" s="18">
        <f t="shared" ref="K3:K19" si="994">+G3*D3</f>
        <v>322534.86209715711</v>
      </c>
      <c r="L3" s="19">
        <f t="shared" ref="L3:L10" si="995">K3/E3</f>
        <v>0.37170666666666674</v>
      </c>
      <c r="M3" s="34">
        <v>0</v>
      </c>
      <c r="N3" s="58">
        <v>111000</v>
      </c>
      <c r="O3" s="34">
        <v>130000</v>
      </c>
      <c r="P3" s="34">
        <v>148000</v>
      </c>
      <c r="Q3" s="34">
        <v>130000</v>
      </c>
      <c r="R3" s="34">
        <f t="shared" ref="R3:R21" si="996">M3+N3+O3+P3+Q3</f>
        <v>519000</v>
      </c>
      <c r="S3" s="35">
        <f t="shared" ref="S3:S21" si="997">G3+I3+R3</f>
        <v>741970</v>
      </c>
      <c r="T3" s="35">
        <f t="shared" ref="T3:T20" si="998">S3-C3</f>
        <v>441970</v>
      </c>
      <c r="U3" s="19">
        <f t="shared" ref="U3:U20" si="999">S3/C3</f>
        <v>2.4732333333333334</v>
      </c>
    </row>
    <row r="4">
      <c r="A4" s="9" t="s">
        <v>22</v>
      </c>
      <c r="B4" s="9" t="s">
        <v>23</v>
      </c>
      <c r="C4" s="14">
        <v>490000</v>
      </c>
      <c r="D4" s="50">
        <v>1.3029343529557731</v>
      </c>
      <c r="E4" s="14">
        <f t="shared" si="991"/>
        <v>638437.83294832881</v>
      </c>
      <c r="F4" s="13">
        <v>0</v>
      </c>
      <c r="G4" s="13">
        <v>294421</v>
      </c>
      <c r="H4" s="13">
        <v>74201</v>
      </c>
      <c r="I4" s="16">
        <f t="shared" si="992"/>
        <v>74201</v>
      </c>
      <c r="J4" s="17">
        <f t="shared" si="993"/>
        <v>195579</v>
      </c>
      <c r="K4" s="18">
        <f t="shared" si="994"/>
        <v>383611.23513159167</v>
      </c>
      <c r="L4" s="19">
        <f t="shared" si="995"/>
        <v>0.60085918367346935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996"/>
        <v>0</v>
      </c>
      <c r="S4" s="35">
        <f t="shared" si="997"/>
        <v>368622</v>
      </c>
      <c r="T4" s="35">
        <f t="shared" si="998"/>
        <v>-121378</v>
      </c>
      <c r="U4" s="19">
        <f t="shared" si="999"/>
        <v>0.75228979591836731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991"/>
        <v>0</v>
      </c>
      <c r="F5" s="13">
        <v>0</v>
      </c>
      <c r="G5" s="13">
        <v>0</v>
      </c>
      <c r="H5" s="13">
        <v>0</v>
      </c>
      <c r="I5" s="16">
        <f t="shared" si="992"/>
        <v>0</v>
      </c>
      <c r="J5" s="17">
        <f t="shared" si="993"/>
        <v>0</v>
      </c>
      <c r="K5" s="18">
        <f t="shared" si="99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996"/>
        <v>0</v>
      </c>
      <c r="S5" s="35">
        <f t="shared" si="997"/>
        <v>0</v>
      </c>
      <c r="T5" s="35">
        <f t="shared" si="998"/>
        <v>0</v>
      </c>
      <c r="U5" s="19" t="e">
        <f t="shared" si="999"/>
        <v>#DIV/0!</v>
      </c>
    </row>
    <row r="6">
      <c r="A6" s="9" t="s">
        <v>26</v>
      </c>
      <c r="B6" s="9" t="s">
        <v>27</v>
      </c>
      <c r="C6" s="14">
        <v>300000</v>
      </c>
      <c r="D6" s="11">
        <v>1.1430280588381259</v>
      </c>
      <c r="E6" s="12">
        <f t="shared" si="991"/>
        <v>342908.41765143775</v>
      </c>
      <c r="F6" s="13">
        <v>63727</v>
      </c>
      <c r="G6" s="44">
        <v>128814</v>
      </c>
      <c r="H6" s="44">
        <v>0</v>
      </c>
      <c r="I6" s="16">
        <f t="shared" si="992"/>
        <v>63727</v>
      </c>
      <c r="J6" s="17">
        <f t="shared" si="993"/>
        <v>171186</v>
      </c>
      <c r="K6" s="18">
        <f t="shared" si="994"/>
        <v>147238.01637117434</v>
      </c>
      <c r="L6" s="19">
        <f t="shared" si="995"/>
        <v>0.42937999999999998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996"/>
        <v>94000</v>
      </c>
      <c r="S6" s="35">
        <f t="shared" si="997"/>
        <v>286541</v>
      </c>
      <c r="T6" s="35">
        <f t="shared" si="998"/>
        <v>-13459</v>
      </c>
      <c r="U6" s="19">
        <f t="shared" si="999"/>
        <v>0.95513666666666663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991"/>
        <v>205985.22317750531</v>
      </c>
      <c r="F7" s="13">
        <v>0</v>
      </c>
      <c r="G7" s="44">
        <v>118800</v>
      </c>
      <c r="H7" s="13">
        <v>59400</v>
      </c>
      <c r="I7" s="16">
        <f t="shared" si="992"/>
        <v>59400</v>
      </c>
      <c r="J7" s="17">
        <f t="shared" si="993"/>
        <v>205981</v>
      </c>
      <c r="K7" s="18">
        <f t="shared" si="994"/>
        <v>75346.293389969331</v>
      </c>
      <c r="L7" s="19">
        <f t="shared" si="995"/>
        <v>0.36578494431632391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996"/>
        <v>522000</v>
      </c>
      <c r="S7" s="35">
        <f t="shared" si="997"/>
        <v>700200</v>
      </c>
      <c r="T7" s="35">
        <f t="shared" si="998"/>
        <v>375419</v>
      </c>
      <c r="U7" s="19">
        <f t="shared" si="999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991"/>
        <v>322487.6793555622</v>
      </c>
      <c r="F8" s="44">
        <v>88548</v>
      </c>
      <c r="G8" s="13">
        <v>0</v>
      </c>
      <c r="H8" s="44">
        <v>230012</v>
      </c>
      <c r="I8" s="16">
        <f t="shared" si="992"/>
        <v>318560</v>
      </c>
      <c r="J8" s="17">
        <f t="shared" si="993"/>
        <v>360915</v>
      </c>
      <c r="K8" s="18">
        <f t="shared" si="994"/>
        <v>0</v>
      </c>
      <c r="L8" s="19">
        <f t="shared" si="995"/>
        <v>0</v>
      </c>
      <c r="M8" s="34">
        <v>0</v>
      </c>
      <c r="N8" s="58">
        <v>0</v>
      </c>
      <c r="O8" s="34">
        <v>260000</v>
      </c>
      <c r="P8" s="34">
        <v>0</v>
      </c>
      <c r="Q8" s="34">
        <v>0</v>
      </c>
      <c r="R8" s="34">
        <f t="shared" si="996"/>
        <v>260000</v>
      </c>
      <c r="S8" s="35">
        <f t="shared" si="997"/>
        <v>578560</v>
      </c>
      <c r="T8" s="35">
        <f t="shared" si="998"/>
        <v>217645</v>
      </c>
      <c r="U8" s="19">
        <f t="shared" si="999"/>
        <v>1.6030367260989429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991"/>
        <v>140431.72333427161</v>
      </c>
      <c r="F9" s="13">
        <v>0</v>
      </c>
      <c r="G9" s="13">
        <v>58575</v>
      </c>
      <c r="H9" s="13">
        <v>0</v>
      </c>
      <c r="I9" s="16">
        <f t="shared" si="992"/>
        <v>0</v>
      </c>
      <c r="J9" s="17">
        <f t="shared" si="993"/>
        <v>72875</v>
      </c>
      <c r="K9" s="18">
        <f t="shared" si="994"/>
        <v>62577.316046443208</v>
      </c>
      <c r="L9" s="19">
        <f t="shared" si="995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996"/>
        <v>233000</v>
      </c>
      <c r="S9" s="35">
        <f t="shared" si="997"/>
        <v>291575</v>
      </c>
      <c r="T9" s="35">
        <f t="shared" si="998"/>
        <v>160125</v>
      </c>
      <c r="U9" s="19">
        <f t="shared" si="999"/>
        <v>2.2181437809052871</v>
      </c>
    </row>
    <row r="10">
      <c r="A10" s="9" t="s">
        <v>34</v>
      </c>
      <c r="B10" s="9" t="s">
        <v>35</v>
      </c>
      <c r="C10" s="14">
        <v>467572</v>
      </c>
      <c r="D10" s="50">
        <v>2.1696780588381257</v>
      </c>
      <c r="E10" s="14">
        <f t="shared" si="991"/>
        <v>1014480.7093270601</v>
      </c>
      <c r="F10" s="13">
        <v>428013</v>
      </c>
      <c r="G10" s="13">
        <v>0</v>
      </c>
      <c r="H10" s="13">
        <v>0</v>
      </c>
      <c r="I10" s="16">
        <f t="shared" si="992"/>
        <v>428013</v>
      </c>
      <c r="J10" s="17">
        <f t="shared" si="993"/>
        <v>467572</v>
      </c>
      <c r="K10" s="18">
        <f t="shared" si="994"/>
        <v>0</v>
      </c>
      <c r="L10" s="19">
        <f t="shared" si="995"/>
        <v>0</v>
      </c>
      <c r="M10" s="34">
        <v>0</v>
      </c>
      <c r="N10" s="58">
        <v>234000</v>
      </c>
      <c r="O10" s="34">
        <v>234000</v>
      </c>
      <c r="P10" s="34">
        <v>0</v>
      </c>
      <c r="Q10" s="34">
        <v>0</v>
      </c>
      <c r="R10" s="34">
        <f t="shared" si="996"/>
        <v>468000</v>
      </c>
      <c r="S10" s="35">
        <f>G10+I10+R10</f>
        <v>896013</v>
      </c>
      <c r="T10" s="35">
        <f t="shared" si="998"/>
        <v>428441</v>
      </c>
      <c r="U10" s="19">
        <f t="shared" si="999"/>
        <v>1.9163102153251264</v>
      </c>
    </row>
    <row r="11">
      <c r="A11" s="9" t="s">
        <v>36</v>
      </c>
      <c r="B11" s="9" t="s">
        <v>37</v>
      </c>
      <c r="C11" s="14">
        <v>36918</v>
      </c>
      <c r="D11" s="11">
        <v>1.5549280588381262</v>
      </c>
      <c r="E11" s="12">
        <f t="shared" si="991"/>
        <v>57404.834076185944</v>
      </c>
      <c r="F11" s="13">
        <v>37030</v>
      </c>
      <c r="G11" s="13">
        <v>0</v>
      </c>
      <c r="H11" s="13">
        <v>0</v>
      </c>
      <c r="I11" s="16">
        <f t="shared" si="992"/>
        <v>37030</v>
      </c>
      <c r="J11" s="17">
        <f t="shared" si="993"/>
        <v>36918</v>
      </c>
      <c r="K11" s="18">
        <f t="shared" si="994"/>
        <v>0</v>
      </c>
      <c r="L11" s="19">
        <v>0</v>
      </c>
      <c r="M11" s="34">
        <v>0</v>
      </c>
      <c r="N11" s="58">
        <v>37000</v>
      </c>
      <c r="O11" s="34">
        <v>0</v>
      </c>
      <c r="P11" s="34">
        <v>0</v>
      </c>
      <c r="Q11" s="34">
        <v>0</v>
      </c>
      <c r="R11" s="34">
        <f t="shared" si="996"/>
        <v>37000</v>
      </c>
      <c r="S11" s="35">
        <f t="shared" si="997"/>
        <v>74030</v>
      </c>
      <c r="T11" s="35">
        <f t="shared" si="998"/>
        <v>37112</v>
      </c>
      <c r="U11" s="19">
        <f t="shared" si="999"/>
        <v>2.0052548892139335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991"/>
        <v>0</v>
      </c>
      <c r="F12" s="13">
        <v>0</v>
      </c>
      <c r="G12" s="13">
        <v>0</v>
      </c>
      <c r="H12" s="13">
        <v>0</v>
      </c>
      <c r="I12" s="16">
        <f t="shared" si="992"/>
        <v>0</v>
      </c>
      <c r="J12" s="17">
        <f t="shared" si="99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996"/>
        <v>0</v>
      </c>
      <c r="S12" s="35">
        <f t="shared" si="997"/>
        <v>0</v>
      </c>
      <c r="T12" s="35">
        <f t="shared" si="998"/>
        <v>0</v>
      </c>
      <c r="U12" s="19" t="e">
        <f t="shared" si="99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991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993"/>
        <v>0</v>
      </c>
      <c r="K13" s="18">
        <f t="shared" si="99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996"/>
        <v>0</v>
      </c>
      <c r="S13" s="35">
        <f t="shared" si="997"/>
        <v>0</v>
      </c>
      <c r="T13" s="35">
        <f t="shared" si="998"/>
        <v>0</v>
      </c>
      <c r="U13" s="19" t="e">
        <f t="shared" si="999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991"/>
        <v>0</v>
      </c>
      <c r="F14" s="13">
        <v>0</v>
      </c>
      <c r="G14" s="13">
        <v>0</v>
      </c>
      <c r="H14" s="13">
        <v>0</v>
      </c>
      <c r="I14" s="16">
        <f t="shared" si="992"/>
        <v>0</v>
      </c>
      <c r="J14" s="17">
        <f t="shared" si="993"/>
        <v>0</v>
      </c>
      <c r="K14" s="18">
        <f t="shared" si="99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996"/>
        <v>0</v>
      </c>
      <c r="S14" s="35">
        <f t="shared" si="997"/>
        <v>0</v>
      </c>
      <c r="T14" s="35">
        <f t="shared" si="998"/>
        <v>0</v>
      </c>
      <c r="U14" s="19" t="e">
        <f t="shared" si="999"/>
        <v>#DIV/0!</v>
      </c>
    </row>
    <row r="15">
      <c r="A15" s="9" t="s">
        <v>42</v>
      </c>
      <c r="B15" s="9" t="s">
        <v>43</v>
      </c>
      <c r="C15" s="14">
        <v>27260</v>
      </c>
      <c r="D15" s="11">
        <v>8.9388782058969483</v>
      </c>
      <c r="E15" s="12">
        <f t="shared" si="991"/>
        <v>243673.81989275082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993"/>
        <v>27260</v>
      </c>
      <c r="K15" s="18">
        <f t="shared" si="99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996"/>
        <v>0</v>
      </c>
      <c r="S15" s="35">
        <f t="shared" si="997"/>
        <v>0</v>
      </c>
      <c r="T15" s="35">
        <f t="shared" si="998"/>
        <v>-27260</v>
      </c>
      <c r="U15" s="19">
        <f t="shared" si="999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991"/>
        <v>0</v>
      </c>
      <c r="F16" s="13">
        <v>0</v>
      </c>
      <c r="G16" s="33">
        <v>0</v>
      </c>
      <c r="H16" s="13">
        <v>0</v>
      </c>
      <c r="I16" s="16">
        <f t="shared" si="992"/>
        <v>0</v>
      </c>
      <c r="J16" s="17">
        <f t="shared" si="993"/>
        <v>0</v>
      </c>
      <c r="K16" s="18">
        <f t="shared" ref="K16:K18" si="1000">+G16*D16</f>
        <v>0</v>
      </c>
      <c r="L16" s="19" t="e">
        <f t="shared" ref="L16:L21" si="1001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996"/>
        <v>0</v>
      </c>
      <c r="S16" s="35">
        <f t="shared" si="997"/>
        <v>0</v>
      </c>
      <c r="T16" s="35">
        <f t="shared" si="998"/>
        <v>0</v>
      </c>
      <c r="U16" s="19" t="e">
        <f t="shared" si="999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991"/>
        <v>0</v>
      </c>
      <c r="F17" s="13">
        <v>0</v>
      </c>
      <c r="G17" s="33">
        <v>0</v>
      </c>
      <c r="H17" s="13">
        <v>0</v>
      </c>
      <c r="I17" s="16">
        <f t="shared" si="992"/>
        <v>0</v>
      </c>
      <c r="J17" s="17">
        <f t="shared" si="993"/>
        <v>0</v>
      </c>
      <c r="K17" s="18">
        <f t="shared" si="1000"/>
        <v>0</v>
      </c>
      <c r="L17" s="19" t="e">
        <f t="shared" si="1001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996"/>
        <v>0</v>
      </c>
      <c r="S17" s="35">
        <f t="shared" si="997"/>
        <v>0</v>
      </c>
      <c r="T17" s="35">
        <f t="shared" si="998"/>
        <v>0</v>
      </c>
      <c r="U17" s="19" t="e">
        <f t="shared" si="999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991"/>
        <v>0</v>
      </c>
      <c r="F18" s="13">
        <v>0</v>
      </c>
      <c r="G18" s="33">
        <v>0</v>
      </c>
      <c r="H18" s="13">
        <v>0</v>
      </c>
      <c r="I18" s="16">
        <f t="shared" si="992"/>
        <v>0</v>
      </c>
      <c r="J18" s="17">
        <f t="shared" si="993"/>
        <v>0</v>
      </c>
      <c r="K18" s="18">
        <f t="shared" si="1000"/>
        <v>0</v>
      </c>
      <c r="L18" s="19" t="e">
        <f t="shared" si="1001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996"/>
        <v>0</v>
      </c>
      <c r="S18" s="35">
        <f t="shared" si="997"/>
        <v>0</v>
      </c>
      <c r="T18" s="35">
        <f t="shared" si="998"/>
        <v>0</v>
      </c>
      <c r="U18" s="19" t="e">
        <f t="shared" si="999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991"/>
        <v>0</v>
      </c>
      <c r="F19" s="13">
        <v>0</v>
      </c>
      <c r="G19" s="13">
        <v>0</v>
      </c>
      <c r="H19" s="13">
        <v>0</v>
      </c>
      <c r="I19" s="16">
        <f t="shared" si="992"/>
        <v>0</v>
      </c>
      <c r="J19" s="17">
        <f t="shared" si="993"/>
        <v>0</v>
      </c>
      <c r="K19" s="18">
        <f t="shared" si="99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996"/>
        <v>0</v>
      </c>
      <c r="S19" s="35">
        <f t="shared" si="997"/>
        <v>0</v>
      </c>
      <c r="T19" s="35">
        <f t="shared" si="998"/>
        <v>0</v>
      </c>
      <c r="U19" s="19" t="e">
        <f t="shared" si="999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991"/>
        <v>0</v>
      </c>
      <c r="F20" s="13">
        <v>0</v>
      </c>
      <c r="G20" s="13">
        <v>0</v>
      </c>
      <c r="H20" s="13">
        <v>0</v>
      </c>
      <c r="I20" s="16">
        <f t="shared" si="992"/>
        <v>0</v>
      </c>
      <c r="J20" s="17">
        <f t="shared" si="993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996"/>
        <v>0</v>
      </c>
      <c r="S20" s="35">
        <f t="shared" si="997"/>
        <v>0</v>
      </c>
      <c r="T20" s="35">
        <f t="shared" si="998"/>
        <v>0</v>
      </c>
      <c r="U20" s="19" t="e">
        <f t="shared" si="999"/>
        <v>#DIV/0!</v>
      </c>
    </row>
    <row r="21" ht="16.5">
      <c r="A21" s="21" t="s">
        <v>50</v>
      </c>
      <c r="B21" s="21"/>
      <c r="C21" s="36">
        <f>SUM(C3:C20)</f>
        <v>2438896</v>
      </c>
      <c r="D21" s="23"/>
      <c r="E21" s="22">
        <f t="shared" ref="E21:H21" si="1002">SUM(E3:E20)</f>
        <v>3833523.6574145406</v>
      </c>
      <c r="F21" s="24">
        <f>SUM(F3:F20)</f>
        <v>728776</v>
      </c>
      <c r="G21" s="24">
        <f t="shared" si="1002"/>
        <v>712122</v>
      </c>
      <c r="H21" s="24">
        <f t="shared" si="1002"/>
        <v>363613</v>
      </c>
      <c r="I21" s="25">
        <f>SUM(I3:I20)</f>
        <v>1092389</v>
      </c>
      <c r="J21" s="26">
        <f>SUM(J3:J20)</f>
        <v>1726774</v>
      </c>
      <c r="K21" s="26">
        <f>SUM(K3:K20)</f>
        <v>991307.72303633566</v>
      </c>
      <c r="L21" s="27">
        <f t="shared" si="1001"/>
        <v>0.25858917581453184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996"/>
        <v>1</v>
      </c>
      <c r="S21" s="35">
        <f t="shared" si="997"/>
        <v>1804512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490051-0067-42E7-A275-004F0021009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9700CB-0026-41C0-9D5C-00C800E800D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EC003C-0044-40F9-A742-001C0060009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F300BC-00C7-4F58-83B3-0081002E004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460019-0093-4273-BFFC-0041000C00E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A500D3-00F2-4707-8F65-002700E1007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780037-0062-4033-BD03-002600EF005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700DB-0010-487F-9130-005300B8009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2B00D5-004F-46B0-931C-0036001D001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4000DD-003A-4EEE-8897-006700FC003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F600D5-00C2-4066-8A74-008B0003002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550060-00BA-4539-AA8F-00DF0029007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13" activeCellId="0" sqref="H13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183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300000</v>
      </c>
      <c r="D3" s="11">
        <v>2.8923780588381258</v>
      </c>
      <c r="E3" s="12">
        <f t="shared" ref="E3:E20" si="1003">C3*D3</f>
        <v>867713.41765143769</v>
      </c>
      <c r="F3" s="13">
        <v>111458</v>
      </c>
      <c r="G3" s="44">
        <v>111512</v>
      </c>
      <c r="H3" s="13">
        <v>0</v>
      </c>
      <c r="I3" s="16">
        <f t="shared" ref="I3:I20" si="1004">F3+H3</f>
        <v>111458</v>
      </c>
      <c r="J3" s="17">
        <f t="shared" ref="J3:J20" si="1005">C3-G3</f>
        <v>188488</v>
      </c>
      <c r="K3" s="18">
        <f t="shared" ref="K3:K19" si="1006">+G3*D3</f>
        <v>322534.86209715711</v>
      </c>
      <c r="L3" s="19">
        <f t="shared" ref="L3:L10" si="1007">K3/E3</f>
        <v>0.37170666666666674</v>
      </c>
      <c r="M3" s="34">
        <v>0</v>
      </c>
      <c r="N3" s="58">
        <v>111000</v>
      </c>
      <c r="O3" s="34">
        <v>130000</v>
      </c>
      <c r="P3" s="34">
        <v>148000</v>
      </c>
      <c r="Q3" s="34">
        <v>130000</v>
      </c>
      <c r="R3" s="34">
        <f t="shared" ref="R3:R21" si="1008">M3+N3+O3+P3+Q3</f>
        <v>519000</v>
      </c>
      <c r="S3" s="35">
        <f t="shared" ref="S3:S21" si="1009">G3+I3+R3</f>
        <v>741970</v>
      </c>
      <c r="T3" s="35">
        <f t="shared" ref="T3:T20" si="1010">S3-C3</f>
        <v>441970</v>
      </c>
      <c r="U3" s="19">
        <f t="shared" ref="U3:U20" si="1011">S3/C3</f>
        <v>2.4732333333333334</v>
      </c>
    </row>
    <row r="4">
      <c r="A4" s="9" t="s">
        <v>22</v>
      </c>
      <c r="B4" s="9" t="s">
        <v>23</v>
      </c>
      <c r="C4" s="14">
        <v>490000</v>
      </c>
      <c r="D4" s="50">
        <v>1.3029343529557731</v>
      </c>
      <c r="E4" s="14">
        <f t="shared" si="1003"/>
        <v>638437.83294832881</v>
      </c>
      <c r="F4" s="13">
        <v>0</v>
      </c>
      <c r="G4" s="13">
        <v>368622</v>
      </c>
      <c r="H4" s="13">
        <v>0</v>
      </c>
      <c r="I4" s="16">
        <f t="shared" si="1004"/>
        <v>0</v>
      </c>
      <c r="J4" s="17">
        <f t="shared" si="1005"/>
        <v>121378</v>
      </c>
      <c r="K4" s="18">
        <f t="shared" si="1006"/>
        <v>480290.26705526299</v>
      </c>
      <c r="L4" s="19">
        <f t="shared" si="1007"/>
        <v>0.75228979591836731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08"/>
        <v>0</v>
      </c>
      <c r="S4" s="35">
        <f t="shared" si="1009"/>
        <v>368622</v>
      </c>
      <c r="T4" s="35">
        <f t="shared" si="1010"/>
        <v>-121378</v>
      </c>
      <c r="U4" s="19">
        <f t="shared" si="1011"/>
        <v>0.75228979591836731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03"/>
        <v>0</v>
      </c>
      <c r="F5" s="13">
        <v>0</v>
      </c>
      <c r="G5" s="13">
        <v>0</v>
      </c>
      <c r="H5" s="13">
        <v>0</v>
      </c>
      <c r="I5" s="16">
        <f t="shared" si="1004"/>
        <v>0</v>
      </c>
      <c r="J5" s="17">
        <f t="shared" si="1005"/>
        <v>0</v>
      </c>
      <c r="K5" s="18">
        <f t="shared" si="100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08"/>
        <v>0</v>
      </c>
      <c r="S5" s="35">
        <f t="shared" si="1009"/>
        <v>0</v>
      </c>
      <c r="T5" s="35">
        <f t="shared" si="1010"/>
        <v>0</v>
      </c>
      <c r="U5" s="19" t="e">
        <f t="shared" si="1011"/>
        <v>#DIV/0!</v>
      </c>
    </row>
    <row r="6">
      <c r="A6" s="9" t="s">
        <v>26</v>
      </c>
      <c r="B6" s="9" t="s">
        <v>27</v>
      </c>
      <c r="C6" s="14">
        <v>300000</v>
      </c>
      <c r="D6" s="11">
        <v>1.1430280588381259</v>
      </c>
      <c r="E6" s="12">
        <f t="shared" si="1003"/>
        <v>342908.41765143775</v>
      </c>
      <c r="F6" s="13">
        <v>63727</v>
      </c>
      <c r="G6" s="44">
        <v>128814</v>
      </c>
      <c r="H6" s="44">
        <v>0</v>
      </c>
      <c r="I6" s="16">
        <f t="shared" si="1004"/>
        <v>63727</v>
      </c>
      <c r="J6" s="17">
        <f t="shared" si="1005"/>
        <v>171186</v>
      </c>
      <c r="K6" s="18">
        <f t="shared" si="1006"/>
        <v>147238.01637117434</v>
      </c>
      <c r="L6" s="19">
        <f t="shared" si="1007"/>
        <v>0.42937999999999998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008"/>
        <v>94000</v>
      </c>
      <c r="S6" s="35">
        <f t="shared" si="1009"/>
        <v>286541</v>
      </c>
      <c r="T6" s="35">
        <f t="shared" si="1010"/>
        <v>-13459</v>
      </c>
      <c r="U6" s="19">
        <f t="shared" si="1011"/>
        <v>0.95513666666666663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03"/>
        <v>205985.22317750531</v>
      </c>
      <c r="F7" s="13">
        <v>0</v>
      </c>
      <c r="G7" s="44">
        <v>178200</v>
      </c>
      <c r="H7" s="13">
        <v>0</v>
      </c>
      <c r="I7" s="16">
        <f t="shared" si="1004"/>
        <v>0</v>
      </c>
      <c r="J7" s="17">
        <f t="shared" si="1005"/>
        <v>146581</v>
      </c>
      <c r="K7" s="18">
        <f t="shared" si="1006"/>
        <v>113019.440084954</v>
      </c>
      <c r="L7" s="19">
        <f t="shared" si="1007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08"/>
        <v>522000</v>
      </c>
      <c r="S7" s="35">
        <f t="shared" si="1009"/>
        <v>700200</v>
      </c>
      <c r="T7" s="35">
        <f t="shared" si="1010"/>
        <v>375419</v>
      </c>
      <c r="U7" s="19">
        <f t="shared" si="1011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03"/>
        <v>322487.6793555622</v>
      </c>
      <c r="F8" s="44">
        <v>88548</v>
      </c>
      <c r="G8" s="13">
        <v>0</v>
      </c>
      <c r="H8" s="44">
        <v>230012</v>
      </c>
      <c r="I8" s="16">
        <f t="shared" si="1004"/>
        <v>318560</v>
      </c>
      <c r="J8" s="17">
        <f t="shared" si="1005"/>
        <v>360915</v>
      </c>
      <c r="K8" s="18">
        <f t="shared" si="1006"/>
        <v>0</v>
      </c>
      <c r="L8" s="19">
        <f t="shared" si="1007"/>
        <v>0</v>
      </c>
      <c r="M8" s="34">
        <v>0</v>
      </c>
      <c r="N8" s="58">
        <v>0</v>
      </c>
      <c r="O8" s="34">
        <v>260000</v>
      </c>
      <c r="P8" s="34">
        <v>0</v>
      </c>
      <c r="Q8" s="34">
        <v>0</v>
      </c>
      <c r="R8" s="34">
        <f t="shared" si="1008"/>
        <v>260000</v>
      </c>
      <c r="S8" s="35">
        <f t="shared" si="1009"/>
        <v>578560</v>
      </c>
      <c r="T8" s="35">
        <f t="shared" si="1010"/>
        <v>217645</v>
      </c>
      <c r="U8" s="19">
        <f t="shared" si="1011"/>
        <v>1.6030367260989429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03"/>
        <v>140431.72333427161</v>
      </c>
      <c r="F9" s="13">
        <v>0</v>
      </c>
      <c r="G9" s="13">
        <v>58575</v>
      </c>
      <c r="H9" s="13">
        <v>0</v>
      </c>
      <c r="I9" s="16">
        <f t="shared" si="1004"/>
        <v>0</v>
      </c>
      <c r="J9" s="17">
        <f t="shared" si="1005"/>
        <v>72875</v>
      </c>
      <c r="K9" s="18">
        <f t="shared" si="1006"/>
        <v>62577.316046443208</v>
      </c>
      <c r="L9" s="19">
        <f t="shared" si="1007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08"/>
        <v>233000</v>
      </c>
      <c r="S9" s="35">
        <f t="shared" si="1009"/>
        <v>291575</v>
      </c>
      <c r="T9" s="35">
        <f t="shared" si="1010"/>
        <v>160125</v>
      </c>
      <c r="U9" s="19">
        <f t="shared" si="1011"/>
        <v>2.2181437809052871</v>
      </c>
    </row>
    <row r="10">
      <c r="A10" s="9" t="s">
        <v>34</v>
      </c>
      <c r="B10" s="9" t="s">
        <v>35</v>
      </c>
      <c r="C10" s="14">
        <v>467572</v>
      </c>
      <c r="D10" s="50">
        <v>2.1696780588381257</v>
      </c>
      <c r="E10" s="14">
        <f t="shared" si="1003"/>
        <v>1014480.7093270601</v>
      </c>
      <c r="F10" s="13">
        <v>428013</v>
      </c>
      <c r="G10" s="13">
        <v>0</v>
      </c>
      <c r="H10" s="13">
        <v>0</v>
      </c>
      <c r="I10" s="16">
        <f t="shared" si="1004"/>
        <v>428013</v>
      </c>
      <c r="J10" s="17">
        <f t="shared" si="1005"/>
        <v>467572</v>
      </c>
      <c r="K10" s="18">
        <f t="shared" si="1006"/>
        <v>0</v>
      </c>
      <c r="L10" s="19">
        <f t="shared" si="1007"/>
        <v>0</v>
      </c>
      <c r="M10" s="34">
        <v>0</v>
      </c>
      <c r="N10" s="58">
        <v>234000</v>
      </c>
      <c r="O10" s="34">
        <v>234000</v>
      </c>
      <c r="P10" s="34">
        <v>0</v>
      </c>
      <c r="Q10" s="34">
        <v>0</v>
      </c>
      <c r="R10" s="34">
        <f t="shared" si="1008"/>
        <v>468000</v>
      </c>
      <c r="S10" s="35">
        <f>G10+I10+R10</f>
        <v>896013</v>
      </c>
      <c r="T10" s="35">
        <f t="shared" si="1010"/>
        <v>428441</v>
      </c>
      <c r="U10" s="19">
        <f t="shared" si="1011"/>
        <v>1.9163102153251264</v>
      </c>
    </row>
    <row r="11">
      <c r="A11" s="9" t="s">
        <v>36</v>
      </c>
      <c r="B11" s="9" t="s">
        <v>37</v>
      </c>
      <c r="C11" s="14">
        <v>36918</v>
      </c>
      <c r="D11" s="11">
        <v>1.5549280588381262</v>
      </c>
      <c r="E11" s="12">
        <f t="shared" si="1003"/>
        <v>57404.834076185944</v>
      </c>
      <c r="F11" s="13">
        <v>37030</v>
      </c>
      <c r="G11" s="13">
        <v>0</v>
      </c>
      <c r="H11" s="13">
        <v>0</v>
      </c>
      <c r="I11" s="16">
        <f t="shared" si="1004"/>
        <v>37030</v>
      </c>
      <c r="J11" s="17">
        <f t="shared" si="1005"/>
        <v>36918</v>
      </c>
      <c r="K11" s="18">
        <f t="shared" si="1006"/>
        <v>0</v>
      </c>
      <c r="L11" s="19">
        <v>0</v>
      </c>
      <c r="M11" s="34">
        <v>0</v>
      </c>
      <c r="N11" s="58">
        <v>37000</v>
      </c>
      <c r="O11" s="34">
        <v>0</v>
      </c>
      <c r="P11" s="34">
        <v>0</v>
      </c>
      <c r="Q11" s="34">
        <v>0</v>
      </c>
      <c r="R11" s="34">
        <f t="shared" si="1008"/>
        <v>37000</v>
      </c>
      <c r="S11" s="35">
        <f t="shared" si="1009"/>
        <v>74030</v>
      </c>
      <c r="T11" s="35">
        <f t="shared" si="1010"/>
        <v>37112</v>
      </c>
      <c r="U11" s="19">
        <f t="shared" si="1011"/>
        <v>2.0052548892139335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03"/>
        <v>0</v>
      </c>
      <c r="F12" s="13">
        <v>0</v>
      </c>
      <c r="G12" s="13">
        <v>0</v>
      </c>
      <c r="H12" s="13">
        <v>0</v>
      </c>
      <c r="I12" s="16">
        <f t="shared" si="1004"/>
        <v>0</v>
      </c>
      <c r="J12" s="17">
        <f t="shared" si="100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08"/>
        <v>0</v>
      </c>
      <c r="S12" s="35">
        <f t="shared" si="1009"/>
        <v>0</v>
      </c>
      <c r="T12" s="35">
        <f t="shared" si="1010"/>
        <v>0</v>
      </c>
      <c r="U12" s="19" t="e">
        <f t="shared" si="101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03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05"/>
        <v>0</v>
      </c>
      <c r="K13" s="18">
        <f t="shared" si="100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08"/>
        <v>0</v>
      </c>
      <c r="S13" s="35">
        <f t="shared" si="1009"/>
        <v>0</v>
      </c>
      <c r="T13" s="35">
        <f t="shared" si="1010"/>
        <v>0</v>
      </c>
      <c r="U13" s="19" t="e">
        <f t="shared" si="1011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03"/>
        <v>0</v>
      </c>
      <c r="F14" s="13">
        <v>0</v>
      </c>
      <c r="G14" s="13">
        <v>0</v>
      </c>
      <c r="H14" s="13">
        <v>0</v>
      </c>
      <c r="I14" s="16">
        <f t="shared" si="1004"/>
        <v>0</v>
      </c>
      <c r="J14" s="17">
        <f t="shared" si="1005"/>
        <v>0</v>
      </c>
      <c r="K14" s="18">
        <f t="shared" si="100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08"/>
        <v>0</v>
      </c>
      <c r="S14" s="35">
        <f t="shared" si="1009"/>
        <v>0</v>
      </c>
      <c r="T14" s="35">
        <f t="shared" si="1010"/>
        <v>0</v>
      </c>
      <c r="U14" s="19" t="e">
        <f t="shared" si="1011"/>
        <v>#DIV/0!</v>
      </c>
    </row>
    <row r="15">
      <c r="A15" s="9" t="s">
        <v>42</v>
      </c>
      <c r="B15" s="9" t="s">
        <v>43</v>
      </c>
      <c r="C15" s="14">
        <v>27260</v>
      </c>
      <c r="D15" s="11">
        <v>8.9388782058969483</v>
      </c>
      <c r="E15" s="12">
        <f t="shared" si="1003"/>
        <v>243673.81989275082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05"/>
        <v>27260</v>
      </c>
      <c r="K15" s="18">
        <f t="shared" si="100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08"/>
        <v>0</v>
      </c>
      <c r="S15" s="35">
        <f t="shared" si="1009"/>
        <v>0</v>
      </c>
      <c r="T15" s="35">
        <f t="shared" si="1010"/>
        <v>-27260</v>
      </c>
      <c r="U15" s="19">
        <f t="shared" si="1011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03"/>
        <v>0</v>
      </c>
      <c r="F16" s="13">
        <v>0</v>
      </c>
      <c r="G16" s="33">
        <v>0</v>
      </c>
      <c r="H16" s="13">
        <v>0</v>
      </c>
      <c r="I16" s="16">
        <f t="shared" si="1004"/>
        <v>0</v>
      </c>
      <c r="J16" s="17">
        <f t="shared" si="1005"/>
        <v>0</v>
      </c>
      <c r="K16" s="18">
        <f t="shared" ref="K16:K18" si="1012">+G16*D16</f>
        <v>0</v>
      </c>
      <c r="L16" s="19" t="e">
        <f t="shared" ref="L16:L21" si="1013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08"/>
        <v>0</v>
      </c>
      <c r="S16" s="35">
        <f t="shared" si="1009"/>
        <v>0</v>
      </c>
      <c r="T16" s="35">
        <f t="shared" si="1010"/>
        <v>0</v>
      </c>
      <c r="U16" s="19" t="e">
        <f t="shared" si="1011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03"/>
        <v>0</v>
      </c>
      <c r="F17" s="13">
        <v>0</v>
      </c>
      <c r="G17" s="33">
        <v>0</v>
      </c>
      <c r="H17" s="13">
        <v>0</v>
      </c>
      <c r="I17" s="16">
        <f t="shared" si="1004"/>
        <v>0</v>
      </c>
      <c r="J17" s="17">
        <f t="shared" si="1005"/>
        <v>0</v>
      </c>
      <c r="K17" s="18">
        <f t="shared" si="1012"/>
        <v>0</v>
      </c>
      <c r="L17" s="19" t="e">
        <f t="shared" si="1013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08"/>
        <v>0</v>
      </c>
      <c r="S17" s="35">
        <f t="shared" si="1009"/>
        <v>0</v>
      </c>
      <c r="T17" s="35">
        <f t="shared" si="1010"/>
        <v>0</v>
      </c>
      <c r="U17" s="19" t="e">
        <f t="shared" si="1011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03"/>
        <v>0</v>
      </c>
      <c r="F18" s="13">
        <v>0</v>
      </c>
      <c r="G18" s="33">
        <v>0</v>
      </c>
      <c r="H18" s="13">
        <v>0</v>
      </c>
      <c r="I18" s="16">
        <f t="shared" si="1004"/>
        <v>0</v>
      </c>
      <c r="J18" s="17">
        <f t="shared" si="1005"/>
        <v>0</v>
      </c>
      <c r="K18" s="18">
        <f t="shared" si="1012"/>
        <v>0</v>
      </c>
      <c r="L18" s="19" t="e">
        <f t="shared" si="1013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08"/>
        <v>0</v>
      </c>
      <c r="S18" s="35">
        <f t="shared" si="1009"/>
        <v>0</v>
      </c>
      <c r="T18" s="35">
        <f t="shared" si="1010"/>
        <v>0</v>
      </c>
      <c r="U18" s="19" t="e">
        <f t="shared" si="1011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03"/>
        <v>0</v>
      </c>
      <c r="F19" s="13">
        <v>0</v>
      </c>
      <c r="G19" s="13">
        <v>0</v>
      </c>
      <c r="H19" s="13">
        <v>0</v>
      </c>
      <c r="I19" s="16">
        <f t="shared" si="1004"/>
        <v>0</v>
      </c>
      <c r="J19" s="17">
        <f t="shared" si="1005"/>
        <v>0</v>
      </c>
      <c r="K19" s="18">
        <f t="shared" si="100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08"/>
        <v>0</v>
      </c>
      <c r="S19" s="35">
        <f t="shared" si="1009"/>
        <v>0</v>
      </c>
      <c r="T19" s="35">
        <f t="shared" si="1010"/>
        <v>0</v>
      </c>
      <c r="U19" s="19" t="e">
        <f t="shared" si="1011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03"/>
        <v>0</v>
      </c>
      <c r="F20" s="13">
        <v>0</v>
      </c>
      <c r="G20" s="13">
        <v>0</v>
      </c>
      <c r="H20" s="13">
        <v>0</v>
      </c>
      <c r="I20" s="16">
        <f t="shared" si="1004"/>
        <v>0</v>
      </c>
      <c r="J20" s="17">
        <f t="shared" si="1005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08"/>
        <v>0</v>
      </c>
      <c r="S20" s="35">
        <f t="shared" si="1009"/>
        <v>0</v>
      </c>
      <c r="T20" s="35">
        <f t="shared" si="1010"/>
        <v>0</v>
      </c>
      <c r="U20" s="19" t="e">
        <f t="shared" si="1011"/>
        <v>#DIV/0!</v>
      </c>
    </row>
    <row r="21" ht="16.5">
      <c r="A21" s="21" t="s">
        <v>50</v>
      </c>
      <c r="B21" s="21"/>
      <c r="C21" s="36">
        <f>SUM(C3:C20)</f>
        <v>2438896</v>
      </c>
      <c r="D21" s="23"/>
      <c r="E21" s="22">
        <f t="shared" ref="E21:H21" si="1014">SUM(E3:E20)</f>
        <v>3833523.6574145406</v>
      </c>
      <c r="F21" s="24">
        <f>SUM(F3:F20)</f>
        <v>728776</v>
      </c>
      <c r="G21" s="24">
        <f t="shared" si="1014"/>
        <v>845723</v>
      </c>
      <c r="H21" s="24">
        <f t="shared" si="1014"/>
        <v>230012</v>
      </c>
      <c r="I21" s="25">
        <f>SUM(I3:I20)</f>
        <v>958788</v>
      </c>
      <c r="J21" s="26">
        <f>SUM(J3:J20)</f>
        <v>1593173</v>
      </c>
      <c r="K21" s="26">
        <f>SUM(K3:K20)</f>
        <v>1125659.9016549918</v>
      </c>
      <c r="L21" s="27">
        <f t="shared" si="1013"/>
        <v>0.29363583017880091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08"/>
        <v>1</v>
      </c>
      <c r="S21" s="35">
        <f t="shared" si="1009"/>
        <v>1804512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1700B3-00B9-4EE6-9163-00E4009700D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7D00E5-002D-4554-ABB4-0050001A00B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AD008D-00B0-4133-8908-00DA0070003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FE0067-0007-4C27-A581-00A7006C00D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BA009C-0039-4104-AE15-0086004B009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4B0024-0044-431A-AF43-005F00EC005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880095-006F-46AF-B9AF-00E200FF00B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E20001-0001-4943-8F38-009A003C00D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13000B-0003-4CC0-85DA-00670087004C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620055-00DF-4BAE-9D71-00BA006A00F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820015-00DF-4BA6-8B1F-004A003700D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FC0040-0087-48B0-A3E4-008500AF001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10" activeCellId="0" sqref="G10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184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15">C3*D3</f>
        <v>1156951.2235352504</v>
      </c>
      <c r="F3" s="13">
        <v>148742</v>
      </c>
      <c r="G3" s="44">
        <v>111512</v>
      </c>
      <c r="H3" s="13">
        <v>0</v>
      </c>
      <c r="I3" s="16">
        <f t="shared" ref="I3:I20" si="1016">F3+H3</f>
        <v>148742</v>
      </c>
      <c r="J3" s="17">
        <f t="shared" ref="J3:J20" si="1017">C3-G3</f>
        <v>288488</v>
      </c>
      <c r="K3" s="18">
        <f t="shared" ref="K3:K19" si="1018">+G3*D3</f>
        <v>322534.86209715711</v>
      </c>
      <c r="L3" s="19">
        <f t="shared" ref="L3:L10" si="1019">K3/E3</f>
        <v>0.27877999999999997</v>
      </c>
      <c r="M3" s="34">
        <v>0</v>
      </c>
      <c r="N3" s="58">
        <v>0</v>
      </c>
      <c r="O3" s="34">
        <v>130000</v>
      </c>
      <c r="P3" s="34">
        <v>148000</v>
      </c>
      <c r="Q3" s="34">
        <v>130000</v>
      </c>
      <c r="R3" s="34">
        <f t="shared" ref="R3:R21" si="1020">M3+N3+O3+P3+Q3</f>
        <v>408000</v>
      </c>
      <c r="S3" s="35">
        <f t="shared" ref="S3:S21" si="1021">G3+I3+R3</f>
        <v>668254</v>
      </c>
      <c r="T3" s="35">
        <f t="shared" ref="T3:T20" si="1022">S3-C3</f>
        <v>268254</v>
      </c>
      <c r="U3" s="19">
        <f t="shared" ref="U3:U20" si="1023">S3/C3</f>
        <v>1.6706350000000001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15"/>
        <v>951142.07765771437</v>
      </c>
      <c r="F4" s="13">
        <v>0</v>
      </c>
      <c r="G4" s="13">
        <v>368622</v>
      </c>
      <c r="H4" s="13">
        <v>0</v>
      </c>
      <c r="I4" s="16">
        <f t="shared" si="1016"/>
        <v>0</v>
      </c>
      <c r="J4" s="17">
        <f t="shared" si="1017"/>
        <v>361378</v>
      </c>
      <c r="K4" s="18">
        <f t="shared" si="1018"/>
        <v>480290.26705526299</v>
      </c>
      <c r="L4" s="19">
        <f t="shared" si="1019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20"/>
        <v>0</v>
      </c>
      <c r="S4" s="35">
        <f t="shared" si="1021"/>
        <v>368622</v>
      </c>
      <c r="T4" s="35">
        <f t="shared" si="1022"/>
        <v>-361378</v>
      </c>
      <c r="U4" s="19">
        <f t="shared" si="1023"/>
        <v>0.50496164383561648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15"/>
        <v>0</v>
      </c>
      <c r="F5" s="13">
        <v>0</v>
      </c>
      <c r="G5" s="13">
        <v>0</v>
      </c>
      <c r="H5" s="13">
        <v>0</v>
      </c>
      <c r="I5" s="16">
        <f t="shared" si="1016"/>
        <v>0</v>
      </c>
      <c r="J5" s="17">
        <f t="shared" si="1017"/>
        <v>0</v>
      </c>
      <c r="K5" s="18">
        <f t="shared" si="101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20"/>
        <v>0</v>
      </c>
      <c r="S5" s="35">
        <f t="shared" si="1021"/>
        <v>0</v>
      </c>
      <c r="T5" s="35">
        <f t="shared" si="1022"/>
        <v>0</v>
      </c>
      <c r="U5" s="19" t="e">
        <f t="shared" si="1023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15"/>
        <v>320047.85647467524</v>
      </c>
      <c r="F6" s="13">
        <v>63727</v>
      </c>
      <c r="G6" s="44">
        <v>128814</v>
      </c>
      <c r="H6" s="44">
        <v>0</v>
      </c>
      <c r="I6" s="16">
        <f t="shared" si="1016"/>
        <v>63727</v>
      </c>
      <c r="J6" s="17">
        <f t="shared" si="1017"/>
        <v>151186</v>
      </c>
      <c r="K6" s="18">
        <f t="shared" si="1018"/>
        <v>147238.01637117434</v>
      </c>
      <c r="L6" s="19">
        <f t="shared" si="1019"/>
        <v>0.46004999999999996</v>
      </c>
      <c r="M6" s="34">
        <v>0</v>
      </c>
      <c r="N6" s="58">
        <v>0</v>
      </c>
      <c r="O6" s="34">
        <v>0</v>
      </c>
      <c r="P6" s="34">
        <v>94000</v>
      </c>
      <c r="Q6" s="34">
        <v>0</v>
      </c>
      <c r="R6" s="34">
        <f t="shared" si="1020"/>
        <v>94000</v>
      </c>
      <c r="S6" s="35">
        <f t="shared" si="1021"/>
        <v>286541</v>
      </c>
      <c r="T6" s="35">
        <f t="shared" si="1022"/>
        <v>6541</v>
      </c>
      <c r="U6" s="19">
        <f t="shared" si="1023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15"/>
        <v>205985.22317750531</v>
      </c>
      <c r="F7" s="13">
        <v>0</v>
      </c>
      <c r="G7" s="44">
        <v>178200</v>
      </c>
      <c r="H7" s="13">
        <v>0</v>
      </c>
      <c r="I7" s="16">
        <f t="shared" si="1016"/>
        <v>0</v>
      </c>
      <c r="J7" s="17">
        <f t="shared" si="1017"/>
        <v>146581</v>
      </c>
      <c r="K7" s="18">
        <f t="shared" si="1018"/>
        <v>113019.440084954</v>
      </c>
      <c r="L7" s="19">
        <f t="shared" si="1019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20"/>
        <v>522000</v>
      </c>
      <c r="S7" s="35">
        <f t="shared" si="1021"/>
        <v>700200</v>
      </c>
      <c r="T7" s="35">
        <f t="shared" si="1022"/>
        <v>375419</v>
      </c>
      <c r="U7" s="19">
        <f t="shared" si="1023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15"/>
        <v>322487.6793555622</v>
      </c>
      <c r="F8" s="44">
        <v>88548</v>
      </c>
      <c r="G8" s="13">
        <v>230012</v>
      </c>
      <c r="H8" s="44">
        <v>0</v>
      </c>
      <c r="I8" s="16">
        <f t="shared" si="1016"/>
        <v>88548</v>
      </c>
      <c r="J8" s="17">
        <f t="shared" si="1017"/>
        <v>130903</v>
      </c>
      <c r="K8" s="18">
        <f t="shared" si="1018"/>
        <v>205522.17586947503</v>
      </c>
      <c r="L8" s="19">
        <f t="shared" si="1019"/>
        <v>0.63730241192524562</v>
      </c>
      <c r="M8" s="34">
        <v>0</v>
      </c>
      <c r="N8" s="58">
        <v>0</v>
      </c>
      <c r="O8" s="34">
        <v>260000</v>
      </c>
      <c r="P8" s="34">
        <v>170000</v>
      </c>
      <c r="Q8" s="34">
        <v>0</v>
      </c>
      <c r="R8" s="34">
        <f t="shared" si="1020"/>
        <v>430000</v>
      </c>
      <c r="S8" s="35">
        <f t="shared" si="1021"/>
        <v>748560</v>
      </c>
      <c r="T8" s="35">
        <f t="shared" si="1022"/>
        <v>387645</v>
      </c>
      <c r="U8" s="19">
        <f t="shared" si="1023"/>
        <v>2.0740617596941107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15"/>
        <v>140431.72333427161</v>
      </c>
      <c r="F9" s="13">
        <v>0</v>
      </c>
      <c r="G9" s="13">
        <v>58575</v>
      </c>
      <c r="H9" s="13">
        <v>0</v>
      </c>
      <c r="I9" s="16">
        <f t="shared" si="1016"/>
        <v>0</v>
      </c>
      <c r="J9" s="17">
        <f t="shared" si="1017"/>
        <v>72875</v>
      </c>
      <c r="K9" s="18">
        <f t="shared" si="1018"/>
        <v>62577.316046443208</v>
      </c>
      <c r="L9" s="19">
        <f t="shared" si="1019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20"/>
        <v>233000</v>
      </c>
      <c r="S9" s="35">
        <f t="shared" si="1021"/>
        <v>291575</v>
      </c>
      <c r="T9" s="35">
        <f t="shared" si="1022"/>
        <v>160125</v>
      </c>
      <c r="U9" s="19">
        <f t="shared" si="1023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15"/>
        <v>1010223.8009756197</v>
      </c>
      <c r="F10" s="13">
        <v>284013</v>
      </c>
      <c r="G10" s="13">
        <v>0</v>
      </c>
      <c r="H10" s="13">
        <v>144000</v>
      </c>
      <c r="I10" s="16">
        <f t="shared" si="1016"/>
        <v>428013</v>
      </c>
      <c r="J10" s="17">
        <f t="shared" si="1017"/>
        <v>465610</v>
      </c>
      <c r="K10" s="18">
        <f t="shared" si="1018"/>
        <v>0</v>
      </c>
      <c r="L10" s="19">
        <f t="shared" si="1019"/>
        <v>0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20"/>
        <v>0</v>
      </c>
      <c r="S10" s="35">
        <f>G10+I10+R10</f>
        <v>428013</v>
      </c>
      <c r="T10" s="35">
        <f t="shared" si="1022"/>
        <v>-37597</v>
      </c>
      <c r="U10" s="19">
        <f t="shared" si="1023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15"/>
        <v>57578.986018775817</v>
      </c>
      <c r="F11" s="13">
        <v>37030</v>
      </c>
      <c r="G11" s="13">
        <v>0</v>
      </c>
      <c r="H11" s="13">
        <v>0</v>
      </c>
      <c r="I11" s="16">
        <f t="shared" si="1016"/>
        <v>37030</v>
      </c>
      <c r="J11" s="17">
        <f t="shared" si="1017"/>
        <v>37030</v>
      </c>
      <c r="K11" s="18">
        <f t="shared" si="1018"/>
        <v>0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20"/>
        <v>0</v>
      </c>
      <c r="S11" s="35">
        <f t="shared" si="1021"/>
        <v>37030</v>
      </c>
      <c r="T11" s="35">
        <f t="shared" si="1022"/>
        <v>0</v>
      </c>
      <c r="U11" s="19">
        <f t="shared" si="1023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15"/>
        <v>0</v>
      </c>
      <c r="F12" s="13">
        <v>0</v>
      </c>
      <c r="G12" s="13">
        <v>0</v>
      </c>
      <c r="H12" s="13">
        <v>0</v>
      </c>
      <c r="I12" s="16">
        <f t="shared" si="1016"/>
        <v>0</v>
      </c>
      <c r="J12" s="17">
        <f t="shared" si="101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20"/>
        <v>0</v>
      </c>
      <c r="S12" s="35">
        <f t="shared" si="1021"/>
        <v>0</v>
      </c>
      <c r="T12" s="35">
        <f t="shared" si="1022"/>
        <v>0</v>
      </c>
      <c r="U12" s="19" t="e">
        <f t="shared" si="102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15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17"/>
        <v>0</v>
      </c>
      <c r="K13" s="18">
        <f t="shared" si="101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20"/>
        <v>0</v>
      </c>
      <c r="S13" s="35">
        <f t="shared" si="1021"/>
        <v>0</v>
      </c>
      <c r="T13" s="35">
        <f t="shared" si="1022"/>
        <v>0</v>
      </c>
      <c r="U13" s="19" t="e">
        <f t="shared" si="1023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15"/>
        <v>0</v>
      </c>
      <c r="F14" s="13">
        <v>0</v>
      </c>
      <c r="G14" s="13">
        <v>0</v>
      </c>
      <c r="H14" s="13">
        <v>0</v>
      </c>
      <c r="I14" s="16">
        <f t="shared" si="1016"/>
        <v>0</v>
      </c>
      <c r="J14" s="17">
        <f t="shared" si="1017"/>
        <v>0</v>
      </c>
      <c r="K14" s="18">
        <f t="shared" si="101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20"/>
        <v>0</v>
      </c>
      <c r="S14" s="35">
        <f t="shared" si="1021"/>
        <v>0</v>
      </c>
      <c r="T14" s="35">
        <f t="shared" si="1022"/>
        <v>0</v>
      </c>
      <c r="U14" s="19" t="e">
        <f t="shared" si="1023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15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17"/>
        <v>27264</v>
      </c>
      <c r="K15" s="18">
        <f t="shared" si="101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20"/>
        <v>0</v>
      </c>
      <c r="S15" s="35">
        <f t="shared" si="1021"/>
        <v>0</v>
      </c>
      <c r="T15" s="35">
        <f t="shared" si="1022"/>
        <v>-27264</v>
      </c>
      <c r="U15" s="19">
        <f t="shared" si="1023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15"/>
        <v>0</v>
      </c>
      <c r="F16" s="13">
        <v>0</v>
      </c>
      <c r="G16" s="33">
        <v>0</v>
      </c>
      <c r="H16" s="13">
        <v>0</v>
      </c>
      <c r="I16" s="16">
        <f t="shared" si="1016"/>
        <v>0</v>
      </c>
      <c r="J16" s="17">
        <f t="shared" si="1017"/>
        <v>0</v>
      </c>
      <c r="K16" s="18">
        <f t="shared" ref="K16:K18" si="1024">+G16*D16</f>
        <v>0</v>
      </c>
      <c r="L16" s="19" t="e">
        <f t="shared" ref="L16:L21" si="1025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20"/>
        <v>0</v>
      </c>
      <c r="S16" s="35">
        <f t="shared" si="1021"/>
        <v>0</v>
      </c>
      <c r="T16" s="35">
        <f t="shared" si="1022"/>
        <v>0</v>
      </c>
      <c r="U16" s="19" t="e">
        <f t="shared" si="1023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15"/>
        <v>0</v>
      </c>
      <c r="F17" s="13">
        <v>0</v>
      </c>
      <c r="G17" s="33">
        <v>0</v>
      </c>
      <c r="H17" s="13">
        <v>0</v>
      </c>
      <c r="I17" s="16">
        <f t="shared" si="1016"/>
        <v>0</v>
      </c>
      <c r="J17" s="17">
        <f t="shared" si="1017"/>
        <v>0</v>
      </c>
      <c r="K17" s="18">
        <f t="shared" si="1024"/>
        <v>0</v>
      </c>
      <c r="L17" s="19" t="e">
        <f t="shared" si="102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20"/>
        <v>0</v>
      </c>
      <c r="S17" s="35">
        <f t="shared" si="1021"/>
        <v>0</v>
      </c>
      <c r="T17" s="35">
        <f t="shared" si="1022"/>
        <v>0</v>
      </c>
      <c r="U17" s="19" t="e">
        <f t="shared" si="1023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15"/>
        <v>0</v>
      </c>
      <c r="F18" s="13">
        <v>0</v>
      </c>
      <c r="G18" s="33">
        <v>0</v>
      </c>
      <c r="H18" s="13">
        <v>0</v>
      </c>
      <c r="I18" s="16">
        <f t="shared" si="1016"/>
        <v>0</v>
      </c>
      <c r="J18" s="17">
        <f t="shared" si="1017"/>
        <v>0</v>
      </c>
      <c r="K18" s="18">
        <f t="shared" si="1024"/>
        <v>0</v>
      </c>
      <c r="L18" s="19" t="e">
        <f t="shared" si="1025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20"/>
        <v>0</v>
      </c>
      <c r="S18" s="35">
        <f t="shared" si="1021"/>
        <v>0</v>
      </c>
      <c r="T18" s="35">
        <f t="shared" si="1022"/>
        <v>0</v>
      </c>
      <c r="U18" s="19" t="e">
        <f t="shared" si="1023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15"/>
        <v>0</v>
      </c>
      <c r="F19" s="13">
        <v>0</v>
      </c>
      <c r="G19" s="13">
        <v>0</v>
      </c>
      <c r="H19" s="13">
        <v>0</v>
      </c>
      <c r="I19" s="16">
        <f t="shared" si="1016"/>
        <v>0</v>
      </c>
      <c r="J19" s="17">
        <f t="shared" si="1017"/>
        <v>0</v>
      </c>
      <c r="K19" s="18">
        <f t="shared" si="101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20"/>
        <v>0</v>
      </c>
      <c r="S19" s="35">
        <f t="shared" si="1021"/>
        <v>0</v>
      </c>
      <c r="T19" s="35">
        <f t="shared" si="1022"/>
        <v>0</v>
      </c>
      <c r="U19" s="19" t="e">
        <f t="shared" si="1023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15"/>
        <v>0</v>
      </c>
      <c r="F20" s="13">
        <v>0</v>
      </c>
      <c r="G20" s="13">
        <v>0</v>
      </c>
      <c r="H20" s="13">
        <v>0</v>
      </c>
      <c r="I20" s="16">
        <f t="shared" si="1016"/>
        <v>0</v>
      </c>
      <c r="J20" s="17">
        <f t="shared" si="1017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20"/>
        <v>0</v>
      </c>
      <c r="S20" s="35">
        <f t="shared" si="1021"/>
        <v>0</v>
      </c>
      <c r="T20" s="35">
        <f t="shared" si="1022"/>
        <v>0</v>
      </c>
      <c r="U20" s="19" t="e">
        <f t="shared" si="1023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26">SUM(E3:E20)</f>
        <v>4408558.1459349487</v>
      </c>
      <c r="F21" s="24">
        <f>SUM(F3:F20)</f>
        <v>622060</v>
      </c>
      <c r="G21" s="24">
        <f t="shared" si="1026"/>
        <v>1075735</v>
      </c>
      <c r="H21" s="24">
        <f t="shared" si="1026"/>
        <v>144000</v>
      </c>
      <c r="I21" s="25">
        <f>SUM(I3:I20)</f>
        <v>766060</v>
      </c>
      <c r="J21" s="26">
        <f>SUM(J3:J20)</f>
        <v>1681315</v>
      </c>
      <c r="K21" s="26">
        <f>SUM(K3:K20)</f>
        <v>1331182.0775244669</v>
      </c>
      <c r="L21" s="27">
        <f t="shared" si="1025"/>
        <v>0.30195407057337459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20"/>
        <v>1</v>
      </c>
      <c r="S21" s="35">
        <f t="shared" si="1021"/>
        <v>1841796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9B00E2-0057-49AB-B792-004C00A7000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5A00D2-00FA-417C-A222-00A5009D00C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16005A-00FC-48FB-8FA0-00E7001C003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750057-00B5-4C66-9420-007400DF00A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BC00A2-0026-40FB-9618-004400A3005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720099-00FE-4941-AB50-002C004700C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27002B-00A4-487C-AF71-004A0080001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B1005F-00D9-4C54-AABE-0082009F008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8D0034-005B-43C9-8041-00B800A3007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780056-0066-465E-9556-00CC006000A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C8008A-00B8-4D44-B556-008D00A000E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3005D-0011-4CE6-8212-00B2000D005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F25" activeCellId="0" sqref="F25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185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27">C3*D3</f>
        <v>1156951.2235352504</v>
      </c>
      <c r="F3" s="13">
        <v>111521</v>
      </c>
      <c r="G3" s="44">
        <v>111512</v>
      </c>
      <c r="H3" s="13">
        <v>111458</v>
      </c>
      <c r="I3" s="16">
        <f t="shared" ref="I3:I20" si="1028">F3+H3</f>
        <v>222979</v>
      </c>
      <c r="J3" s="17">
        <f t="shared" ref="J3:J20" si="1029">C3-G3</f>
        <v>288488</v>
      </c>
      <c r="K3" s="18">
        <f t="shared" ref="K3:K19" si="1030">+G3*D3</f>
        <v>322534.86209715711</v>
      </c>
      <c r="L3" s="19">
        <f t="shared" ref="L3:L10" si="1031">K3/E3</f>
        <v>0.27877999999999997</v>
      </c>
      <c r="M3" s="34">
        <v>0</v>
      </c>
      <c r="N3" s="58">
        <v>0</v>
      </c>
      <c r="O3" s="34">
        <v>130000</v>
      </c>
      <c r="P3" s="34">
        <v>148000</v>
      </c>
      <c r="Q3" s="34">
        <v>130000</v>
      </c>
      <c r="R3" s="34">
        <f t="shared" ref="R3:R21" si="1032">M3+N3+O3+P3+Q3</f>
        <v>408000</v>
      </c>
      <c r="S3" s="35">
        <f t="shared" ref="S3:S21" si="1033">G3+I3+R3</f>
        <v>742491</v>
      </c>
      <c r="T3" s="35">
        <f t="shared" ref="T3:T20" si="1034">S3-C3</f>
        <v>342491</v>
      </c>
      <c r="U3" s="19">
        <f t="shared" ref="U3:U20" si="1035">S3/C3</f>
        <v>1.8562274999999999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27"/>
        <v>951142.07765771437</v>
      </c>
      <c r="F4" s="13">
        <v>0</v>
      </c>
      <c r="G4" s="13">
        <v>368622</v>
      </c>
      <c r="H4" s="13">
        <v>0</v>
      </c>
      <c r="I4" s="16">
        <f t="shared" si="1028"/>
        <v>0</v>
      </c>
      <c r="J4" s="17">
        <f t="shared" si="1029"/>
        <v>361378</v>
      </c>
      <c r="K4" s="18">
        <f t="shared" si="1030"/>
        <v>480290.26705526299</v>
      </c>
      <c r="L4" s="19">
        <f t="shared" si="1031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32"/>
        <v>0</v>
      </c>
      <c r="S4" s="35">
        <f t="shared" si="1033"/>
        <v>368622</v>
      </c>
      <c r="T4" s="35">
        <f t="shared" si="1034"/>
        <v>-361378</v>
      </c>
      <c r="U4" s="19">
        <f t="shared" si="1035"/>
        <v>0.50496164383561648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27"/>
        <v>0</v>
      </c>
      <c r="F5" s="13">
        <v>0</v>
      </c>
      <c r="G5" s="13">
        <v>0</v>
      </c>
      <c r="H5" s="13">
        <v>0</v>
      </c>
      <c r="I5" s="16">
        <f t="shared" si="1028"/>
        <v>0</v>
      </c>
      <c r="J5" s="17">
        <f t="shared" si="1029"/>
        <v>0</v>
      </c>
      <c r="K5" s="18">
        <f t="shared" si="103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32"/>
        <v>0</v>
      </c>
      <c r="S5" s="35">
        <f t="shared" si="1033"/>
        <v>0</v>
      </c>
      <c r="T5" s="35">
        <f t="shared" si="1034"/>
        <v>0</v>
      </c>
      <c r="U5" s="19" t="e">
        <f t="shared" si="1035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27"/>
        <v>320047.85647467524</v>
      </c>
      <c r="F6" s="13">
        <v>0</v>
      </c>
      <c r="G6" s="44">
        <v>128814</v>
      </c>
      <c r="H6" s="44">
        <v>63727</v>
      </c>
      <c r="I6" s="16">
        <f t="shared" si="1028"/>
        <v>63727</v>
      </c>
      <c r="J6" s="17">
        <f t="shared" si="1029"/>
        <v>151186</v>
      </c>
      <c r="K6" s="18">
        <f t="shared" si="1030"/>
        <v>147238.01637117434</v>
      </c>
      <c r="L6" s="19">
        <f t="shared" si="1031"/>
        <v>0.46004999999999996</v>
      </c>
      <c r="M6" s="34">
        <v>0</v>
      </c>
      <c r="N6" s="58">
        <v>0</v>
      </c>
      <c r="O6" s="34">
        <v>0</v>
      </c>
      <c r="P6" s="34">
        <v>94000</v>
      </c>
      <c r="Q6" s="34">
        <v>0</v>
      </c>
      <c r="R6" s="34">
        <f t="shared" si="1032"/>
        <v>94000</v>
      </c>
      <c r="S6" s="35">
        <f t="shared" si="1033"/>
        <v>286541</v>
      </c>
      <c r="T6" s="35">
        <f t="shared" si="1034"/>
        <v>6541</v>
      </c>
      <c r="U6" s="19">
        <f t="shared" si="1035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27"/>
        <v>205985.22317750531</v>
      </c>
      <c r="F7" s="13">
        <v>0</v>
      </c>
      <c r="G7" s="44">
        <v>178200</v>
      </c>
      <c r="H7" s="13">
        <v>0</v>
      </c>
      <c r="I7" s="16">
        <f t="shared" si="1028"/>
        <v>0</v>
      </c>
      <c r="J7" s="17">
        <f t="shared" si="1029"/>
        <v>146581</v>
      </c>
      <c r="K7" s="18">
        <f t="shared" si="1030"/>
        <v>113019.440084954</v>
      </c>
      <c r="L7" s="19">
        <f t="shared" si="1031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32"/>
        <v>522000</v>
      </c>
      <c r="S7" s="35">
        <f t="shared" si="1033"/>
        <v>700200</v>
      </c>
      <c r="T7" s="35">
        <f t="shared" si="1034"/>
        <v>375419</v>
      </c>
      <c r="U7" s="19">
        <f t="shared" si="1035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27"/>
        <v>322487.6793555622</v>
      </c>
      <c r="F8" s="44">
        <v>0</v>
      </c>
      <c r="G8" s="13">
        <v>230012</v>
      </c>
      <c r="H8" s="44">
        <v>88551</v>
      </c>
      <c r="I8" s="16">
        <f t="shared" si="1028"/>
        <v>88551</v>
      </c>
      <c r="J8" s="17">
        <f t="shared" si="1029"/>
        <v>130903</v>
      </c>
      <c r="K8" s="18">
        <f t="shared" si="1030"/>
        <v>205522.17586947503</v>
      </c>
      <c r="L8" s="19">
        <f t="shared" si="1031"/>
        <v>0.63730241192524562</v>
      </c>
      <c r="M8" s="34">
        <v>0</v>
      </c>
      <c r="N8" s="58">
        <v>0</v>
      </c>
      <c r="O8" s="34">
        <v>260000</v>
      </c>
      <c r="P8" s="34">
        <v>170000</v>
      </c>
      <c r="Q8" s="34">
        <v>0</v>
      </c>
      <c r="R8" s="34">
        <f t="shared" si="1032"/>
        <v>430000</v>
      </c>
      <c r="S8" s="35">
        <f t="shared" si="1033"/>
        <v>748563</v>
      </c>
      <c r="T8" s="35">
        <f t="shared" si="1034"/>
        <v>387648</v>
      </c>
      <c r="U8" s="19">
        <f t="shared" si="1035"/>
        <v>2.0740700719005862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27"/>
        <v>140431.72333427161</v>
      </c>
      <c r="F9" s="13">
        <v>0</v>
      </c>
      <c r="G9" s="13">
        <v>58575</v>
      </c>
      <c r="H9" s="13">
        <v>0</v>
      </c>
      <c r="I9" s="16">
        <f t="shared" si="1028"/>
        <v>0</v>
      </c>
      <c r="J9" s="17">
        <f t="shared" si="1029"/>
        <v>72875</v>
      </c>
      <c r="K9" s="18">
        <f t="shared" si="1030"/>
        <v>62577.316046443208</v>
      </c>
      <c r="L9" s="19">
        <f t="shared" si="1031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32"/>
        <v>233000</v>
      </c>
      <c r="S9" s="35">
        <f t="shared" si="1033"/>
        <v>291575</v>
      </c>
      <c r="T9" s="35">
        <f t="shared" si="1034"/>
        <v>160125</v>
      </c>
      <c r="U9" s="19">
        <f t="shared" si="1035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27"/>
        <v>1010223.8009756197</v>
      </c>
      <c r="F10" s="13">
        <v>0</v>
      </c>
      <c r="G10" s="13">
        <v>144000</v>
      </c>
      <c r="H10" s="13">
        <v>284013</v>
      </c>
      <c r="I10" s="16">
        <f t="shared" si="1028"/>
        <v>284013</v>
      </c>
      <c r="J10" s="17">
        <f t="shared" si="1029"/>
        <v>321610</v>
      </c>
      <c r="K10" s="18">
        <f t="shared" si="1030"/>
        <v>312433.64047269011</v>
      </c>
      <c r="L10" s="19">
        <f t="shared" si="1031"/>
        <v>0.3092717080818711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32"/>
        <v>0</v>
      </c>
      <c r="S10" s="35">
        <f>G10+I10+R10</f>
        <v>428013</v>
      </c>
      <c r="T10" s="35">
        <f t="shared" si="1034"/>
        <v>-37597</v>
      </c>
      <c r="U10" s="19">
        <f t="shared" si="1035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27"/>
        <v>57578.986018775817</v>
      </c>
      <c r="F11" s="13">
        <v>0</v>
      </c>
      <c r="G11" s="13">
        <v>0</v>
      </c>
      <c r="H11" s="13">
        <v>37030</v>
      </c>
      <c r="I11" s="16">
        <f t="shared" si="1028"/>
        <v>37030</v>
      </c>
      <c r="J11" s="17">
        <f t="shared" si="1029"/>
        <v>37030</v>
      </c>
      <c r="K11" s="18">
        <f t="shared" si="1030"/>
        <v>0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32"/>
        <v>0</v>
      </c>
      <c r="S11" s="35">
        <f t="shared" si="1033"/>
        <v>37030</v>
      </c>
      <c r="T11" s="35">
        <f t="shared" si="1034"/>
        <v>0</v>
      </c>
      <c r="U11" s="19">
        <f t="shared" si="1035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27"/>
        <v>0</v>
      </c>
      <c r="F12" s="13">
        <v>0</v>
      </c>
      <c r="G12" s="13">
        <v>0</v>
      </c>
      <c r="H12" s="13">
        <v>0</v>
      </c>
      <c r="I12" s="16">
        <f t="shared" si="1028"/>
        <v>0</v>
      </c>
      <c r="J12" s="17">
        <f t="shared" si="102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32"/>
        <v>0</v>
      </c>
      <c r="S12" s="35">
        <f t="shared" si="1033"/>
        <v>0</v>
      </c>
      <c r="T12" s="35">
        <f t="shared" si="1034"/>
        <v>0</v>
      </c>
      <c r="U12" s="19" t="e">
        <f t="shared" si="1035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27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29"/>
        <v>0</v>
      </c>
      <c r="K13" s="18">
        <f t="shared" si="103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32"/>
        <v>0</v>
      </c>
      <c r="S13" s="35">
        <f t="shared" si="1033"/>
        <v>0</v>
      </c>
      <c r="T13" s="35">
        <f t="shared" si="1034"/>
        <v>0</v>
      </c>
      <c r="U13" s="19" t="e">
        <f t="shared" si="1035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27"/>
        <v>0</v>
      </c>
      <c r="F14" s="13">
        <v>0</v>
      </c>
      <c r="G14" s="13">
        <v>0</v>
      </c>
      <c r="H14" s="13">
        <v>0</v>
      </c>
      <c r="I14" s="16">
        <f t="shared" si="1028"/>
        <v>0</v>
      </c>
      <c r="J14" s="17">
        <f t="shared" si="1029"/>
        <v>0</v>
      </c>
      <c r="K14" s="18">
        <f t="shared" si="103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32"/>
        <v>0</v>
      </c>
      <c r="S14" s="35">
        <f t="shared" si="1033"/>
        <v>0</v>
      </c>
      <c r="T14" s="35">
        <f t="shared" si="1034"/>
        <v>0</v>
      </c>
      <c r="U14" s="19" t="e">
        <f t="shared" si="1035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27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29"/>
        <v>27264</v>
      </c>
      <c r="K15" s="18">
        <f t="shared" si="103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32"/>
        <v>0</v>
      </c>
      <c r="S15" s="35">
        <f t="shared" si="1033"/>
        <v>0</v>
      </c>
      <c r="T15" s="35">
        <f t="shared" si="1034"/>
        <v>-27264</v>
      </c>
      <c r="U15" s="19">
        <f t="shared" si="1035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27"/>
        <v>0</v>
      </c>
      <c r="F16" s="13">
        <v>0</v>
      </c>
      <c r="G16" s="33">
        <v>0</v>
      </c>
      <c r="H16" s="13">
        <v>0</v>
      </c>
      <c r="I16" s="16">
        <f t="shared" si="1028"/>
        <v>0</v>
      </c>
      <c r="J16" s="17">
        <f t="shared" si="1029"/>
        <v>0</v>
      </c>
      <c r="K16" s="18">
        <f t="shared" ref="K16:K18" si="1036">+G16*D16</f>
        <v>0</v>
      </c>
      <c r="L16" s="19" t="e">
        <f t="shared" ref="L16:L21" si="1037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32"/>
        <v>0</v>
      </c>
      <c r="S16" s="35">
        <f t="shared" si="1033"/>
        <v>0</v>
      </c>
      <c r="T16" s="35">
        <f t="shared" si="1034"/>
        <v>0</v>
      </c>
      <c r="U16" s="19" t="e">
        <f t="shared" si="1035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27"/>
        <v>0</v>
      </c>
      <c r="F17" s="13">
        <v>0</v>
      </c>
      <c r="G17" s="33">
        <v>0</v>
      </c>
      <c r="H17" s="13">
        <v>0</v>
      </c>
      <c r="I17" s="16">
        <f t="shared" si="1028"/>
        <v>0</v>
      </c>
      <c r="J17" s="17">
        <f t="shared" si="1029"/>
        <v>0</v>
      </c>
      <c r="K17" s="18">
        <f t="shared" si="1036"/>
        <v>0</v>
      </c>
      <c r="L17" s="19" t="e">
        <f t="shared" si="1037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32"/>
        <v>0</v>
      </c>
      <c r="S17" s="35">
        <f t="shared" si="1033"/>
        <v>0</v>
      </c>
      <c r="T17" s="35">
        <f t="shared" si="1034"/>
        <v>0</v>
      </c>
      <c r="U17" s="19" t="e">
        <f t="shared" si="1035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27"/>
        <v>0</v>
      </c>
      <c r="F18" s="13">
        <v>0</v>
      </c>
      <c r="G18" s="33">
        <v>0</v>
      </c>
      <c r="H18" s="13">
        <v>0</v>
      </c>
      <c r="I18" s="16">
        <f t="shared" si="1028"/>
        <v>0</v>
      </c>
      <c r="J18" s="17">
        <f t="shared" si="1029"/>
        <v>0</v>
      </c>
      <c r="K18" s="18">
        <f t="shared" si="1036"/>
        <v>0</v>
      </c>
      <c r="L18" s="19" t="e">
        <f t="shared" si="1037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32"/>
        <v>0</v>
      </c>
      <c r="S18" s="35">
        <f t="shared" si="1033"/>
        <v>0</v>
      </c>
      <c r="T18" s="35">
        <f t="shared" si="1034"/>
        <v>0</v>
      </c>
      <c r="U18" s="19" t="e">
        <f t="shared" si="1035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27"/>
        <v>0</v>
      </c>
      <c r="F19" s="13">
        <v>0</v>
      </c>
      <c r="G19" s="13">
        <v>0</v>
      </c>
      <c r="H19" s="13">
        <v>0</v>
      </c>
      <c r="I19" s="16">
        <f t="shared" si="1028"/>
        <v>0</v>
      </c>
      <c r="J19" s="17">
        <f t="shared" si="1029"/>
        <v>0</v>
      </c>
      <c r="K19" s="18">
        <f t="shared" si="103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32"/>
        <v>0</v>
      </c>
      <c r="S19" s="35">
        <f t="shared" si="1033"/>
        <v>0</v>
      </c>
      <c r="T19" s="35">
        <f t="shared" si="1034"/>
        <v>0</v>
      </c>
      <c r="U19" s="19" t="e">
        <f t="shared" si="1035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27"/>
        <v>0</v>
      </c>
      <c r="F20" s="13">
        <v>0</v>
      </c>
      <c r="G20" s="13">
        <v>0</v>
      </c>
      <c r="H20" s="13">
        <v>0</v>
      </c>
      <c r="I20" s="16">
        <f t="shared" si="1028"/>
        <v>0</v>
      </c>
      <c r="J20" s="17">
        <f t="shared" si="1029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32"/>
        <v>0</v>
      </c>
      <c r="S20" s="35">
        <f t="shared" si="1033"/>
        <v>0</v>
      </c>
      <c r="T20" s="35">
        <f t="shared" si="1034"/>
        <v>0</v>
      </c>
      <c r="U20" s="19" t="e">
        <f t="shared" si="1035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38">SUM(E3:E20)</f>
        <v>4408558.1459349487</v>
      </c>
      <c r="F21" s="24">
        <f>SUM(F3:F20)</f>
        <v>111521</v>
      </c>
      <c r="G21" s="24">
        <f t="shared" si="1038"/>
        <v>1219735</v>
      </c>
      <c r="H21" s="24">
        <f t="shared" si="1038"/>
        <v>584779</v>
      </c>
      <c r="I21" s="25">
        <f>SUM(I3:I20)</f>
        <v>696300</v>
      </c>
      <c r="J21" s="26">
        <f>SUM(J3:J20)</f>
        <v>1537315</v>
      </c>
      <c r="K21" s="26">
        <f>SUM(K3:K20)</f>
        <v>1643615.717997157</v>
      </c>
      <c r="L21" s="27">
        <f t="shared" si="1037"/>
        <v>0.37282387202099287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32"/>
        <v>1</v>
      </c>
      <c r="S21" s="35">
        <f t="shared" si="1033"/>
        <v>1916036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13000A-0010-4571-8E47-00DB001600B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230047-004E-4D3D-A8FC-00F700D70070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E500FB-0011-4D8D-AF08-008600D500E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720068-00EF-49BE-AC6C-009200AD001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C4008A-00FA-4953-93F7-00EF0043000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BE0031-00DA-4FCF-AB73-0093008100D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E70022-00EC-4BC9-BF14-00F100B800A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A900C9-0053-4EA4-BEE0-00EB00B4009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8300AE-00AA-43B2-8856-002000B8009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CB00B9-00C3-4E1C-98E3-00910041002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F002B-002B-4696-88F2-000800AA007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01002D-004F-456A-A883-0086001600DF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7" activeCellId="0" sqref="J27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186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39">C3*D3</f>
        <v>1156951.2235352504</v>
      </c>
      <c r="F3" s="13">
        <v>111521</v>
      </c>
      <c r="G3" s="44">
        <v>222970</v>
      </c>
      <c r="H3" s="13">
        <v>0</v>
      </c>
      <c r="I3" s="16">
        <f t="shared" ref="I3:I20" si="1040">F3+H3</f>
        <v>111521</v>
      </c>
      <c r="J3" s="17">
        <f t="shared" ref="J3:J20" si="1041">C3-G3</f>
        <v>177030</v>
      </c>
      <c r="K3" s="18">
        <f t="shared" ref="K3:K19" si="1042">+G3*D3</f>
        <v>644913.53577913693</v>
      </c>
      <c r="L3" s="19">
        <f t="shared" ref="L3:L10" si="1043">K3/E3</f>
        <v>0.55742499999999995</v>
      </c>
      <c r="M3" s="34">
        <v>0</v>
      </c>
      <c r="N3" s="58">
        <v>0</v>
      </c>
      <c r="O3" s="34">
        <v>130000</v>
      </c>
      <c r="P3" s="34">
        <v>148000</v>
      </c>
      <c r="Q3" s="34">
        <v>130000</v>
      </c>
      <c r="R3" s="34">
        <f t="shared" ref="R3:R21" si="1044">M3+N3+O3+P3+Q3</f>
        <v>408000</v>
      </c>
      <c r="S3" s="35">
        <f t="shared" ref="S3:S21" si="1045">G3+I3+R3</f>
        <v>742491</v>
      </c>
      <c r="T3" s="35">
        <f t="shared" ref="T3:T20" si="1046">S3-C3</f>
        <v>342491</v>
      </c>
      <c r="U3" s="19">
        <f t="shared" ref="U3:U20" si="1047">S3/C3</f>
        <v>1.8562274999999999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39"/>
        <v>951142.07765771437</v>
      </c>
      <c r="F4" s="13">
        <v>0</v>
      </c>
      <c r="G4" s="13">
        <v>368622</v>
      </c>
      <c r="H4" s="13">
        <v>0</v>
      </c>
      <c r="I4" s="16">
        <f t="shared" si="1040"/>
        <v>0</v>
      </c>
      <c r="J4" s="17">
        <f t="shared" si="1041"/>
        <v>361378</v>
      </c>
      <c r="K4" s="18">
        <f t="shared" si="1042"/>
        <v>480290.26705526299</v>
      </c>
      <c r="L4" s="19">
        <f t="shared" si="1043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44"/>
        <v>0</v>
      </c>
      <c r="S4" s="35">
        <f t="shared" si="1045"/>
        <v>368622</v>
      </c>
      <c r="T4" s="35">
        <f t="shared" si="1046"/>
        <v>-361378</v>
      </c>
      <c r="U4" s="19">
        <f t="shared" si="1047"/>
        <v>0.50496164383561648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39"/>
        <v>0</v>
      </c>
      <c r="F5" s="13">
        <v>0</v>
      </c>
      <c r="G5" s="13">
        <v>0</v>
      </c>
      <c r="H5" s="13">
        <v>0</v>
      </c>
      <c r="I5" s="16">
        <f t="shared" si="1040"/>
        <v>0</v>
      </c>
      <c r="J5" s="17">
        <f t="shared" si="1041"/>
        <v>0</v>
      </c>
      <c r="K5" s="18">
        <f t="shared" si="1042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44"/>
        <v>0</v>
      </c>
      <c r="S5" s="35">
        <f t="shared" si="1045"/>
        <v>0</v>
      </c>
      <c r="T5" s="35">
        <f t="shared" si="1046"/>
        <v>0</v>
      </c>
      <c r="U5" s="19" t="e">
        <f t="shared" si="1047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39"/>
        <v>320047.85647467524</v>
      </c>
      <c r="F6" s="13">
        <v>0</v>
      </c>
      <c r="G6" s="44">
        <v>192541</v>
      </c>
      <c r="H6" s="44">
        <v>0</v>
      </c>
      <c r="I6" s="16">
        <f t="shared" si="1040"/>
        <v>0</v>
      </c>
      <c r="J6" s="17">
        <f t="shared" si="1041"/>
        <v>87459</v>
      </c>
      <c r="K6" s="18">
        <f t="shared" si="1042"/>
        <v>220079.76547675158</v>
      </c>
      <c r="L6" s="19">
        <f t="shared" si="1043"/>
        <v>0.68764642857142855</v>
      </c>
      <c r="M6" s="34">
        <v>0</v>
      </c>
      <c r="N6" s="58">
        <v>0</v>
      </c>
      <c r="O6" s="34">
        <v>0</v>
      </c>
      <c r="P6" s="34">
        <v>94000</v>
      </c>
      <c r="Q6" s="34">
        <v>0</v>
      </c>
      <c r="R6" s="34">
        <f t="shared" si="1044"/>
        <v>94000</v>
      </c>
      <c r="S6" s="35">
        <f t="shared" si="1045"/>
        <v>286541</v>
      </c>
      <c r="T6" s="35">
        <f t="shared" si="1046"/>
        <v>6541</v>
      </c>
      <c r="U6" s="19">
        <f t="shared" si="1047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39"/>
        <v>205985.22317750531</v>
      </c>
      <c r="F7" s="13">
        <v>0</v>
      </c>
      <c r="G7" s="44">
        <v>178200</v>
      </c>
      <c r="H7" s="13">
        <v>0</v>
      </c>
      <c r="I7" s="16">
        <f t="shared" si="1040"/>
        <v>0</v>
      </c>
      <c r="J7" s="17">
        <f t="shared" si="1041"/>
        <v>146581</v>
      </c>
      <c r="K7" s="18">
        <f t="shared" si="1042"/>
        <v>113019.440084954</v>
      </c>
      <c r="L7" s="19">
        <f t="shared" si="1043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44"/>
        <v>522000</v>
      </c>
      <c r="S7" s="35">
        <f t="shared" si="1045"/>
        <v>700200</v>
      </c>
      <c r="T7" s="35">
        <f t="shared" si="1046"/>
        <v>375419</v>
      </c>
      <c r="U7" s="19">
        <f t="shared" si="1047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39"/>
        <v>322487.6793555622</v>
      </c>
      <c r="F8" s="44">
        <v>0</v>
      </c>
      <c r="G8" s="13">
        <v>318563</v>
      </c>
      <c r="H8" s="44">
        <v>0</v>
      </c>
      <c r="I8" s="16">
        <f t="shared" si="1040"/>
        <v>0</v>
      </c>
      <c r="J8" s="17">
        <f t="shared" si="1041"/>
        <v>42352</v>
      </c>
      <c r="K8" s="18">
        <f t="shared" si="1042"/>
        <v>284644.97900764993</v>
      </c>
      <c r="L8" s="19">
        <f t="shared" si="1043"/>
        <v>0.88265381045398517</v>
      </c>
      <c r="M8" s="34">
        <v>0</v>
      </c>
      <c r="N8" s="58">
        <v>0</v>
      </c>
      <c r="O8" s="34">
        <v>260000</v>
      </c>
      <c r="P8" s="34">
        <v>170000</v>
      </c>
      <c r="Q8" s="34">
        <v>0</v>
      </c>
      <c r="R8" s="34">
        <f t="shared" si="1044"/>
        <v>430000</v>
      </c>
      <c r="S8" s="35">
        <f t="shared" si="1045"/>
        <v>748563</v>
      </c>
      <c r="T8" s="35">
        <f t="shared" si="1046"/>
        <v>387648</v>
      </c>
      <c r="U8" s="19">
        <f t="shared" si="1047"/>
        <v>2.0740700719005862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39"/>
        <v>140431.72333427161</v>
      </c>
      <c r="F9" s="13">
        <v>0</v>
      </c>
      <c r="G9" s="13">
        <v>58575</v>
      </c>
      <c r="H9" s="13">
        <v>0</v>
      </c>
      <c r="I9" s="16">
        <f t="shared" si="1040"/>
        <v>0</v>
      </c>
      <c r="J9" s="17">
        <f t="shared" si="1041"/>
        <v>72875</v>
      </c>
      <c r="K9" s="18">
        <f t="shared" si="1042"/>
        <v>62577.316046443208</v>
      </c>
      <c r="L9" s="19">
        <f t="shared" si="1043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44"/>
        <v>233000</v>
      </c>
      <c r="S9" s="35">
        <f t="shared" si="1045"/>
        <v>291575</v>
      </c>
      <c r="T9" s="35">
        <f t="shared" si="1046"/>
        <v>160125</v>
      </c>
      <c r="U9" s="19">
        <f t="shared" si="1047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39"/>
        <v>1010223.8009756197</v>
      </c>
      <c r="F10" s="13">
        <v>0</v>
      </c>
      <c r="G10" s="13">
        <v>144000</v>
      </c>
      <c r="H10" s="13">
        <v>284013</v>
      </c>
      <c r="I10" s="16">
        <f t="shared" si="1040"/>
        <v>284013</v>
      </c>
      <c r="J10" s="17">
        <f t="shared" si="1041"/>
        <v>321610</v>
      </c>
      <c r="K10" s="18">
        <f t="shared" si="1042"/>
        <v>312433.64047269011</v>
      </c>
      <c r="L10" s="19">
        <f t="shared" si="1043"/>
        <v>0.3092717080818711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44"/>
        <v>0</v>
      </c>
      <c r="S10" s="35">
        <f>G10+I10+R10</f>
        <v>428013</v>
      </c>
      <c r="T10" s="35">
        <f t="shared" si="1046"/>
        <v>-37597</v>
      </c>
      <c r="U10" s="19">
        <f t="shared" si="1047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39"/>
        <v>57578.986018775817</v>
      </c>
      <c r="F11" s="13">
        <v>0</v>
      </c>
      <c r="G11" s="13">
        <v>37030</v>
      </c>
      <c r="H11" s="13">
        <v>0</v>
      </c>
      <c r="I11" s="16">
        <f t="shared" si="1040"/>
        <v>0</v>
      </c>
      <c r="J11" s="17">
        <f t="shared" si="1041"/>
        <v>0</v>
      </c>
      <c r="K11" s="18">
        <f t="shared" si="1042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44"/>
        <v>0</v>
      </c>
      <c r="S11" s="35">
        <f t="shared" si="1045"/>
        <v>37030</v>
      </c>
      <c r="T11" s="35">
        <f t="shared" si="1046"/>
        <v>0</v>
      </c>
      <c r="U11" s="19">
        <f t="shared" si="1047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39"/>
        <v>0</v>
      </c>
      <c r="F12" s="13">
        <v>0</v>
      </c>
      <c r="G12" s="13">
        <v>0</v>
      </c>
      <c r="H12" s="13">
        <v>0</v>
      </c>
      <c r="I12" s="16">
        <f t="shared" si="1040"/>
        <v>0</v>
      </c>
      <c r="J12" s="17">
        <f t="shared" si="1041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44"/>
        <v>0</v>
      </c>
      <c r="S12" s="35">
        <f t="shared" si="1045"/>
        <v>0</v>
      </c>
      <c r="T12" s="35">
        <f t="shared" si="1046"/>
        <v>0</v>
      </c>
      <c r="U12" s="19" t="e">
        <f t="shared" si="1047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39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41"/>
        <v>0</v>
      </c>
      <c r="K13" s="18">
        <f t="shared" si="1042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44"/>
        <v>0</v>
      </c>
      <c r="S13" s="35">
        <f t="shared" si="1045"/>
        <v>0</v>
      </c>
      <c r="T13" s="35">
        <f t="shared" si="1046"/>
        <v>0</v>
      </c>
      <c r="U13" s="19" t="e">
        <f t="shared" si="1047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39"/>
        <v>0</v>
      </c>
      <c r="F14" s="13">
        <v>0</v>
      </c>
      <c r="G14" s="13">
        <v>0</v>
      </c>
      <c r="H14" s="13">
        <v>0</v>
      </c>
      <c r="I14" s="16">
        <f t="shared" si="1040"/>
        <v>0</v>
      </c>
      <c r="J14" s="17">
        <f t="shared" si="1041"/>
        <v>0</v>
      </c>
      <c r="K14" s="18">
        <f t="shared" si="1042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44"/>
        <v>0</v>
      </c>
      <c r="S14" s="35">
        <f t="shared" si="1045"/>
        <v>0</v>
      </c>
      <c r="T14" s="35">
        <f t="shared" si="1046"/>
        <v>0</v>
      </c>
      <c r="U14" s="19" t="e">
        <f t="shared" si="1047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39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41"/>
        <v>27264</v>
      </c>
      <c r="K15" s="18">
        <f t="shared" si="1042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44"/>
        <v>0</v>
      </c>
      <c r="S15" s="35">
        <f t="shared" si="1045"/>
        <v>0</v>
      </c>
      <c r="T15" s="35">
        <f t="shared" si="1046"/>
        <v>-27264</v>
      </c>
      <c r="U15" s="19">
        <f t="shared" si="1047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39"/>
        <v>0</v>
      </c>
      <c r="F16" s="13">
        <v>0</v>
      </c>
      <c r="G16" s="33">
        <v>0</v>
      </c>
      <c r="H16" s="13">
        <v>0</v>
      </c>
      <c r="I16" s="16">
        <f t="shared" si="1040"/>
        <v>0</v>
      </c>
      <c r="J16" s="17">
        <f t="shared" si="1041"/>
        <v>0</v>
      </c>
      <c r="K16" s="18">
        <f t="shared" ref="K16:K18" si="1048">+G16*D16</f>
        <v>0</v>
      </c>
      <c r="L16" s="19" t="e">
        <f t="shared" ref="L16:L21" si="1049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44"/>
        <v>0</v>
      </c>
      <c r="S16" s="35">
        <f t="shared" si="1045"/>
        <v>0</v>
      </c>
      <c r="T16" s="35">
        <f t="shared" si="1046"/>
        <v>0</v>
      </c>
      <c r="U16" s="19" t="e">
        <f t="shared" si="1047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39"/>
        <v>0</v>
      </c>
      <c r="F17" s="13">
        <v>0</v>
      </c>
      <c r="G17" s="33">
        <v>0</v>
      </c>
      <c r="H17" s="13">
        <v>0</v>
      </c>
      <c r="I17" s="16">
        <f t="shared" si="1040"/>
        <v>0</v>
      </c>
      <c r="J17" s="17">
        <f t="shared" si="1041"/>
        <v>0</v>
      </c>
      <c r="K17" s="18">
        <f t="shared" si="1048"/>
        <v>0</v>
      </c>
      <c r="L17" s="19" t="e">
        <f t="shared" si="1049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44"/>
        <v>0</v>
      </c>
      <c r="S17" s="35">
        <f t="shared" si="1045"/>
        <v>0</v>
      </c>
      <c r="T17" s="35">
        <f t="shared" si="1046"/>
        <v>0</v>
      </c>
      <c r="U17" s="19" t="e">
        <f t="shared" si="1047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39"/>
        <v>0</v>
      </c>
      <c r="F18" s="13">
        <v>0</v>
      </c>
      <c r="G18" s="33">
        <v>0</v>
      </c>
      <c r="H18" s="13">
        <v>0</v>
      </c>
      <c r="I18" s="16">
        <f t="shared" si="1040"/>
        <v>0</v>
      </c>
      <c r="J18" s="17">
        <f t="shared" si="1041"/>
        <v>0</v>
      </c>
      <c r="K18" s="18">
        <f t="shared" si="1048"/>
        <v>0</v>
      </c>
      <c r="L18" s="19" t="e">
        <f t="shared" si="1049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44"/>
        <v>0</v>
      </c>
      <c r="S18" s="35">
        <f t="shared" si="1045"/>
        <v>0</v>
      </c>
      <c r="T18" s="35">
        <f t="shared" si="1046"/>
        <v>0</v>
      </c>
      <c r="U18" s="19" t="e">
        <f t="shared" si="1047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39"/>
        <v>0</v>
      </c>
      <c r="F19" s="13">
        <v>0</v>
      </c>
      <c r="G19" s="13">
        <v>0</v>
      </c>
      <c r="H19" s="13">
        <v>0</v>
      </c>
      <c r="I19" s="16">
        <f t="shared" si="1040"/>
        <v>0</v>
      </c>
      <c r="J19" s="17">
        <f t="shared" si="1041"/>
        <v>0</v>
      </c>
      <c r="K19" s="18">
        <f t="shared" si="1042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44"/>
        <v>0</v>
      </c>
      <c r="S19" s="35">
        <f t="shared" si="1045"/>
        <v>0</v>
      </c>
      <c r="T19" s="35">
        <f t="shared" si="1046"/>
        <v>0</v>
      </c>
      <c r="U19" s="19" t="e">
        <f t="shared" si="1047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39"/>
        <v>0</v>
      </c>
      <c r="F20" s="13">
        <v>0</v>
      </c>
      <c r="G20" s="13">
        <v>0</v>
      </c>
      <c r="H20" s="13">
        <v>0</v>
      </c>
      <c r="I20" s="16">
        <f t="shared" si="1040"/>
        <v>0</v>
      </c>
      <c r="J20" s="17">
        <f t="shared" si="1041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44"/>
        <v>0</v>
      </c>
      <c r="S20" s="35">
        <f t="shared" si="1045"/>
        <v>0</v>
      </c>
      <c r="T20" s="35">
        <f t="shared" si="1046"/>
        <v>0</v>
      </c>
      <c r="U20" s="19" t="e">
        <f t="shared" si="1047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50">SUM(E3:E20)</f>
        <v>4408558.1459349487</v>
      </c>
      <c r="F21" s="24">
        <f>SUM(F3:F20)</f>
        <v>111521</v>
      </c>
      <c r="G21" s="24">
        <f t="shared" si="1050"/>
        <v>1520501</v>
      </c>
      <c r="H21" s="24">
        <f t="shared" si="1050"/>
        <v>284013</v>
      </c>
      <c r="I21" s="25">
        <f>SUM(I3:I20)</f>
        <v>395534</v>
      </c>
      <c r="J21" s="26">
        <f>SUM(J3:J20)</f>
        <v>1236549</v>
      </c>
      <c r="K21" s="26">
        <f>SUM(K3:K20)</f>
        <v>2175537.9299416649</v>
      </c>
      <c r="L21" s="27">
        <f t="shared" si="1049"/>
        <v>0.49348060248398651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44"/>
        <v>1</v>
      </c>
      <c r="S21" s="35">
        <f t="shared" si="1045"/>
        <v>1916036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22003D-009A-4EF7-96F6-00EB004D000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0D00C3-00D6-4E92-9481-001D00CF00D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D60045-007C-48F6-A8A8-005100CB0080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2200FD-0086-4D1A-895C-005900CB009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5E00ED-0019-4A83-8D82-00DC00E900D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610087-0019-4BE1-B3CD-0056000A00E8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E700B1-00BD-4754-A0BA-007800D800E4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400C5-00E1-4891-8CB2-00E3000A008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A300AB-001C-44BB-88EE-002F00A100CA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FF0069-00A5-4E1A-A390-001E0001002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2700B9-008B-469E-99FF-00DA00E1007E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48008B-0090-447E-8918-00CB009D009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H11" activeCellId="0" sqref="H11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187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51">C3*D3</f>
        <v>1156951.2235352504</v>
      </c>
      <c r="F3" s="13">
        <v>186215</v>
      </c>
      <c r="G3" s="44">
        <v>222970</v>
      </c>
      <c r="H3" s="13">
        <v>0</v>
      </c>
      <c r="I3" s="16">
        <f t="shared" ref="I3:I20" si="1052">F3+H3</f>
        <v>186215</v>
      </c>
      <c r="J3" s="17">
        <f t="shared" ref="J3:J20" si="1053">C3-G3</f>
        <v>177030</v>
      </c>
      <c r="K3" s="18">
        <f t="shared" ref="K3:K19" si="1054">+G3*D3</f>
        <v>644913.53577913693</v>
      </c>
      <c r="L3" s="19">
        <f t="shared" ref="L3:L10" si="1055">K3/E3</f>
        <v>0.55742499999999995</v>
      </c>
      <c r="M3" s="34">
        <v>0</v>
      </c>
      <c r="N3" s="58">
        <v>0</v>
      </c>
      <c r="O3" s="34">
        <v>0</v>
      </c>
      <c r="P3" s="34">
        <v>148000</v>
      </c>
      <c r="Q3" s="34">
        <v>130000</v>
      </c>
      <c r="R3" s="34">
        <f t="shared" ref="R3:R21" si="1056">M3+N3+O3+P3+Q3</f>
        <v>278000</v>
      </c>
      <c r="S3" s="35">
        <f t="shared" ref="S3:S21" si="1057">G3+I3+R3</f>
        <v>687185</v>
      </c>
      <c r="T3" s="35">
        <f t="shared" ref="T3:T20" si="1058">S3-C3</f>
        <v>287185</v>
      </c>
      <c r="U3" s="19">
        <f t="shared" ref="U3:U20" si="1059">S3/C3</f>
        <v>1.7179625000000001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51"/>
        <v>951142.07765771437</v>
      </c>
      <c r="F4" s="13">
        <v>0</v>
      </c>
      <c r="G4" s="13">
        <v>368622</v>
      </c>
      <c r="H4" s="13">
        <v>0</v>
      </c>
      <c r="I4" s="16">
        <f t="shared" si="1052"/>
        <v>0</v>
      </c>
      <c r="J4" s="17">
        <f t="shared" si="1053"/>
        <v>361378</v>
      </c>
      <c r="K4" s="18">
        <f t="shared" si="1054"/>
        <v>480290.26705526299</v>
      </c>
      <c r="L4" s="19">
        <f t="shared" si="1055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56"/>
        <v>0</v>
      </c>
      <c r="S4" s="35">
        <f t="shared" si="1057"/>
        <v>368622</v>
      </c>
      <c r="T4" s="35">
        <f t="shared" si="1058"/>
        <v>-361378</v>
      </c>
      <c r="U4" s="19">
        <f t="shared" si="1059"/>
        <v>0.50496164383561648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51"/>
        <v>0</v>
      </c>
      <c r="F5" s="13">
        <v>0</v>
      </c>
      <c r="G5" s="13">
        <v>0</v>
      </c>
      <c r="H5" s="13">
        <v>0</v>
      </c>
      <c r="I5" s="16">
        <f t="shared" si="1052"/>
        <v>0</v>
      </c>
      <c r="J5" s="17">
        <f t="shared" si="1053"/>
        <v>0</v>
      </c>
      <c r="K5" s="18">
        <f t="shared" si="1054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56"/>
        <v>0</v>
      </c>
      <c r="S5" s="35">
        <f t="shared" si="1057"/>
        <v>0</v>
      </c>
      <c r="T5" s="35">
        <f t="shared" si="1058"/>
        <v>0</v>
      </c>
      <c r="U5" s="19" t="e">
        <f t="shared" si="1059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51"/>
        <v>320047.85647467524</v>
      </c>
      <c r="F6" s="13">
        <v>0</v>
      </c>
      <c r="G6" s="44">
        <v>192541</v>
      </c>
      <c r="H6" s="44">
        <v>0</v>
      </c>
      <c r="I6" s="16">
        <f t="shared" si="1052"/>
        <v>0</v>
      </c>
      <c r="J6" s="17">
        <f t="shared" si="1053"/>
        <v>87459</v>
      </c>
      <c r="K6" s="18">
        <f t="shared" si="1054"/>
        <v>220079.76547675158</v>
      </c>
      <c r="L6" s="19">
        <f t="shared" si="1055"/>
        <v>0.68764642857142855</v>
      </c>
      <c r="M6" s="34">
        <v>0</v>
      </c>
      <c r="N6" s="58">
        <v>0</v>
      </c>
      <c r="O6" s="34">
        <v>0</v>
      </c>
      <c r="P6" s="34">
        <v>94000</v>
      </c>
      <c r="Q6" s="34">
        <v>0</v>
      </c>
      <c r="R6" s="34">
        <f t="shared" si="1056"/>
        <v>94000</v>
      </c>
      <c r="S6" s="35">
        <f t="shared" si="1057"/>
        <v>286541</v>
      </c>
      <c r="T6" s="35">
        <f t="shared" si="1058"/>
        <v>6541</v>
      </c>
      <c r="U6" s="19">
        <f t="shared" si="1059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51"/>
        <v>205985.22317750531</v>
      </c>
      <c r="F7" s="13">
        <v>0</v>
      </c>
      <c r="G7" s="44">
        <v>178200</v>
      </c>
      <c r="H7" s="13">
        <v>0</v>
      </c>
      <c r="I7" s="16">
        <f t="shared" si="1052"/>
        <v>0</v>
      </c>
      <c r="J7" s="17">
        <f t="shared" si="1053"/>
        <v>146581</v>
      </c>
      <c r="K7" s="18">
        <f t="shared" si="1054"/>
        <v>113019.440084954</v>
      </c>
      <c r="L7" s="19">
        <f t="shared" si="1055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56"/>
        <v>522000</v>
      </c>
      <c r="S7" s="35">
        <f t="shared" si="1057"/>
        <v>700200</v>
      </c>
      <c r="T7" s="35">
        <f t="shared" si="1058"/>
        <v>375419</v>
      </c>
      <c r="U7" s="19">
        <f t="shared" si="1059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51"/>
        <v>322487.6793555622</v>
      </c>
      <c r="F8" s="44">
        <v>262405</v>
      </c>
      <c r="G8" s="13">
        <v>318563</v>
      </c>
      <c r="H8" s="44">
        <v>0</v>
      </c>
      <c r="I8" s="16">
        <f t="shared" si="1052"/>
        <v>262405</v>
      </c>
      <c r="J8" s="17">
        <f t="shared" si="1053"/>
        <v>42352</v>
      </c>
      <c r="K8" s="18">
        <f t="shared" si="1054"/>
        <v>284644.97900764993</v>
      </c>
      <c r="L8" s="19">
        <f t="shared" si="1055"/>
        <v>0.88265381045398517</v>
      </c>
      <c r="M8" s="34">
        <v>0</v>
      </c>
      <c r="N8" s="58">
        <v>0</v>
      </c>
      <c r="O8" s="34">
        <v>0</v>
      </c>
      <c r="P8" s="34">
        <v>170000</v>
      </c>
      <c r="Q8" s="34">
        <v>0</v>
      </c>
      <c r="R8" s="34">
        <f t="shared" si="1056"/>
        <v>170000</v>
      </c>
      <c r="S8" s="35">
        <f t="shared" si="1057"/>
        <v>750968</v>
      </c>
      <c r="T8" s="35">
        <f t="shared" si="1058"/>
        <v>390053</v>
      </c>
      <c r="U8" s="19">
        <f t="shared" si="1059"/>
        <v>2.0807336907582119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51"/>
        <v>140431.72333427161</v>
      </c>
      <c r="F9" s="13">
        <v>0</v>
      </c>
      <c r="G9" s="13">
        <v>58575</v>
      </c>
      <c r="H9" s="13">
        <v>0</v>
      </c>
      <c r="I9" s="16">
        <f t="shared" si="1052"/>
        <v>0</v>
      </c>
      <c r="J9" s="17">
        <f t="shared" si="1053"/>
        <v>72875</v>
      </c>
      <c r="K9" s="18">
        <f t="shared" si="1054"/>
        <v>62577.316046443208</v>
      </c>
      <c r="L9" s="19">
        <f t="shared" si="1055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56"/>
        <v>233000</v>
      </c>
      <c r="S9" s="35">
        <f t="shared" si="1057"/>
        <v>291575</v>
      </c>
      <c r="T9" s="35">
        <f t="shared" si="1058"/>
        <v>160125</v>
      </c>
      <c r="U9" s="19">
        <f t="shared" si="1059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51"/>
        <v>1010223.8009756197</v>
      </c>
      <c r="F10" s="13">
        <v>0</v>
      </c>
      <c r="G10" s="13">
        <v>286400</v>
      </c>
      <c r="H10" s="13">
        <v>141613</v>
      </c>
      <c r="I10" s="16">
        <f t="shared" si="1052"/>
        <v>141613</v>
      </c>
      <c r="J10" s="17">
        <f t="shared" si="1053"/>
        <v>179210</v>
      </c>
      <c r="K10" s="18">
        <f t="shared" si="1054"/>
        <v>621395.79605123925</v>
      </c>
      <c r="L10" s="19">
        <f t="shared" si="1055"/>
        <v>0.61510706385172143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56"/>
        <v>0</v>
      </c>
      <c r="S10" s="35">
        <f>G10+I10+R10</f>
        <v>428013</v>
      </c>
      <c r="T10" s="35">
        <f t="shared" si="1058"/>
        <v>-37597</v>
      </c>
      <c r="U10" s="19">
        <f t="shared" si="1059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51"/>
        <v>57578.986018775817</v>
      </c>
      <c r="F11" s="13">
        <v>0</v>
      </c>
      <c r="G11" s="13">
        <v>37030</v>
      </c>
      <c r="H11" s="13">
        <v>0</v>
      </c>
      <c r="I11" s="16">
        <f t="shared" si="1052"/>
        <v>0</v>
      </c>
      <c r="J11" s="17">
        <f t="shared" si="1053"/>
        <v>0</v>
      </c>
      <c r="K11" s="18">
        <f t="shared" si="1054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56"/>
        <v>0</v>
      </c>
      <c r="S11" s="35">
        <f t="shared" si="1057"/>
        <v>37030</v>
      </c>
      <c r="T11" s="35">
        <f t="shared" si="1058"/>
        <v>0</v>
      </c>
      <c r="U11" s="19">
        <f t="shared" si="1059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51"/>
        <v>0</v>
      </c>
      <c r="F12" s="13">
        <v>0</v>
      </c>
      <c r="G12" s="13">
        <v>0</v>
      </c>
      <c r="H12" s="13">
        <v>0</v>
      </c>
      <c r="I12" s="16">
        <f t="shared" si="1052"/>
        <v>0</v>
      </c>
      <c r="J12" s="17">
        <f t="shared" si="1053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56"/>
        <v>0</v>
      </c>
      <c r="S12" s="35">
        <f t="shared" si="1057"/>
        <v>0</v>
      </c>
      <c r="T12" s="35">
        <f t="shared" si="1058"/>
        <v>0</v>
      </c>
      <c r="U12" s="19" t="e">
        <f t="shared" si="1059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51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53"/>
        <v>0</v>
      </c>
      <c r="K13" s="18">
        <f t="shared" si="1054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56"/>
        <v>0</v>
      </c>
      <c r="S13" s="35">
        <f t="shared" si="1057"/>
        <v>0</v>
      </c>
      <c r="T13" s="35">
        <f t="shared" si="1058"/>
        <v>0</v>
      </c>
      <c r="U13" s="19" t="e">
        <f t="shared" si="1059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51"/>
        <v>0</v>
      </c>
      <c r="F14" s="13">
        <v>0</v>
      </c>
      <c r="G14" s="13">
        <v>0</v>
      </c>
      <c r="H14" s="13">
        <v>0</v>
      </c>
      <c r="I14" s="16">
        <f t="shared" si="1052"/>
        <v>0</v>
      </c>
      <c r="J14" s="17">
        <f t="shared" si="1053"/>
        <v>0</v>
      </c>
      <c r="K14" s="18">
        <f t="shared" si="1054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56"/>
        <v>0</v>
      </c>
      <c r="S14" s="35">
        <f t="shared" si="1057"/>
        <v>0</v>
      </c>
      <c r="T14" s="35">
        <f t="shared" si="1058"/>
        <v>0</v>
      </c>
      <c r="U14" s="19" t="e">
        <f t="shared" si="1059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51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53"/>
        <v>27264</v>
      </c>
      <c r="K15" s="18">
        <f t="shared" si="1054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56"/>
        <v>0</v>
      </c>
      <c r="S15" s="35">
        <f t="shared" si="1057"/>
        <v>0</v>
      </c>
      <c r="T15" s="35">
        <f t="shared" si="1058"/>
        <v>-27264</v>
      </c>
      <c r="U15" s="19">
        <f t="shared" si="1059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51"/>
        <v>0</v>
      </c>
      <c r="F16" s="13">
        <v>0</v>
      </c>
      <c r="G16" s="33">
        <v>0</v>
      </c>
      <c r="H16" s="13">
        <v>0</v>
      </c>
      <c r="I16" s="16">
        <f t="shared" si="1052"/>
        <v>0</v>
      </c>
      <c r="J16" s="17">
        <f t="shared" si="1053"/>
        <v>0</v>
      </c>
      <c r="K16" s="18">
        <f t="shared" ref="K16:K18" si="1060">+G16*D16</f>
        <v>0</v>
      </c>
      <c r="L16" s="19" t="e">
        <f t="shared" ref="L16:L21" si="1061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56"/>
        <v>0</v>
      </c>
      <c r="S16" s="35">
        <f t="shared" si="1057"/>
        <v>0</v>
      </c>
      <c r="T16" s="35">
        <f t="shared" si="1058"/>
        <v>0</v>
      </c>
      <c r="U16" s="19" t="e">
        <f t="shared" si="1059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51"/>
        <v>0</v>
      </c>
      <c r="F17" s="13">
        <v>0</v>
      </c>
      <c r="G17" s="33">
        <v>0</v>
      </c>
      <c r="H17" s="13">
        <v>0</v>
      </c>
      <c r="I17" s="16">
        <f t="shared" si="1052"/>
        <v>0</v>
      </c>
      <c r="J17" s="17">
        <f t="shared" si="1053"/>
        <v>0</v>
      </c>
      <c r="K17" s="18">
        <f t="shared" si="1060"/>
        <v>0</v>
      </c>
      <c r="L17" s="19" t="e">
        <f t="shared" si="1061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56"/>
        <v>0</v>
      </c>
      <c r="S17" s="35">
        <f t="shared" si="1057"/>
        <v>0</v>
      </c>
      <c r="T17" s="35">
        <f t="shared" si="1058"/>
        <v>0</v>
      </c>
      <c r="U17" s="19" t="e">
        <f t="shared" si="1059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51"/>
        <v>0</v>
      </c>
      <c r="F18" s="13">
        <v>0</v>
      </c>
      <c r="G18" s="33">
        <v>0</v>
      </c>
      <c r="H18" s="13">
        <v>0</v>
      </c>
      <c r="I18" s="16">
        <f t="shared" si="1052"/>
        <v>0</v>
      </c>
      <c r="J18" s="17">
        <f t="shared" si="1053"/>
        <v>0</v>
      </c>
      <c r="K18" s="18">
        <f t="shared" si="1060"/>
        <v>0</v>
      </c>
      <c r="L18" s="19" t="e">
        <f t="shared" si="1061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56"/>
        <v>0</v>
      </c>
      <c r="S18" s="35">
        <f t="shared" si="1057"/>
        <v>0</v>
      </c>
      <c r="T18" s="35">
        <f t="shared" si="1058"/>
        <v>0</v>
      </c>
      <c r="U18" s="19" t="e">
        <f t="shared" si="1059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51"/>
        <v>0</v>
      </c>
      <c r="F19" s="13">
        <v>0</v>
      </c>
      <c r="G19" s="13">
        <v>0</v>
      </c>
      <c r="H19" s="13">
        <v>0</v>
      </c>
      <c r="I19" s="16">
        <f t="shared" si="1052"/>
        <v>0</v>
      </c>
      <c r="J19" s="17">
        <f t="shared" si="1053"/>
        <v>0</v>
      </c>
      <c r="K19" s="18">
        <f t="shared" si="1054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56"/>
        <v>0</v>
      </c>
      <c r="S19" s="35">
        <f t="shared" si="1057"/>
        <v>0</v>
      </c>
      <c r="T19" s="35">
        <f t="shared" si="1058"/>
        <v>0</v>
      </c>
      <c r="U19" s="19" t="e">
        <f t="shared" si="1059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51"/>
        <v>0</v>
      </c>
      <c r="F20" s="13">
        <v>0</v>
      </c>
      <c r="G20" s="13">
        <v>0</v>
      </c>
      <c r="H20" s="13">
        <v>0</v>
      </c>
      <c r="I20" s="16">
        <f t="shared" si="1052"/>
        <v>0</v>
      </c>
      <c r="J20" s="17">
        <f t="shared" si="1053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56"/>
        <v>0</v>
      </c>
      <c r="S20" s="35">
        <f t="shared" si="1057"/>
        <v>0</v>
      </c>
      <c r="T20" s="35">
        <f t="shared" si="1058"/>
        <v>0</v>
      </c>
      <c r="U20" s="19" t="e">
        <f t="shared" si="1059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62">SUM(E3:E20)</f>
        <v>4408558.1459349487</v>
      </c>
      <c r="F21" s="24">
        <f>SUM(F3:F20)</f>
        <v>448620</v>
      </c>
      <c r="G21" s="24">
        <f t="shared" si="1062"/>
        <v>1662901</v>
      </c>
      <c r="H21" s="24">
        <f t="shared" si="1062"/>
        <v>141613</v>
      </c>
      <c r="I21" s="25">
        <f>SUM(I3:I20)</f>
        <v>590233</v>
      </c>
      <c r="J21" s="26">
        <f>SUM(J3:J20)</f>
        <v>1094149</v>
      </c>
      <c r="K21" s="26">
        <f>SUM(K3:K20)</f>
        <v>2484500.0855202139</v>
      </c>
      <c r="L21" s="27">
        <f t="shared" si="1061"/>
        <v>0.56356296169329789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56"/>
        <v>1</v>
      </c>
      <c r="S21" s="35">
        <f t="shared" si="1057"/>
        <v>2253135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FC0090-0040-41D6-899D-009500BA003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D2005B-006D-4654-9D8B-000400AE004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560014-005E-4DC0-B856-00A40035004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A100C1-0007-446F-9961-007C00DF00F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D80094-001F-4296-87D4-008E005600C1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5300F3-0090-4105-8226-0035009800C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F100DC-0053-43F6-A8A5-003F009800C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220043-002B-4D60-A88B-006A00590032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BE00F0-004D-4CF1-ABF8-00B900D20081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7B003D-00D3-4BB5-BB8B-00E0002500E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030052-00DE-49D0-A274-0002007D006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6800BA-00E8-46E7-B9F5-00A500BC003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A25" activeCellId="0" sqref="A25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188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64" t="s">
        <v>21</v>
      </c>
      <c r="C3" s="14">
        <v>400000</v>
      </c>
      <c r="D3" s="11">
        <v>2.8923780588381258</v>
      </c>
      <c r="E3" s="12">
        <f t="shared" ref="E3:E20" si="1063">C3*D3</f>
        <v>1156951.2235352504</v>
      </c>
      <c r="F3" s="13">
        <v>0</v>
      </c>
      <c r="G3" s="44">
        <v>222970</v>
      </c>
      <c r="H3" s="13">
        <v>186215</v>
      </c>
      <c r="I3" s="16">
        <f t="shared" ref="I3:I20" si="1064">F3+H3</f>
        <v>186215</v>
      </c>
      <c r="J3" s="17">
        <f t="shared" ref="J3:J20" si="1065">C3-G3</f>
        <v>177030</v>
      </c>
      <c r="K3" s="18">
        <f t="shared" ref="K3:K19" si="1066">+G3*D3</f>
        <v>644913.53577913693</v>
      </c>
      <c r="L3" s="19">
        <f t="shared" ref="L3:L10" si="1067">K3/E3</f>
        <v>0.55742499999999995</v>
      </c>
      <c r="M3" s="34">
        <v>0</v>
      </c>
      <c r="N3" s="58">
        <v>0</v>
      </c>
      <c r="O3" s="34">
        <v>0</v>
      </c>
      <c r="P3" s="34">
        <v>148000</v>
      </c>
      <c r="Q3" s="34">
        <v>130000</v>
      </c>
      <c r="R3" s="34">
        <f t="shared" ref="R3:R21" si="1068">M3+N3+O3+P3+Q3</f>
        <v>278000</v>
      </c>
      <c r="S3" s="35">
        <f t="shared" ref="S3:S21" si="1069">G3+I3+R3</f>
        <v>687185</v>
      </c>
      <c r="T3" s="35">
        <f t="shared" ref="T3:T20" si="1070">S3-C3</f>
        <v>287185</v>
      </c>
      <c r="U3" s="19">
        <f t="shared" ref="U3:U20" si="1071">S3/C3</f>
        <v>1.7179625000000001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63"/>
        <v>951142.07765771437</v>
      </c>
      <c r="F4" s="13">
        <v>0</v>
      </c>
      <c r="G4" s="13">
        <v>368622</v>
      </c>
      <c r="H4" s="13">
        <v>0</v>
      </c>
      <c r="I4" s="16">
        <f t="shared" si="1064"/>
        <v>0</v>
      </c>
      <c r="J4" s="17">
        <f t="shared" si="1065"/>
        <v>361378</v>
      </c>
      <c r="K4" s="18">
        <f t="shared" si="1066"/>
        <v>480290.26705526299</v>
      </c>
      <c r="L4" s="19">
        <f t="shared" si="1067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68"/>
        <v>0</v>
      </c>
      <c r="S4" s="35">
        <f t="shared" si="1069"/>
        <v>368622</v>
      </c>
      <c r="T4" s="35">
        <f t="shared" si="1070"/>
        <v>-361378</v>
      </c>
      <c r="U4" s="19">
        <f t="shared" si="1071"/>
        <v>0.50496164383561648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63"/>
        <v>0</v>
      </c>
      <c r="F5" s="13">
        <v>0</v>
      </c>
      <c r="G5" s="13">
        <v>0</v>
      </c>
      <c r="H5" s="13">
        <v>0</v>
      </c>
      <c r="I5" s="16">
        <f t="shared" si="1064"/>
        <v>0</v>
      </c>
      <c r="J5" s="17">
        <f t="shared" si="1065"/>
        <v>0</v>
      </c>
      <c r="K5" s="18">
        <f t="shared" si="1066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68"/>
        <v>0</v>
      </c>
      <c r="S5" s="35">
        <f t="shared" si="1069"/>
        <v>0</v>
      </c>
      <c r="T5" s="35">
        <f t="shared" si="1070"/>
        <v>0</v>
      </c>
      <c r="U5" s="19" t="e">
        <f t="shared" si="1071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63"/>
        <v>320047.85647467524</v>
      </c>
      <c r="F6" s="13">
        <v>0</v>
      </c>
      <c r="G6" s="44">
        <v>192541</v>
      </c>
      <c r="H6" s="44">
        <v>0</v>
      </c>
      <c r="I6" s="16">
        <f t="shared" si="1064"/>
        <v>0</v>
      </c>
      <c r="J6" s="17">
        <f t="shared" si="1065"/>
        <v>87459</v>
      </c>
      <c r="K6" s="18">
        <f t="shared" si="1066"/>
        <v>220079.76547675158</v>
      </c>
      <c r="L6" s="19">
        <f t="shared" si="1067"/>
        <v>0.68764642857142855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068"/>
        <v>94000</v>
      </c>
      <c r="S6" s="35">
        <f t="shared" si="1069"/>
        <v>286541</v>
      </c>
      <c r="T6" s="35">
        <f t="shared" si="1070"/>
        <v>6541</v>
      </c>
      <c r="U6" s="19">
        <f t="shared" si="1071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63"/>
        <v>205985.22317750531</v>
      </c>
      <c r="F7" s="13">
        <v>0</v>
      </c>
      <c r="G7" s="44">
        <v>178200</v>
      </c>
      <c r="H7" s="13">
        <v>0</v>
      </c>
      <c r="I7" s="16">
        <f t="shared" si="1064"/>
        <v>0</v>
      </c>
      <c r="J7" s="17">
        <f t="shared" si="1065"/>
        <v>146581</v>
      </c>
      <c r="K7" s="18">
        <f t="shared" si="1066"/>
        <v>113019.440084954</v>
      </c>
      <c r="L7" s="19">
        <f t="shared" si="1067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68"/>
        <v>522000</v>
      </c>
      <c r="S7" s="35">
        <f t="shared" si="1069"/>
        <v>700200</v>
      </c>
      <c r="T7" s="35">
        <f t="shared" si="1070"/>
        <v>375419</v>
      </c>
      <c r="U7" s="19">
        <f t="shared" si="1071"/>
        <v>2.155914293015909</v>
      </c>
    </row>
    <row r="8">
      <c r="A8" s="9" t="s">
        <v>30</v>
      </c>
      <c r="B8" s="64" t="s">
        <v>31</v>
      </c>
      <c r="C8" s="14">
        <v>360915</v>
      </c>
      <c r="D8" s="50">
        <v>0.89352805883812592</v>
      </c>
      <c r="E8" s="14">
        <f t="shared" si="1063"/>
        <v>322487.6793555622</v>
      </c>
      <c r="F8" s="44">
        <v>220053</v>
      </c>
      <c r="G8" s="13">
        <v>318563</v>
      </c>
      <c r="H8" s="44">
        <v>42352</v>
      </c>
      <c r="I8" s="16">
        <f t="shared" si="1064"/>
        <v>262405</v>
      </c>
      <c r="J8" s="17">
        <f t="shared" si="1065"/>
        <v>42352</v>
      </c>
      <c r="K8" s="18">
        <f t="shared" si="1066"/>
        <v>284644.97900764993</v>
      </c>
      <c r="L8" s="19">
        <f t="shared" si="1067"/>
        <v>0.88265381045398517</v>
      </c>
      <c r="M8" s="34">
        <v>0</v>
      </c>
      <c r="N8" s="58">
        <v>0</v>
      </c>
      <c r="O8" s="34">
        <v>0</v>
      </c>
      <c r="P8" s="34">
        <v>170000</v>
      </c>
      <c r="Q8" s="34">
        <v>0</v>
      </c>
      <c r="R8" s="34">
        <f t="shared" si="1068"/>
        <v>170000</v>
      </c>
      <c r="S8" s="35">
        <f t="shared" si="1069"/>
        <v>750968</v>
      </c>
      <c r="T8" s="35">
        <f t="shared" si="1070"/>
        <v>390053</v>
      </c>
      <c r="U8" s="19">
        <f t="shared" si="1071"/>
        <v>2.0807336907582119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63"/>
        <v>140431.72333427161</v>
      </c>
      <c r="F9" s="13">
        <v>0</v>
      </c>
      <c r="G9" s="13">
        <v>58575</v>
      </c>
      <c r="H9" s="13">
        <v>0</v>
      </c>
      <c r="I9" s="16">
        <f t="shared" si="1064"/>
        <v>0</v>
      </c>
      <c r="J9" s="17">
        <f t="shared" si="1065"/>
        <v>72875</v>
      </c>
      <c r="K9" s="18">
        <f t="shared" si="1066"/>
        <v>62577.316046443208</v>
      </c>
      <c r="L9" s="19">
        <f t="shared" si="1067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68"/>
        <v>233000</v>
      </c>
      <c r="S9" s="35">
        <f t="shared" si="1069"/>
        <v>291575</v>
      </c>
      <c r="T9" s="35">
        <f t="shared" si="1070"/>
        <v>160125</v>
      </c>
      <c r="U9" s="19">
        <f t="shared" si="1071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63"/>
        <v>1010223.8009756197</v>
      </c>
      <c r="F10" s="13">
        <v>0</v>
      </c>
      <c r="G10" s="13">
        <v>428013</v>
      </c>
      <c r="H10" s="13">
        <v>0</v>
      </c>
      <c r="I10" s="16">
        <f t="shared" si="1064"/>
        <v>0</v>
      </c>
      <c r="J10" s="17">
        <f t="shared" si="1065"/>
        <v>37597</v>
      </c>
      <c r="K10" s="18">
        <f t="shared" si="1066"/>
        <v>928650.41499748267</v>
      </c>
      <c r="L10" s="19">
        <f t="shared" si="1067"/>
        <v>0.91925216382809649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68"/>
        <v>0</v>
      </c>
      <c r="S10" s="35">
        <f>G10+I10+R10</f>
        <v>428013</v>
      </c>
      <c r="T10" s="35">
        <f t="shared" si="1070"/>
        <v>-37597</v>
      </c>
      <c r="U10" s="19">
        <f t="shared" si="1071"/>
        <v>0.91925216382809649</v>
      </c>
    </row>
    <row r="11">
      <c r="A11" s="9" t="s">
        <v>36</v>
      </c>
      <c r="B11" s="64" t="s">
        <v>37</v>
      </c>
      <c r="C11" s="14">
        <v>37030</v>
      </c>
      <c r="D11" s="11">
        <v>1.5549280588381262</v>
      </c>
      <c r="E11" s="12">
        <f t="shared" si="1063"/>
        <v>57578.986018775817</v>
      </c>
      <c r="F11" s="13">
        <v>0</v>
      </c>
      <c r="G11" s="13">
        <v>37030</v>
      </c>
      <c r="H11" s="13">
        <v>0</v>
      </c>
      <c r="I11" s="16">
        <f t="shared" si="1064"/>
        <v>0</v>
      </c>
      <c r="J11" s="17">
        <f t="shared" si="1065"/>
        <v>0</v>
      </c>
      <c r="K11" s="18">
        <f t="shared" si="1066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68"/>
        <v>0</v>
      </c>
      <c r="S11" s="35">
        <f t="shared" si="1069"/>
        <v>37030</v>
      </c>
      <c r="T11" s="35">
        <f t="shared" si="1070"/>
        <v>0</v>
      </c>
      <c r="U11" s="19">
        <f t="shared" si="1071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63"/>
        <v>0</v>
      </c>
      <c r="F12" s="13">
        <v>0</v>
      </c>
      <c r="G12" s="13">
        <v>0</v>
      </c>
      <c r="H12" s="13">
        <v>0</v>
      </c>
      <c r="I12" s="16">
        <f t="shared" si="1064"/>
        <v>0</v>
      </c>
      <c r="J12" s="17">
        <f t="shared" si="1065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68"/>
        <v>0</v>
      </c>
      <c r="S12" s="35">
        <f t="shared" si="1069"/>
        <v>0</v>
      </c>
      <c r="T12" s="35">
        <f t="shared" si="1070"/>
        <v>0</v>
      </c>
      <c r="U12" s="19" t="e">
        <f t="shared" si="1071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63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65"/>
        <v>0</v>
      </c>
      <c r="K13" s="18">
        <f t="shared" si="1066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68"/>
        <v>0</v>
      </c>
      <c r="S13" s="35">
        <f t="shared" si="1069"/>
        <v>0</v>
      </c>
      <c r="T13" s="35">
        <f t="shared" si="1070"/>
        <v>0</v>
      </c>
      <c r="U13" s="19" t="e">
        <f t="shared" si="1071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63"/>
        <v>0</v>
      </c>
      <c r="F14" s="13">
        <v>0</v>
      </c>
      <c r="G14" s="13">
        <v>0</v>
      </c>
      <c r="H14" s="13">
        <v>0</v>
      </c>
      <c r="I14" s="16">
        <f t="shared" si="1064"/>
        <v>0</v>
      </c>
      <c r="J14" s="17">
        <f t="shared" si="1065"/>
        <v>0</v>
      </c>
      <c r="K14" s="18">
        <f t="shared" si="1066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68"/>
        <v>0</v>
      </c>
      <c r="S14" s="35">
        <f t="shared" si="1069"/>
        <v>0</v>
      </c>
      <c r="T14" s="35">
        <f t="shared" si="1070"/>
        <v>0</v>
      </c>
      <c r="U14" s="19" t="e">
        <f t="shared" si="1071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63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65"/>
        <v>27264</v>
      </c>
      <c r="K15" s="18">
        <f t="shared" si="1066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68"/>
        <v>0</v>
      </c>
      <c r="S15" s="35">
        <f t="shared" si="1069"/>
        <v>0</v>
      </c>
      <c r="T15" s="35">
        <f t="shared" si="1070"/>
        <v>-27264</v>
      </c>
      <c r="U15" s="19">
        <f t="shared" si="1071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63"/>
        <v>0</v>
      </c>
      <c r="F16" s="13">
        <v>0</v>
      </c>
      <c r="G16" s="33">
        <v>0</v>
      </c>
      <c r="H16" s="13">
        <v>0</v>
      </c>
      <c r="I16" s="16">
        <f t="shared" si="1064"/>
        <v>0</v>
      </c>
      <c r="J16" s="17">
        <f t="shared" si="1065"/>
        <v>0</v>
      </c>
      <c r="K16" s="18">
        <f t="shared" ref="K16:K18" si="1072">+G16*D16</f>
        <v>0</v>
      </c>
      <c r="L16" s="19" t="e">
        <f t="shared" ref="L16:L21" si="1073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68"/>
        <v>0</v>
      </c>
      <c r="S16" s="35">
        <f t="shared" si="1069"/>
        <v>0</v>
      </c>
      <c r="T16" s="35">
        <f t="shared" si="1070"/>
        <v>0</v>
      </c>
      <c r="U16" s="19" t="e">
        <f t="shared" si="1071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63"/>
        <v>0</v>
      </c>
      <c r="F17" s="13">
        <v>0</v>
      </c>
      <c r="G17" s="33">
        <v>0</v>
      </c>
      <c r="H17" s="13">
        <v>0</v>
      </c>
      <c r="I17" s="16">
        <f t="shared" si="1064"/>
        <v>0</v>
      </c>
      <c r="J17" s="17">
        <f t="shared" si="1065"/>
        <v>0</v>
      </c>
      <c r="K17" s="18">
        <f t="shared" si="1072"/>
        <v>0</v>
      </c>
      <c r="L17" s="19" t="e">
        <f t="shared" si="1073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68"/>
        <v>0</v>
      </c>
      <c r="S17" s="35">
        <f t="shared" si="1069"/>
        <v>0</v>
      </c>
      <c r="T17" s="35">
        <f t="shared" si="1070"/>
        <v>0</v>
      </c>
      <c r="U17" s="19" t="e">
        <f t="shared" si="1071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63"/>
        <v>0</v>
      </c>
      <c r="F18" s="13">
        <v>0</v>
      </c>
      <c r="G18" s="33">
        <v>0</v>
      </c>
      <c r="H18" s="13">
        <v>0</v>
      </c>
      <c r="I18" s="16">
        <f t="shared" si="1064"/>
        <v>0</v>
      </c>
      <c r="J18" s="17">
        <f t="shared" si="1065"/>
        <v>0</v>
      </c>
      <c r="K18" s="18">
        <f t="shared" si="1072"/>
        <v>0</v>
      </c>
      <c r="L18" s="19" t="e">
        <f t="shared" si="1073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68"/>
        <v>0</v>
      </c>
      <c r="S18" s="35">
        <f t="shared" si="1069"/>
        <v>0</v>
      </c>
      <c r="T18" s="35">
        <f t="shared" si="1070"/>
        <v>0</v>
      </c>
      <c r="U18" s="19" t="e">
        <f t="shared" si="1071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63"/>
        <v>0</v>
      </c>
      <c r="F19" s="13">
        <v>0</v>
      </c>
      <c r="G19" s="13">
        <v>0</v>
      </c>
      <c r="H19" s="13">
        <v>0</v>
      </c>
      <c r="I19" s="16">
        <f t="shared" si="1064"/>
        <v>0</v>
      </c>
      <c r="J19" s="17">
        <f t="shared" si="1065"/>
        <v>0</v>
      </c>
      <c r="K19" s="18">
        <f t="shared" si="1066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68"/>
        <v>0</v>
      </c>
      <c r="S19" s="35">
        <f t="shared" si="1069"/>
        <v>0</v>
      </c>
      <c r="T19" s="35">
        <f t="shared" si="1070"/>
        <v>0</v>
      </c>
      <c r="U19" s="19" t="e">
        <f t="shared" si="1071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63"/>
        <v>0</v>
      </c>
      <c r="F20" s="13">
        <v>0</v>
      </c>
      <c r="G20" s="13">
        <v>0</v>
      </c>
      <c r="H20" s="13">
        <v>0</v>
      </c>
      <c r="I20" s="16">
        <f t="shared" si="1064"/>
        <v>0</v>
      </c>
      <c r="J20" s="17">
        <f t="shared" si="1065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68"/>
        <v>0</v>
      </c>
      <c r="S20" s="35">
        <f t="shared" si="1069"/>
        <v>0</v>
      </c>
      <c r="T20" s="35">
        <f t="shared" si="1070"/>
        <v>0</v>
      </c>
      <c r="U20" s="19" t="e">
        <f t="shared" si="1071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74">SUM(E3:E20)</f>
        <v>4408558.1459349487</v>
      </c>
      <c r="F21" s="24">
        <f>SUM(F3:F20)</f>
        <v>220053</v>
      </c>
      <c r="G21" s="24">
        <f t="shared" si="1074"/>
        <v>1804514</v>
      </c>
      <c r="H21" s="24">
        <f t="shared" si="1074"/>
        <v>228567</v>
      </c>
      <c r="I21" s="25">
        <f>SUM(I3:I20)</f>
        <v>448620</v>
      </c>
      <c r="J21" s="26">
        <f>SUM(J3:J20)</f>
        <v>952536</v>
      </c>
      <c r="K21" s="26">
        <f>SUM(K3:K20)</f>
        <v>2791754.7044664575</v>
      </c>
      <c r="L21" s="27">
        <f t="shared" si="1073"/>
        <v>0.63325799775164215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68"/>
        <v>1</v>
      </c>
      <c r="S21" s="35">
        <f t="shared" si="1069"/>
        <v>2253135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A6006A-0070-45C1-8737-0080007300B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8900C6-00CE-401D-AB8A-0091004A009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DE001F-003D-47A6-AB3C-00EA00C8004B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670049-0030-4AAC-9BFC-007600C400F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CE000B-007C-4B39-B09A-001200C900A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B6006D-00DF-4A6A-86FF-0019009C00C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8E002B-00F1-4594-A45B-00D2005700A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7500C8-00B8-43D1-96AB-006F00A100B5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1E008A-00E4-4657-8581-00D900DB008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2900A1-006F-4182-A6DA-000200A3008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1900E9-00A2-4764-B32A-0076007300C6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92008A-0043-4A10-A699-007A0058004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J27" activeCellId="0" sqref="J27:K27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189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75">C3*D3</f>
        <v>1156951.2235352504</v>
      </c>
      <c r="F3" s="13">
        <v>56198</v>
      </c>
      <c r="G3" s="44">
        <v>334491</v>
      </c>
      <c r="H3" s="13">
        <v>74694</v>
      </c>
      <c r="I3" s="16">
        <f t="shared" ref="I3:I20" si="1076">F3+H3</f>
        <v>130892</v>
      </c>
      <c r="J3" s="17">
        <f t="shared" ref="J3:J20" si="1077">C3-G3</f>
        <v>65509</v>
      </c>
      <c r="K3" s="18">
        <f t="shared" ref="K3:K19" si="1078">+G3*D3</f>
        <v>967474.42927882355</v>
      </c>
      <c r="L3" s="19">
        <f t="shared" ref="L3:L10" si="1079">K3/E3</f>
        <v>0.8362274999999999</v>
      </c>
      <c r="M3" s="34">
        <v>0</v>
      </c>
      <c r="N3" s="58">
        <v>0</v>
      </c>
      <c r="O3" s="34">
        <v>0</v>
      </c>
      <c r="P3" s="34">
        <v>148000</v>
      </c>
      <c r="Q3" s="34">
        <v>130000</v>
      </c>
      <c r="R3" s="34">
        <f t="shared" ref="R3:R21" si="1080">M3+N3+O3+P3+Q3</f>
        <v>278000</v>
      </c>
      <c r="S3" s="35">
        <f t="shared" ref="S3:S21" si="1081">G3+I3+R3</f>
        <v>743383</v>
      </c>
      <c r="T3" s="35">
        <f t="shared" ref="T3:T20" si="1082">S3-C3</f>
        <v>343383</v>
      </c>
      <c r="U3" s="19">
        <f t="shared" ref="U3:U20" si="1083">S3/C3</f>
        <v>1.8584575000000001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75"/>
        <v>951142.07765771437</v>
      </c>
      <c r="F4" s="13">
        <v>362732</v>
      </c>
      <c r="G4" s="13">
        <v>368622</v>
      </c>
      <c r="H4" s="13">
        <v>0</v>
      </c>
      <c r="I4" s="16">
        <f t="shared" si="1076"/>
        <v>362732</v>
      </c>
      <c r="J4" s="17">
        <f t="shared" si="1077"/>
        <v>361378</v>
      </c>
      <c r="K4" s="18">
        <f t="shared" si="1078"/>
        <v>480290.26705526299</v>
      </c>
      <c r="L4" s="19">
        <f t="shared" si="1079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80"/>
        <v>0</v>
      </c>
      <c r="S4" s="35">
        <f t="shared" si="1081"/>
        <v>731354</v>
      </c>
      <c r="T4" s="35">
        <f t="shared" si="1082"/>
        <v>1354</v>
      </c>
      <c r="U4" s="19">
        <f t="shared" si="1083"/>
        <v>1.001854794520548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75"/>
        <v>0</v>
      </c>
      <c r="F5" s="13">
        <v>0</v>
      </c>
      <c r="G5" s="13">
        <v>0</v>
      </c>
      <c r="H5" s="13">
        <v>0</v>
      </c>
      <c r="I5" s="16">
        <f t="shared" si="1076"/>
        <v>0</v>
      </c>
      <c r="J5" s="17">
        <f t="shared" si="1077"/>
        <v>0</v>
      </c>
      <c r="K5" s="18">
        <f t="shared" si="1078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80"/>
        <v>0</v>
      </c>
      <c r="S5" s="35">
        <f t="shared" si="1081"/>
        <v>0</v>
      </c>
      <c r="T5" s="35">
        <f t="shared" si="1082"/>
        <v>0</v>
      </c>
      <c r="U5" s="19" t="e">
        <f t="shared" si="1083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75"/>
        <v>320047.85647467524</v>
      </c>
      <c r="F6" s="13">
        <v>0</v>
      </c>
      <c r="G6" s="44">
        <v>192541</v>
      </c>
      <c r="H6" s="44">
        <v>0</v>
      </c>
      <c r="I6" s="16">
        <f t="shared" si="1076"/>
        <v>0</v>
      </c>
      <c r="J6" s="17">
        <f t="shared" si="1077"/>
        <v>87459</v>
      </c>
      <c r="K6" s="18">
        <f t="shared" si="1078"/>
        <v>220079.76547675158</v>
      </c>
      <c r="L6" s="19">
        <f t="shared" si="1079"/>
        <v>0.68764642857142855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080"/>
        <v>94000</v>
      </c>
      <c r="S6" s="35">
        <f t="shared" si="1081"/>
        <v>286541</v>
      </c>
      <c r="T6" s="35">
        <f t="shared" si="1082"/>
        <v>6541</v>
      </c>
      <c r="U6" s="19">
        <f t="shared" si="1083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75"/>
        <v>205985.22317750531</v>
      </c>
      <c r="F7" s="13">
        <v>0</v>
      </c>
      <c r="G7" s="44">
        <v>178200</v>
      </c>
      <c r="H7" s="13">
        <v>0</v>
      </c>
      <c r="I7" s="16">
        <f t="shared" si="1076"/>
        <v>0</v>
      </c>
      <c r="J7" s="17">
        <f t="shared" si="1077"/>
        <v>146581</v>
      </c>
      <c r="K7" s="18">
        <f t="shared" si="1078"/>
        <v>113019.440084954</v>
      </c>
      <c r="L7" s="19">
        <f t="shared" si="1079"/>
        <v>0.54867741647448587</v>
      </c>
      <c r="M7" s="34">
        <v>0</v>
      </c>
      <c r="N7" s="58">
        <v>0</v>
      </c>
      <c r="O7" s="34">
        <v>0</v>
      </c>
      <c r="P7" s="34">
        <v>522000</v>
      </c>
      <c r="Q7" s="34">
        <v>0</v>
      </c>
      <c r="R7" s="34">
        <f t="shared" si="1080"/>
        <v>522000</v>
      </c>
      <c r="S7" s="35">
        <f t="shared" si="1081"/>
        <v>700200</v>
      </c>
      <c r="T7" s="35">
        <f t="shared" si="1082"/>
        <v>375419</v>
      </c>
      <c r="U7" s="19">
        <f t="shared" si="1083"/>
        <v>2.155914293015909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75"/>
        <v>322487.6793555622</v>
      </c>
      <c r="F8" s="44">
        <v>394417</v>
      </c>
      <c r="G8" s="13">
        <v>360915</v>
      </c>
      <c r="H8" s="44">
        <v>0</v>
      </c>
      <c r="I8" s="16">
        <f t="shared" si="1076"/>
        <v>394417</v>
      </c>
      <c r="J8" s="17">
        <f t="shared" si="1077"/>
        <v>0</v>
      </c>
      <c r="K8" s="18">
        <f t="shared" si="1078"/>
        <v>322487.6793555622</v>
      </c>
      <c r="L8" s="19">
        <f t="shared" si="1079"/>
        <v>1</v>
      </c>
      <c r="M8" s="34">
        <v>0</v>
      </c>
      <c r="N8" s="58">
        <v>0</v>
      </c>
      <c r="O8" s="34">
        <v>0</v>
      </c>
      <c r="P8" s="34">
        <v>170000</v>
      </c>
      <c r="Q8" s="34">
        <v>0</v>
      </c>
      <c r="R8" s="34">
        <f t="shared" si="1080"/>
        <v>170000</v>
      </c>
      <c r="S8" s="35">
        <f t="shared" si="1081"/>
        <v>925332</v>
      </c>
      <c r="T8" s="35">
        <f t="shared" si="1082"/>
        <v>564417</v>
      </c>
      <c r="U8" s="19">
        <f t="shared" si="1083"/>
        <v>2.5638502140393169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75"/>
        <v>140431.72333427161</v>
      </c>
      <c r="F9" s="13">
        <v>0</v>
      </c>
      <c r="G9" s="13">
        <v>58575</v>
      </c>
      <c r="H9" s="13">
        <v>0</v>
      </c>
      <c r="I9" s="16">
        <f t="shared" si="1076"/>
        <v>0</v>
      </c>
      <c r="J9" s="17">
        <f t="shared" si="1077"/>
        <v>72875</v>
      </c>
      <c r="K9" s="18">
        <f t="shared" si="1078"/>
        <v>62577.316046443208</v>
      </c>
      <c r="L9" s="19">
        <f t="shared" si="1079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80"/>
        <v>233000</v>
      </c>
      <c r="S9" s="35">
        <f t="shared" si="1081"/>
        <v>291575</v>
      </c>
      <c r="T9" s="35">
        <f t="shared" si="1082"/>
        <v>160125</v>
      </c>
      <c r="U9" s="19">
        <f t="shared" si="1083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75"/>
        <v>1010223.8009756197</v>
      </c>
      <c r="F10" s="13">
        <v>0</v>
      </c>
      <c r="G10" s="13">
        <v>428013</v>
      </c>
      <c r="H10" s="13">
        <v>0</v>
      </c>
      <c r="I10" s="16">
        <f t="shared" si="1076"/>
        <v>0</v>
      </c>
      <c r="J10" s="17">
        <f t="shared" si="1077"/>
        <v>37597</v>
      </c>
      <c r="K10" s="18">
        <f t="shared" si="1078"/>
        <v>928650.41499748267</v>
      </c>
      <c r="L10" s="19">
        <f t="shared" si="1079"/>
        <v>0.91925216382809649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80"/>
        <v>0</v>
      </c>
      <c r="S10" s="35">
        <f>G10+I10+R10</f>
        <v>428013</v>
      </c>
      <c r="T10" s="35">
        <f t="shared" si="1082"/>
        <v>-37597</v>
      </c>
      <c r="U10" s="19">
        <f t="shared" si="1083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75"/>
        <v>57578.986018775817</v>
      </c>
      <c r="F11" s="13">
        <v>0</v>
      </c>
      <c r="G11" s="13">
        <v>37030</v>
      </c>
      <c r="H11" s="13">
        <v>0</v>
      </c>
      <c r="I11" s="16">
        <f t="shared" si="1076"/>
        <v>0</v>
      </c>
      <c r="J11" s="17">
        <f t="shared" si="1077"/>
        <v>0</v>
      </c>
      <c r="K11" s="18">
        <f t="shared" si="1078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80"/>
        <v>0</v>
      </c>
      <c r="S11" s="35">
        <f t="shared" si="1081"/>
        <v>37030</v>
      </c>
      <c r="T11" s="35">
        <f t="shared" si="1082"/>
        <v>0</v>
      </c>
      <c r="U11" s="19">
        <f t="shared" si="1083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75"/>
        <v>0</v>
      </c>
      <c r="F12" s="13">
        <v>0</v>
      </c>
      <c r="G12" s="13">
        <v>0</v>
      </c>
      <c r="H12" s="13">
        <v>0</v>
      </c>
      <c r="I12" s="16">
        <f t="shared" si="1076"/>
        <v>0</v>
      </c>
      <c r="J12" s="17">
        <f t="shared" si="1077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80"/>
        <v>0</v>
      </c>
      <c r="S12" s="35">
        <f t="shared" si="1081"/>
        <v>0</v>
      </c>
      <c r="T12" s="35">
        <f t="shared" si="1082"/>
        <v>0</v>
      </c>
      <c r="U12" s="19" t="e">
        <f t="shared" si="1083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75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77"/>
        <v>0</v>
      </c>
      <c r="K13" s="18">
        <f t="shared" si="1078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80"/>
        <v>0</v>
      </c>
      <c r="S13" s="35">
        <f t="shared" si="1081"/>
        <v>0</v>
      </c>
      <c r="T13" s="35">
        <f t="shared" si="1082"/>
        <v>0</v>
      </c>
      <c r="U13" s="19" t="e">
        <f t="shared" si="1083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75"/>
        <v>0</v>
      </c>
      <c r="F14" s="13">
        <v>0</v>
      </c>
      <c r="G14" s="13">
        <v>0</v>
      </c>
      <c r="H14" s="13">
        <v>0</v>
      </c>
      <c r="I14" s="16">
        <f t="shared" si="1076"/>
        <v>0</v>
      </c>
      <c r="J14" s="17">
        <f t="shared" si="1077"/>
        <v>0</v>
      </c>
      <c r="K14" s="18">
        <f t="shared" si="1078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80"/>
        <v>0</v>
      </c>
      <c r="S14" s="35">
        <f t="shared" si="1081"/>
        <v>0</v>
      </c>
      <c r="T14" s="35">
        <f t="shared" si="1082"/>
        <v>0</v>
      </c>
      <c r="U14" s="19" t="e">
        <f t="shared" si="1083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75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77"/>
        <v>27264</v>
      </c>
      <c r="K15" s="18">
        <f t="shared" si="1078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80"/>
        <v>0</v>
      </c>
      <c r="S15" s="35">
        <f t="shared" si="1081"/>
        <v>0</v>
      </c>
      <c r="T15" s="35">
        <f t="shared" si="1082"/>
        <v>-27264</v>
      </c>
      <c r="U15" s="19">
        <f t="shared" si="1083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75"/>
        <v>0</v>
      </c>
      <c r="F16" s="13">
        <v>0</v>
      </c>
      <c r="G16" s="33">
        <v>0</v>
      </c>
      <c r="H16" s="13">
        <v>0</v>
      </c>
      <c r="I16" s="16">
        <f t="shared" si="1076"/>
        <v>0</v>
      </c>
      <c r="J16" s="17">
        <f t="shared" si="1077"/>
        <v>0</v>
      </c>
      <c r="K16" s="18">
        <f t="shared" ref="K16:K18" si="1084">+G16*D16</f>
        <v>0</v>
      </c>
      <c r="L16" s="19" t="e">
        <f t="shared" ref="L16:L21" si="1085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80"/>
        <v>0</v>
      </c>
      <c r="S16" s="35">
        <f t="shared" si="1081"/>
        <v>0</v>
      </c>
      <c r="T16" s="35">
        <f t="shared" si="1082"/>
        <v>0</v>
      </c>
      <c r="U16" s="19" t="e">
        <f t="shared" si="1083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75"/>
        <v>0</v>
      </c>
      <c r="F17" s="13">
        <v>0</v>
      </c>
      <c r="G17" s="33">
        <v>0</v>
      </c>
      <c r="H17" s="13">
        <v>0</v>
      </c>
      <c r="I17" s="16">
        <f t="shared" si="1076"/>
        <v>0</v>
      </c>
      <c r="J17" s="17">
        <f t="shared" si="1077"/>
        <v>0</v>
      </c>
      <c r="K17" s="18">
        <f t="shared" si="1084"/>
        <v>0</v>
      </c>
      <c r="L17" s="19" t="e">
        <f t="shared" si="1085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80"/>
        <v>0</v>
      </c>
      <c r="S17" s="35">
        <f t="shared" si="1081"/>
        <v>0</v>
      </c>
      <c r="T17" s="35">
        <f t="shared" si="1082"/>
        <v>0</v>
      </c>
      <c r="U17" s="19" t="e">
        <f t="shared" si="1083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75"/>
        <v>0</v>
      </c>
      <c r="F18" s="13">
        <v>0</v>
      </c>
      <c r="G18" s="33">
        <v>0</v>
      </c>
      <c r="H18" s="13">
        <v>0</v>
      </c>
      <c r="I18" s="16">
        <f t="shared" si="1076"/>
        <v>0</v>
      </c>
      <c r="J18" s="17">
        <f t="shared" si="1077"/>
        <v>0</v>
      </c>
      <c r="K18" s="18">
        <f t="shared" si="1084"/>
        <v>0</v>
      </c>
      <c r="L18" s="19" t="e">
        <f t="shared" si="1085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80"/>
        <v>0</v>
      </c>
      <c r="S18" s="35">
        <f t="shared" si="1081"/>
        <v>0</v>
      </c>
      <c r="T18" s="35">
        <f t="shared" si="1082"/>
        <v>0</v>
      </c>
      <c r="U18" s="19" t="e">
        <f t="shared" si="1083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75"/>
        <v>0</v>
      </c>
      <c r="F19" s="13">
        <v>0</v>
      </c>
      <c r="G19" s="13">
        <v>0</v>
      </c>
      <c r="H19" s="13">
        <v>0</v>
      </c>
      <c r="I19" s="16">
        <f t="shared" si="1076"/>
        <v>0</v>
      </c>
      <c r="J19" s="17">
        <f t="shared" si="1077"/>
        <v>0</v>
      </c>
      <c r="K19" s="18">
        <f t="shared" si="1078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80"/>
        <v>0</v>
      </c>
      <c r="S19" s="35">
        <f t="shared" si="1081"/>
        <v>0</v>
      </c>
      <c r="T19" s="35">
        <f t="shared" si="1082"/>
        <v>0</v>
      </c>
      <c r="U19" s="19" t="e">
        <f t="shared" si="1083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75"/>
        <v>0</v>
      </c>
      <c r="F20" s="13">
        <v>0</v>
      </c>
      <c r="G20" s="13">
        <v>0</v>
      </c>
      <c r="H20" s="13">
        <v>0</v>
      </c>
      <c r="I20" s="16">
        <f t="shared" si="1076"/>
        <v>0</v>
      </c>
      <c r="J20" s="17">
        <f t="shared" si="1077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80"/>
        <v>0</v>
      </c>
      <c r="S20" s="35">
        <f t="shared" si="1081"/>
        <v>0</v>
      </c>
      <c r="T20" s="35">
        <f t="shared" si="1082"/>
        <v>0</v>
      </c>
      <c r="U20" s="19" t="e">
        <f t="shared" si="1083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86">SUM(E3:E20)</f>
        <v>4408558.1459349487</v>
      </c>
      <c r="F21" s="24">
        <f>SUM(F3:F20)</f>
        <v>813347</v>
      </c>
      <c r="G21" s="24">
        <f t="shared" si="1086"/>
        <v>1958387</v>
      </c>
      <c r="H21" s="24">
        <f t="shared" si="1086"/>
        <v>74694</v>
      </c>
      <c r="I21" s="25">
        <f>SUM(I3:I20)</f>
        <v>888041</v>
      </c>
      <c r="J21" s="26">
        <f>SUM(J3:J20)</f>
        <v>798663</v>
      </c>
      <c r="K21" s="26">
        <f>SUM(K3:K20)</f>
        <v>3152158.2983140564</v>
      </c>
      <c r="L21" s="27">
        <f t="shared" si="1085"/>
        <v>0.71500889723335148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80"/>
        <v>1</v>
      </c>
      <c r="S21" s="35">
        <f t="shared" si="1081"/>
        <v>2846429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C80093-00D8-4448-A982-004E0063001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CB0026-0054-4C04-BD78-00B30095007B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820044-000F-4E3E-853E-0026009C00C7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20000A-0021-4902-B896-009700BF006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AB0095-0029-4D30-8569-009500580084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64008E-00CE-499D-AB0C-00A8004800BE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2A002B-00D4-41C3-9C84-009000B4006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6700B5-00AB-41E3-B3C4-00A100C20093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3200DE-00C9-4974-A492-0034004B000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BF0013-0083-4154-91C0-00F50086001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0B0024-0093-4477-B87B-006800A30037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75009F-0056-4071-818D-00A000C60055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000"/>
    <outlinePr applyStyles="0" summaryBelow="1" summaryRight="1" showOutlineSymbols="1"/>
    <pageSetUpPr autoPageBreaks="1" fitToPage="0"/>
  </sheetPr>
  <sheetViews>
    <sheetView showGridLines="0" zoomScale="90" workbookViewId="0">
      <pane xSplit="3" ySplit="2" topLeftCell="D3" activePane="bottomRight" state="frozen"/>
      <selection activeCell="G20" activeCellId="0" sqref="G20"/>
    </sheetView>
  </sheetViews>
  <sheetFormatPr baseColWidth="10" defaultRowHeight="14.25" outlineLevelCol="1"/>
  <cols>
    <col customWidth="1" min="1" max="1" width="20.5546875"/>
    <col customWidth="1" min="2" max="2" width="38.109375"/>
    <col customWidth="1" min="3" max="3" width="19.5546875"/>
    <col customWidth="1" min="4" max="4" outlineLevel="1" width="7.5546875"/>
    <col bestFit="1" customWidth="1" min="5" max="5" width="15"/>
    <col customWidth="1" min="6" max="7" width="15.6640625"/>
    <col bestFit="1" customWidth="1" min="8" max="8" width="17.44140625"/>
    <col bestFit="1" customWidth="1" min="9" max="9" width="18.44140625"/>
    <col customWidth="1" min="10" max="11" width="16.6640625"/>
    <col customWidth="1" min="12" max="12" width="15.44140625"/>
    <col customWidth="1" min="13" max="17" width="12.44140625"/>
    <col customWidth="1" min="18" max="18" width="14.6640625"/>
    <col customWidth="1" min="19" max="19" width="11.44140625"/>
    <col customWidth="1" min="20" max="20" width="10.33203125"/>
  </cols>
  <sheetData>
    <row r="1" ht="16.5">
      <c r="I1" s="29"/>
      <c r="M1" s="31" t="s">
        <v>0</v>
      </c>
      <c r="N1" s="31" t="s">
        <v>1</v>
      </c>
      <c r="O1" s="31" t="s">
        <v>2</v>
      </c>
      <c r="P1" s="31" t="s">
        <v>3</v>
      </c>
      <c r="Q1" s="31" t="s">
        <v>51</v>
      </c>
    </row>
    <row r="2" ht="47.399999999999999" customHeight="1">
      <c r="A2" s="1" t="s">
        <v>4</v>
      </c>
      <c r="B2" s="1" t="s">
        <v>5</v>
      </c>
      <c r="C2" s="2" t="s">
        <v>173</v>
      </c>
      <c r="D2" s="2" t="s">
        <v>7</v>
      </c>
      <c r="E2" s="2" t="s">
        <v>8</v>
      </c>
      <c r="F2" s="1" t="s">
        <v>58</v>
      </c>
      <c r="G2" s="1" t="s">
        <v>10</v>
      </c>
      <c r="H2" s="1" t="s">
        <v>11</v>
      </c>
      <c r="I2" s="5" t="s">
        <v>190</v>
      </c>
      <c r="J2" s="7" t="s">
        <v>17</v>
      </c>
      <c r="K2" s="7" t="s">
        <v>18</v>
      </c>
      <c r="L2" s="7" t="s">
        <v>19</v>
      </c>
      <c r="M2" s="53" t="s">
        <v>175</v>
      </c>
      <c r="N2" s="53" t="s">
        <v>176</v>
      </c>
      <c r="O2" s="53" t="s">
        <v>177</v>
      </c>
      <c r="P2" s="53" t="s">
        <v>178</v>
      </c>
      <c r="Q2" s="47" t="s">
        <v>179</v>
      </c>
      <c r="R2" s="2" t="s">
        <v>60</v>
      </c>
      <c r="S2" s="2" t="s">
        <v>61</v>
      </c>
      <c r="T2" s="2" t="s">
        <v>62</v>
      </c>
      <c r="U2" s="39" t="s">
        <v>57</v>
      </c>
    </row>
    <row r="3">
      <c r="A3" s="9" t="s">
        <v>20</v>
      </c>
      <c r="B3" s="9" t="s">
        <v>21</v>
      </c>
      <c r="C3" s="14">
        <v>400000</v>
      </c>
      <c r="D3" s="11">
        <v>2.8923780588381258</v>
      </c>
      <c r="E3" s="12">
        <f t="shared" ref="E3:E20" si="1087">C3*D3</f>
        <v>1156951.2235352504</v>
      </c>
      <c r="F3" s="13">
        <v>74783</v>
      </c>
      <c r="G3" s="44">
        <v>334491</v>
      </c>
      <c r="H3" s="13">
        <v>74694</v>
      </c>
      <c r="I3" s="16">
        <f t="shared" ref="I3:I20" si="1088">F3+H3</f>
        <v>149477</v>
      </c>
      <c r="J3" s="17">
        <f t="shared" ref="J3:J20" si="1089">C3-G3</f>
        <v>65509</v>
      </c>
      <c r="K3" s="18">
        <f t="shared" ref="K3:K19" si="1090">+G3*D3</f>
        <v>967474.42927882355</v>
      </c>
      <c r="L3" s="19">
        <f t="shared" ref="L3:L10" si="1091">K3/E3</f>
        <v>0.8362274999999999</v>
      </c>
      <c r="M3" s="34">
        <v>0</v>
      </c>
      <c r="N3" s="58">
        <v>0</v>
      </c>
      <c r="O3" s="34">
        <v>0</v>
      </c>
      <c r="P3" s="34">
        <v>0</v>
      </c>
      <c r="Q3" s="34">
        <v>72000</v>
      </c>
      <c r="R3" s="34">
        <f t="shared" ref="R3:R21" si="1092">M3+N3+O3+P3+Q3</f>
        <v>72000</v>
      </c>
      <c r="S3" s="35">
        <f t="shared" ref="S3:S21" si="1093">G3+I3+R3</f>
        <v>555968</v>
      </c>
      <c r="T3" s="35">
        <f t="shared" ref="T3:T20" si="1094">S3-C3</f>
        <v>155968</v>
      </c>
      <c r="U3" s="19">
        <f t="shared" ref="U3:U20" si="1095">S3/C3</f>
        <v>1.38992</v>
      </c>
    </row>
    <row r="4">
      <c r="A4" s="9" t="s">
        <v>22</v>
      </c>
      <c r="B4" s="9" t="s">
        <v>23</v>
      </c>
      <c r="C4" s="14">
        <v>730000</v>
      </c>
      <c r="D4" s="50">
        <v>1.3029343529557731</v>
      </c>
      <c r="E4" s="14">
        <f t="shared" si="1087"/>
        <v>951142.07765771437</v>
      </c>
      <c r="F4" s="13">
        <v>362732</v>
      </c>
      <c r="G4" s="13">
        <v>368622</v>
      </c>
      <c r="H4" s="13">
        <v>0</v>
      </c>
      <c r="I4" s="16">
        <f t="shared" si="1088"/>
        <v>362732</v>
      </c>
      <c r="J4" s="17">
        <f t="shared" si="1089"/>
        <v>361378</v>
      </c>
      <c r="K4" s="18">
        <f t="shared" si="1090"/>
        <v>480290.26705526299</v>
      </c>
      <c r="L4" s="19">
        <f t="shared" si="1091"/>
        <v>0.50496164383561648</v>
      </c>
      <c r="M4" s="34">
        <v>0</v>
      </c>
      <c r="N4" s="58">
        <v>0</v>
      </c>
      <c r="O4" s="34">
        <v>0</v>
      </c>
      <c r="P4" s="34">
        <v>0</v>
      </c>
      <c r="Q4" s="34">
        <v>0</v>
      </c>
      <c r="R4" s="34">
        <f t="shared" si="1092"/>
        <v>0</v>
      </c>
      <c r="S4" s="35">
        <f t="shared" si="1093"/>
        <v>731354</v>
      </c>
      <c r="T4" s="35">
        <f t="shared" si="1094"/>
        <v>1354</v>
      </c>
      <c r="U4" s="19">
        <f t="shared" si="1095"/>
        <v>1.001854794520548</v>
      </c>
    </row>
    <row r="5">
      <c r="A5" s="9" t="s">
        <v>24</v>
      </c>
      <c r="B5" s="9" t="s">
        <v>25</v>
      </c>
      <c r="C5" s="14">
        <v>0</v>
      </c>
      <c r="D5" s="11">
        <v>4.6805391470734206</v>
      </c>
      <c r="E5" s="12">
        <f t="shared" si="1087"/>
        <v>0</v>
      </c>
      <c r="F5" s="13">
        <v>0</v>
      </c>
      <c r="G5" s="13">
        <v>0</v>
      </c>
      <c r="H5" s="13">
        <v>0</v>
      </c>
      <c r="I5" s="16">
        <f t="shared" si="1088"/>
        <v>0</v>
      </c>
      <c r="J5" s="17">
        <f t="shared" si="1089"/>
        <v>0</v>
      </c>
      <c r="K5" s="18">
        <f t="shared" si="1090"/>
        <v>0</v>
      </c>
      <c r="L5" s="19">
        <v>0</v>
      </c>
      <c r="M5" s="34">
        <v>0</v>
      </c>
      <c r="N5" s="58">
        <v>0</v>
      </c>
      <c r="O5" s="34">
        <v>0</v>
      </c>
      <c r="P5" s="34">
        <v>0</v>
      </c>
      <c r="Q5" s="34">
        <v>0</v>
      </c>
      <c r="R5" s="34">
        <f t="shared" si="1092"/>
        <v>0</v>
      </c>
      <c r="S5" s="35">
        <f t="shared" si="1093"/>
        <v>0</v>
      </c>
      <c r="T5" s="35">
        <f t="shared" si="1094"/>
        <v>0</v>
      </c>
      <c r="U5" s="19" t="e">
        <f t="shared" si="1095"/>
        <v>#DIV/0!</v>
      </c>
    </row>
    <row r="6">
      <c r="A6" s="9" t="s">
        <v>26</v>
      </c>
      <c r="B6" s="9" t="s">
        <v>27</v>
      </c>
      <c r="C6" s="14">
        <v>280000</v>
      </c>
      <c r="D6" s="11">
        <v>1.1430280588381259</v>
      </c>
      <c r="E6" s="12">
        <f t="shared" si="1087"/>
        <v>320047.85647467524</v>
      </c>
      <c r="F6" s="13">
        <v>0</v>
      </c>
      <c r="G6" s="44">
        <v>192541</v>
      </c>
      <c r="H6" s="44">
        <v>0</v>
      </c>
      <c r="I6" s="16">
        <f t="shared" si="1088"/>
        <v>0</v>
      </c>
      <c r="J6" s="17">
        <f t="shared" si="1089"/>
        <v>87459</v>
      </c>
      <c r="K6" s="18">
        <f t="shared" si="1090"/>
        <v>220079.76547675158</v>
      </c>
      <c r="L6" s="19">
        <f t="shared" si="1091"/>
        <v>0.68764642857142855</v>
      </c>
      <c r="M6" s="34">
        <v>0</v>
      </c>
      <c r="N6" s="58">
        <v>0</v>
      </c>
      <c r="O6" s="34">
        <v>0</v>
      </c>
      <c r="P6" s="34">
        <v>0</v>
      </c>
      <c r="Q6" s="34">
        <v>94000</v>
      </c>
      <c r="R6" s="34">
        <f t="shared" si="1092"/>
        <v>94000</v>
      </c>
      <c r="S6" s="35">
        <f t="shared" si="1093"/>
        <v>286541</v>
      </c>
      <c r="T6" s="35">
        <f t="shared" si="1094"/>
        <v>6541</v>
      </c>
      <c r="U6" s="19">
        <f t="shared" si="1095"/>
        <v>1.0233607142857142</v>
      </c>
    </row>
    <row r="7">
      <c r="A7" s="9" t="s">
        <v>28</v>
      </c>
      <c r="B7" s="9" t="s">
        <v>29</v>
      </c>
      <c r="C7" s="14">
        <v>324781</v>
      </c>
      <c r="D7" s="11">
        <v>0.63422805883812572</v>
      </c>
      <c r="E7" s="12">
        <f t="shared" si="1087"/>
        <v>205985.22317750531</v>
      </c>
      <c r="F7" s="13">
        <v>0</v>
      </c>
      <c r="G7" s="44">
        <v>178200</v>
      </c>
      <c r="H7" s="13">
        <v>0</v>
      </c>
      <c r="I7" s="16">
        <f t="shared" si="1088"/>
        <v>0</v>
      </c>
      <c r="J7" s="17">
        <f t="shared" si="1089"/>
        <v>146581</v>
      </c>
      <c r="K7" s="18">
        <f t="shared" si="1090"/>
        <v>113019.440084954</v>
      </c>
      <c r="L7" s="19">
        <f t="shared" si="1091"/>
        <v>0.54867741647448587</v>
      </c>
      <c r="M7" s="34">
        <v>0</v>
      </c>
      <c r="N7" s="58">
        <v>0</v>
      </c>
      <c r="O7" s="34">
        <v>0</v>
      </c>
      <c r="P7" s="34">
        <v>0</v>
      </c>
      <c r="Q7" s="34">
        <v>552000</v>
      </c>
      <c r="R7" s="34">
        <f t="shared" si="1092"/>
        <v>552000</v>
      </c>
      <c r="S7" s="35">
        <f t="shared" si="1093"/>
        <v>730200</v>
      </c>
      <c r="T7" s="35">
        <f t="shared" si="1094"/>
        <v>405419</v>
      </c>
      <c r="U7" s="19">
        <f t="shared" si="1095"/>
        <v>2.2482842284493243</v>
      </c>
    </row>
    <row r="8">
      <c r="A8" s="9" t="s">
        <v>30</v>
      </c>
      <c r="B8" s="9" t="s">
        <v>31</v>
      </c>
      <c r="C8" s="14">
        <v>360915</v>
      </c>
      <c r="D8" s="50">
        <v>0.89352805883812592</v>
      </c>
      <c r="E8" s="14">
        <f t="shared" si="1087"/>
        <v>322487.6793555622</v>
      </c>
      <c r="F8" s="44">
        <v>394417</v>
      </c>
      <c r="G8" s="13">
        <v>360915</v>
      </c>
      <c r="H8" s="44">
        <v>0</v>
      </c>
      <c r="I8" s="16">
        <f t="shared" si="1088"/>
        <v>394417</v>
      </c>
      <c r="J8" s="17">
        <f t="shared" si="1089"/>
        <v>0</v>
      </c>
      <c r="K8" s="18">
        <f t="shared" si="1090"/>
        <v>322487.6793555622</v>
      </c>
      <c r="L8" s="19">
        <f t="shared" si="1091"/>
        <v>1</v>
      </c>
      <c r="M8" s="34">
        <v>0</v>
      </c>
      <c r="N8" s="58">
        <v>0</v>
      </c>
      <c r="O8" s="34">
        <v>0</v>
      </c>
      <c r="P8" s="34">
        <v>0</v>
      </c>
      <c r="Q8" s="34">
        <v>0</v>
      </c>
      <c r="R8" s="34">
        <f t="shared" si="1092"/>
        <v>0</v>
      </c>
      <c r="S8" s="35">
        <f t="shared" si="1093"/>
        <v>755332</v>
      </c>
      <c r="T8" s="35">
        <f t="shared" si="1094"/>
        <v>394417</v>
      </c>
      <c r="U8" s="19">
        <f t="shared" si="1095"/>
        <v>2.0928251804441489</v>
      </c>
    </row>
    <row r="9">
      <c r="A9" s="9" t="s">
        <v>32</v>
      </c>
      <c r="B9" s="9" t="s">
        <v>33</v>
      </c>
      <c r="C9" s="14">
        <v>131450</v>
      </c>
      <c r="D9" s="11">
        <v>1.0683280588381256</v>
      </c>
      <c r="E9" s="12">
        <f t="shared" si="1087"/>
        <v>140431.72333427161</v>
      </c>
      <c r="F9" s="13">
        <v>0</v>
      </c>
      <c r="G9" s="13">
        <v>58575</v>
      </c>
      <c r="H9" s="13">
        <v>0</v>
      </c>
      <c r="I9" s="16">
        <f t="shared" si="1088"/>
        <v>0</v>
      </c>
      <c r="J9" s="17">
        <f t="shared" si="1089"/>
        <v>72875</v>
      </c>
      <c r="K9" s="18">
        <f t="shared" si="1090"/>
        <v>62577.316046443208</v>
      </c>
      <c r="L9" s="19">
        <f t="shared" si="1091"/>
        <v>0.44560669456066948</v>
      </c>
      <c r="M9" s="34">
        <v>0</v>
      </c>
      <c r="N9" s="58">
        <v>0</v>
      </c>
      <c r="O9" s="34">
        <v>0</v>
      </c>
      <c r="P9" s="34">
        <v>0</v>
      </c>
      <c r="Q9" s="34">
        <v>233000</v>
      </c>
      <c r="R9" s="34">
        <f t="shared" si="1092"/>
        <v>233000</v>
      </c>
      <c r="S9" s="35">
        <f t="shared" si="1093"/>
        <v>291575</v>
      </c>
      <c r="T9" s="35">
        <f t="shared" si="1094"/>
        <v>160125</v>
      </c>
      <c r="U9" s="19">
        <f t="shared" si="1095"/>
        <v>2.2181437809052871</v>
      </c>
    </row>
    <row r="10">
      <c r="A10" s="9" t="s">
        <v>34</v>
      </c>
      <c r="B10" s="9" t="s">
        <v>35</v>
      </c>
      <c r="C10" s="14">
        <v>465610</v>
      </c>
      <c r="D10" s="50">
        <v>2.1696780588381257</v>
      </c>
      <c r="E10" s="14">
        <f t="shared" si="1087"/>
        <v>1010223.8009756197</v>
      </c>
      <c r="F10" s="13">
        <v>0</v>
      </c>
      <c r="G10" s="13">
        <v>428013</v>
      </c>
      <c r="H10" s="13">
        <v>0</v>
      </c>
      <c r="I10" s="16">
        <f t="shared" si="1088"/>
        <v>0</v>
      </c>
      <c r="J10" s="17">
        <f t="shared" si="1089"/>
        <v>37597</v>
      </c>
      <c r="K10" s="18">
        <f t="shared" si="1090"/>
        <v>928650.41499748267</v>
      </c>
      <c r="L10" s="19">
        <f t="shared" si="1091"/>
        <v>0.91925216382809649</v>
      </c>
      <c r="M10" s="34">
        <v>0</v>
      </c>
      <c r="N10" s="58">
        <v>0</v>
      </c>
      <c r="O10" s="34">
        <v>0</v>
      </c>
      <c r="P10" s="34">
        <v>0</v>
      </c>
      <c r="Q10" s="34">
        <v>0</v>
      </c>
      <c r="R10" s="34">
        <f t="shared" si="1092"/>
        <v>0</v>
      </c>
      <c r="S10" s="35">
        <f>G10+I10+R10</f>
        <v>428013</v>
      </c>
      <c r="T10" s="35">
        <f t="shared" si="1094"/>
        <v>-37597</v>
      </c>
      <c r="U10" s="19">
        <f t="shared" si="1095"/>
        <v>0.91925216382809649</v>
      </c>
    </row>
    <row r="11">
      <c r="A11" s="9" t="s">
        <v>36</v>
      </c>
      <c r="B11" s="9" t="s">
        <v>37</v>
      </c>
      <c r="C11" s="14">
        <v>37030</v>
      </c>
      <c r="D11" s="11">
        <v>1.5549280588381262</v>
      </c>
      <c r="E11" s="12">
        <f t="shared" si="1087"/>
        <v>57578.986018775817</v>
      </c>
      <c r="F11" s="13">
        <v>0</v>
      </c>
      <c r="G11" s="13">
        <v>37030</v>
      </c>
      <c r="H11" s="13">
        <v>0</v>
      </c>
      <c r="I11" s="16">
        <f t="shared" si="1088"/>
        <v>0</v>
      </c>
      <c r="J11" s="17">
        <f t="shared" si="1089"/>
        <v>0</v>
      </c>
      <c r="K11" s="18">
        <f t="shared" si="1090"/>
        <v>57578.986018775817</v>
      </c>
      <c r="L11" s="19">
        <v>0</v>
      </c>
      <c r="M11" s="34">
        <v>0</v>
      </c>
      <c r="N11" s="58">
        <v>0</v>
      </c>
      <c r="O11" s="34">
        <v>0</v>
      </c>
      <c r="P11" s="34">
        <v>0</v>
      </c>
      <c r="Q11" s="34">
        <v>0</v>
      </c>
      <c r="R11" s="34">
        <f t="shared" si="1092"/>
        <v>0</v>
      </c>
      <c r="S11" s="35">
        <f t="shared" si="1093"/>
        <v>37030</v>
      </c>
      <c r="T11" s="35">
        <f t="shared" si="1094"/>
        <v>0</v>
      </c>
      <c r="U11" s="19">
        <f t="shared" si="1095"/>
        <v>1</v>
      </c>
    </row>
    <row r="12">
      <c r="A12" s="9" t="s">
        <v>38</v>
      </c>
      <c r="B12" s="9" t="s">
        <v>39</v>
      </c>
      <c r="C12" s="14">
        <v>0</v>
      </c>
      <c r="D12" s="11">
        <v>2.9832780588381254</v>
      </c>
      <c r="E12" s="12">
        <f t="shared" si="1087"/>
        <v>0</v>
      </c>
      <c r="F12" s="13">
        <v>0</v>
      </c>
      <c r="G12" s="13">
        <v>0</v>
      </c>
      <c r="H12" s="13">
        <v>0</v>
      </c>
      <c r="I12" s="16">
        <f t="shared" si="1088"/>
        <v>0</v>
      </c>
      <c r="J12" s="17">
        <f t="shared" si="1089"/>
        <v>0</v>
      </c>
      <c r="K12" s="18">
        <f>+G12*D12</f>
        <v>0</v>
      </c>
      <c r="L12" s="19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f t="shared" si="1092"/>
        <v>0</v>
      </c>
      <c r="S12" s="35">
        <f t="shared" si="1093"/>
        <v>0</v>
      </c>
      <c r="T12" s="35">
        <f t="shared" si="1094"/>
        <v>0</v>
      </c>
      <c r="U12" s="19" t="e">
        <f t="shared" si="1095"/>
        <v>#DIV/0!</v>
      </c>
    </row>
    <row r="13">
      <c r="A13" s="9" t="s">
        <v>40</v>
      </c>
      <c r="B13" s="9" t="s">
        <v>41</v>
      </c>
      <c r="C13" s="14">
        <v>0</v>
      </c>
      <c r="D13" s="11">
        <v>4.3295293823675376</v>
      </c>
      <c r="E13" s="12">
        <f t="shared" si="1087"/>
        <v>0</v>
      </c>
      <c r="F13" s="13">
        <v>0</v>
      </c>
      <c r="G13" s="13">
        <v>0</v>
      </c>
      <c r="H13" s="13">
        <v>0</v>
      </c>
      <c r="I13" s="16">
        <f>F13+H13</f>
        <v>0</v>
      </c>
      <c r="J13" s="17">
        <f t="shared" si="1089"/>
        <v>0</v>
      </c>
      <c r="K13" s="18">
        <f t="shared" si="1090"/>
        <v>0</v>
      </c>
      <c r="L13" s="19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f t="shared" si="1092"/>
        <v>0</v>
      </c>
      <c r="S13" s="35">
        <f t="shared" si="1093"/>
        <v>0</v>
      </c>
      <c r="T13" s="35">
        <f t="shared" si="1094"/>
        <v>0</v>
      </c>
      <c r="U13" s="19" t="e">
        <f t="shared" si="1095"/>
        <v>#DIV/0!</v>
      </c>
    </row>
    <row r="14">
      <c r="A14" s="56">
        <v>60000000032802</v>
      </c>
      <c r="B14" s="9" t="s">
        <v>113</v>
      </c>
      <c r="C14" s="14">
        <v>0</v>
      </c>
      <c r="D14" s="11">
        <v>9.2599999999999998</v>
      </c>
      <c r="E14" s="12">
        <f t="shared" si="1087"/>
        <v>0</v>
      </c>
      <c r="F14" s="13">
        <v>0</v>
      </c>
      <c r="G14" s="13">
        <v>0</v>
      </c>
      <c r="H14" s="13">
        <v>0</v>
      </c>
      <c r="I14" s="16">
        <f t="shared" si="1088"/>
        <v>0</v>
      </c>
      <c r="J14" s="17">
        <f t="shared" si="1089"/>
        <v>0</v>
      </c>
      <c r="K14" s="18">
        <f t="shared" si="1090"/>
        <v>0</v>
      </c>
      <c r="L14" s="19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f t="shared" si="1092"/>
        <v>0</v>
      </c>
      <c r="S14" s="35">
        <f t="shared" si="1093"/>
        <v>0</v>
      </c>
      <c r="T14" s="35">
        <f t="shared" si="1094"/>
        <v>0</v>
      </c>
      <c r="U14" s="19" t="e">
        <f t="shared" si="1095"/>
        <v>#DIV/0!</v>
      </c>
    </row>
    <row r="15">
      <c r="A15" s="9" t="s">
        <v>42</v>
      </c>
      <c r="B15" s="9" t="s">
        <v>43</v>
      </c>
      <c r="C15" s="14">
        <v>27264</v>
      </c>
      <c r="D15" s="11">
        <v>8.9388782058969483</v>
      </c>
      <c r="E15" s="12">
        <f t="shared" si="1087"/>
        <v>243709.5754055744</v>
      </c>
      <c r="F15" s="13">
        <v>0</v>
      </c>
      <c r="G15" s="13">
        <v>0</v>
      </c>
      <c r="H15" s="13">
        <v>0</v>
      </c>
      <c r="I15" s="16">
        <f>F15+H15</f>
        <v>0</v>
      </c>
      <c r="J15" s="17">
        <f t="shared" si="1089"/>
        <v>27264</v>
      </c>
      <c r="K15" s="18">
        <f t="shared" si="1090"/>
        <v>0</v>
      </c>
      <c r="L15" s="19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f t="shared" si="1092"/>
        <v>0</v>
      </c>
      <c r="S15" s="35">
        <f t="shared" si="1093"/>
        <v>0</v>
      </c>
      <c r="T15" s="35">
        <f t="shared" si="1094"/>
        <v>-27264</v>
      </c>
      <c r="U15" s="19">
        <f t="shared" si="1095"/>
        <v>0</v>
      </c>
    </row>
    <row r="16">
      <c r="A16" s="9" t="s">
        <v>44</v>
      </c>
      <c r="B16" s="9" t="s">
        <v>45</v>
      </c>
      <c r="C16" s="14">
        <v>0</v>
      </c>
      <c r="D16" s="11">
        <v>12.061373764720482</v>
      </c>
      <c r="E16" s="12">
        <f t="shared" si="1087"/>
        <v>0</v>
      </c>
      <c r="F16" s="13">
        <v>0</v>
      </c>
      <c r="G16" s="33">
        <v>0</v>
      </c>
      <c r="H16" s="13">
        <v>0</v>
      </c>
      <c r="I16" s="16">
        <f t="shared" si="1088"/>
        <v>0</v>
      </c>
      <c r="J16" s="17">
        <f t="shared" si="1089"/>
        <v>0</v>
      </c>
      <c r="K16" s="18">
        <f t="shared" ref="K16:K18" si="1096">+G16*D16</f>
        <v>0</v>
      </c>
      <c r="L16" s="19" t="e">
        <f t="shared" ref="L16:L21" si="1097">K16/E16</f>
        <v>#DIV/0!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f t="shared" si="1092"/>
        <v>0</v>
      </c>
      <c r="S16" s="35">
        <f t="shared" si="1093"/>
        <v>0</v>
      </c>
      <c r="T16" s="35">
        <f t="shared" si="1094"/>
        <v>0</v>
      </c>
      <c r="U16" s="19" t="e">
        <f t="shared" si="1095"/>
        <v>#DIV/0!</v>
      </c>
    </row>
    <row r="17">
      <c r="A17" s="62" t="s">
        <v>150</v>
      </c>
      <c r="B17" s="63" t="s">
        <v>151</v>
      </c>
      <c r="C17" s="14">
        <v>0</v>
      </c>
      <c r="D17" s="11">
        <v>6.7956857705540301</v>
      </c>
      <c r="E17" s="12">
        <f t="shared" si="1087"/>
        <v>0</v>
      </c>
      <c r="F17" s="13">
        <v>0</v>
      </c>
      <c r="G17" s="33">
        <v>0</v>
      </c>
      <c r="H17" s="13">
        <v>0</v>
      </c>
      <c r="I17" s="16">
        <f t="shared" si="1088"/>
        <v>0</v>
      </c>
      <c r="J17" s="17">
        <f t="shared" si="1089"/>
        <v>0</v>
      </c>
      <c r="K17" s="18">
        <f t="shared" si="1096"/>
        <v>0</v>
      </c>
      <c r="L17" s="19" t="e">
        <f t="shared" si="1097"/>
        <v>#DIV/0!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f t="shared" si="1092"/>
        <v>0</v>
      </c>
      <c r="S17" s="35">
        <f t="shared" si="1093"/>
        <v>0</v>
      </c>
      <c r="T17" s="35">
        <f t="shared" si="1094"/>
        <v>0</v>
      </c>
      <c r="U17" s="19" t="e">
        <f t="shared" si="1095"/>
        <v>#DIV/0!</v>
      </c>
    </row>
    <row r="18">
      <c r="A18" s="62" t="s">
        <v>152</v>
      </c>
      <c r="B18" s="63" t="s">
        <v>153</v>
      </c>
      <c r="C18" s="14">
        <v>0</v>
      </c>
      <c r="D18" s="11">
        <v>10.033574703112851</v>
      </c>
      <c r="E18" s="12">
        <f t="shared" si="1087"/>
        <v>0</v>
      </c>
      <c r="F18" s="13">
        <v>0</v>
      </c>
      <c r="G18" s="33">
        <v>0</v>
      </c>
      <c r="H18" s="13">
        <v>0</v>
      </c>
      <c r="I18" s="16">
        <f t="shared" si="1088"/>
        <v>0</v>
      </c>
      <c r="J18" s="17">
        <f t="shared" si="1089"/>
        <v>0</v>
      </c>
      <c r="K18" s="18">
        <f t="shared" si="1096"/>
        <v>0</v>
      </c>
      <c r="L18" s="19" t="e">
        <f t="shared" si="1097"/>
        <v>#DIV/0!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f t="shared" si="1092"/>
        <v>0</v>
      </c>
      <c r="S18" s="35">
        <f t="shared" si="1093"/>
        <v>0</v>
      </c>
      <c r="T18" s="35">
        <f t="shared" si="1094"/>
        <v>0</v>
      </c>
      <c r="U18" s="19" t="e">
        <f t="shared" si="1095"/>
        <v>#DIV/0!</v>
      </c>
    </row>
    <row r="19">
      <c r="A19" s="57" t="s">
        <v>46</v>
      </c>
      <c r="B19" s="9" t="s">
        <v>47</v>
      </c>
      <c r="C19" s="14">
        <v>0</v>
      </c>
      <c r="D19" s="11">
        <v>0.40322805883812579</v>
      </c>
      <c r="E19" s="12">
        <f t="shared" si="1087"/>
        <v>0</v>
      </c>
      <c r="F19" s="13">
        <v>0</v>
      </c>
      <c r="G19" s="13">
        <v>0</v>
      </c>
      <c r="H19" s="13">
        <v>0</v>
      </c>
      <c r="I19" s="16">
        <f t="shared" si="1088"/>
        <v>0</v>
      </c>
      <c r="J19" s="17">
        <f t="shared" si="1089"/>
        <v>0</v>
      </c>
      <c r="K19" s="18">
        <f t="shared" si="1090"/>
        <v>0</v>
      </c>
      <c r="L19" s="1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f t="shared" si="1092"/>
        <v>0</v>
      </c>
      <c r="S19" s="35">
        <f t="shared" si="1093"/>
        <v>0</v>
      </c>
      <c r="T19" s="35">
        <f t="shared" si="1094"/>
        <v>0</v>
      </c>
      <c r="U19" s="19" t="e">
        <f t="shared" si="1095"/>
        <v>#DIV/0!</v>
      </c>
    </row>
    <row r="20">
      <c r="A20" s="57" t="s">
        <v>48</v>
      </c>
      <c r="B20" s="9" t="s">
        <v>49</v>
      </c>
      <c r="C20" s="14">
        <v>0</v>
      </c>
      <c r="D20" s="11">
        <v>3.0573254068481477</v>
      </c>
      <c r="E20" s="12">
        <f t="shared" si="1087"/>
        <v>0</v>
      </c>
      <c r="F20" s="13">
        <v>0</v>
      </c>
      <c r="G20" s="13">
        <v>0</v>
      </c>
      <c r="H20" s="13">
        <v>0</v>
      </c>
      <c r="I20" s="16">
        <f t="shared" si="1088"/>
        <v>0</v>
      </c>
      <c r="J20" s="17">
        <f t="shared" si="1089"/>
        <v>0</v>
      </c>
      <c r="K20" s="18">
        <f>+G20*D20</f>
        <v>0</v>
      </c>
      <c r="L20" s="19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f t="shared" si="1092"/>
        <v>0</v>
      </c>
      <c r="S20" s="35">
        <f t="shared" si="1093"/>
        <v>0</v>
      </c>
      <c r="T20" s="35">
        <f t="shared" si="1094"/>
        <v>0</v>
      </c>
      <c r="U20" s="19" t="e">
        <f t="shared" si="1095"/>
        <v>#DIV/0!</v>
      </c>
    </row>
    <row r="21" ht="16.5">
      <c r="A21" s="21" t="s">
        <v>50</v>
      </c>
      <c r="B21" s="21"/>
      <c r="C21" s="36">
        <f>SUM(C3:C20)</f>
        <v>2757050</v>
      </c>
      <c r="D21" s="23"/>
      <c r="E21" s="22">
        <f t="shared" ref="E21:H21" si="1098">SUM(E3:E20)</f>
        <v>4408558.1459349487</v>
      </c>
      <c r="F21" s="24">
        <f>SUM(F3:F20)</f>
        <v>831932</v>
      </c>
      <c r="G21" s="24">
        <f t="shared" si="1098"/>
        <v>1958387</v>
      </c>
      <c r="H21" s="24">
        <f t="shared" si="1098"/>
        <v>74694</v>
      </c>
      <c r="I21" s="25">
        <f>SUM(I3:I20)</f>
        <v>906626</v>
      </c>
      <c r="J21" s="26">
        <f>SUM(J3:J20)</f>
        <v>798663</v>
      </c>
      <c r="K21" s="26">
        <f>SUM(K3:K20)</f>
        <v>3152158.2983140564</v>
      </c>
      <c r="L21" s="27">
        <f t="shared" si="1097"/>
        <v>0.71500889723335148</v>
      </c>
      <c r="M21" s="34">
        <v>0</v>
      </c>
      <c r="N21" s="34">
        <v>0</v>
      </c>
      <c r="O21" s="34">
        <v>1</v>
      </c>
      <c r="P21" s="34">
        <v>0</v>
      </c>
      <c r="Q21" s="34">
        <v>0</v>
      </c>
      <c r="R21" s="34">
        <f t="shared" si="1092"/>
        <v>1</v>
      </c>
      <c r="S21" s="35">
        <f t="shared" si="1093"/>
        <v>2865014</v>
      </c>
      <c r="T21" s="41"/>
    </row>
    <row r="22">
      <c r="B22" s="28"/>
      <c r="C22" s="28"/>
      <c r="D22" s="28"/>
      <c r="E22" s="28"/>
      <c r="K22" t="s">
        <v>64</v>
      </c>
    </row>
    <row r="23">
      <c r="E23" t="s">
        <v>64</v>
      </c>
    </row>
    <row r="24">
      <c r="E24" t="s">
        <v>64</v>
      </c>
    </row>
    <row r="25">
      <c r="E25" t="s">
        <v>64</v>
      </c>
      <c r="F25" t="s">
        <v>64</v>
      </c>
      <c r="G25" t="s">
        <v>64</v>
      </c>
    </row>
    <row r="26">
      <c r="E26" t="s">
        <v>64</v>
      </c>
      <c r="G26" t="s">
        <v>64</v>
      </c>
      <c r="I26" t="s">
        <v>64</v>
      </c>
    </row>
    <row r="27">
      <c r="G27" t="s">
        <v>64</v>
      </c>
      <c r="I27" t="s">
        <v>64</v>
      </c>
    </row>
    <row r="28">
      <c r="F28" t="s">
        <v>64</v>
      </c>
      <c r="I28" t="s">
        <v>64</v>
      </c>
    </row>
  </sheetData>
  <autoFilter ref="B2:U2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" id="{00AE0047-0087-4A9C-9461-00A800D300A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1" operator="lessThan" id="{00F80021-006F-45C0-81C2-005C003D000D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10" operator="between" id="{00710095-0017-401C-884A-00F200890012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L3:L13 L15:L21</xm:sqref>
        </x14:conditionalFormatting>
        <x14:conditionalFormatting xmlns:xm="http://schemas.microsoft.com/office/excel/2006/main">
          <x14:cfRule type="cellIs" priority="9" operator="greaterThan" id="{002C00C3-0048-4E8B-9F8C-00A9003500D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8" operator="lessThan" id="{00000066-0089-46F3-A7A5-0041006C001C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7" operator="between" id="{0045007E-0083-4432-B40F-006200C300C6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U3:U13 U15:U20</xm:sqref>
        </x14:conditionalFormatting>
        <x14:conditionalFormatting xmlns:xm="http://schemas.microsoft.com/office/excel/2006/main">
          <x14:cfRule type="cellIs" priority="6" operator="greaterThan" id="{00650099-0064-4D88-98BF-00CF0071000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5" operator="lessThan" id="{00A70051-0077-4D8B-8CBE-00B300420099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" operator="between" id="{00E200D6-00C6-4F1C-9C18-005F009300E3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3" operator="greaterThan" id="{00C90000-00E7-4EBC-8D9E-00680039008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2" operator="lessThan" id="{00CD0045-008B-4F33-B10B-00F100CF0058}">
            <xm:f>0.8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" operator="between" id="{005200FF-0043-456F-A896-00F200F800CD}">
            <xm:f>0.8</xm:f>
            <xm:f>1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U14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revision>3</cp:revision>
  <dcterms:created xsi:type="dcterms:W3CDTF">2022-01-18T12:16:43Z</dcterms:created>
  <dcterms:modified xsi:type="dcterms:W3CDTF">2023-03-22T19:40:21Z</dcterms:modified>
</cp:coreProperties>
</file>