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vbaProject.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 codeName="{B7FE6334-C1A2-E50D-BD3D-5F4D41BBC2E3}"/>
  <workbookPr codeName="ThisWorkbook" defaultThemeVersion="124226"/>
  <bookViews>
    <workbookView xWindow="120" yWindow="480" windowWidth="9432" windowHeight="3780" tabRatio="598" activeTab="2"/>
  </bookViews>
  <sheets>
    <sheet name="Properties" sheetId="21" r:id="rId1"/>
    <sheet name="Functions" sheetId="18" r:id="rId2"/>
    <sheet name="Engine" sheetId="22" r:id="rId3"/>
    <sheet name="O-ring table" sheetId="23" r:id="rId4"/>
    <sheet name="copper tubing" sheetId="24" r:id="rId5"/>
    <sheet name="Drivetrain" sheetId="25" r:id="rId6"/>
    <sheet name="NPT threads" sheetId="26" r:id="rId7"/>
    <sheet name="valve passage calculation" sheetId="27" r:id="rId8"/>
  </sheets>
  <functionGroups/>
  <definedNames>
    <definedName name="_xlnm.Print_Area" localSheetId="1">Functions!$A$1:$O$157</definedName>
  </definedNames>
  <calcPr calcId="125725"/>
</workbook>
</file>

<file path=xl/calcChain.xml><?xml version="1.0" encoding="utf-8"?>
<calcChain xmlns="http://schemas.openxmlformats.org/spreadsheetml/2006/main">
  <c r="F199" i="22"/>
  <c r="D180"/>
  <c r="F177"/>
  <c r="H177" s="1"/>
  <c r="F193"/>
  <c r="F20" i="27"/>
  <c r="F15"/>
  <c r="F8"/>
  <c r="F17" s="1"/>
  <c r="H8" i="24"/>
  <c r="F8"/>
  <c r="G8" s="1"/>
  <c r="G5"/>
  <c r="G6"/>
  <c r="G7"/>
  <c r="G9"/>
  <c r="G10"/>
  <c r="G11"/>
  <c r="G4"/>
  <c r="F5"/>
  <c r="H5" s="1"/>
  <c r="E31" i="25"/>
  <c r="E25"/>
  <c r="E21"/>
  <c r="E17"/>
  <c r="G41"/>
  <c r="E33"/>
  <c r="E22"/>
  <c r="E27" s="1"/>
  <c r="E12"/>
  <c r="G12" s="1"/>
  <c r="I12" s="1"/>
  <c r="F6" i="24"/>
  <c r="F7"/>
  <c r="F9"/>
  <c r="F10"/>
  <c r="H10" s="1"/>
  <c r="F11"/>
  <c r="H11" s="1"/>
  <c r="F4"/>
  <c r="H4" s="1"/>
  <c r="C6"/>
  <c r="H7"/>
  <c r="H9"/>
  <c r="F3" i="22"/>
  <c r="H3"/>
  <c r="F4"/>
  <c r="H4"/>
  <c r="F5"/>
  <c r="F104" s="1"/>
  <c r="H5"/>
  <c r="H104" s="1"/>
  <c r="N46" s="1"/>
  <c r="D6"/>
  <c r="D7" s="1"/>
  <c r="F11"/>
  <c r="H11" s="1"/>
  <c r="J11"/>
  <c r="D22" s="1"/>
  <c r="D33" s="1"/>
  <c r="F12"/>
  <c r="F16"/>
  <c r="H16" s="1"/>
  <c r="J16"/>
  <c r="D79" s="1"/>
  <c r="G17"/>
  <c r="E23"/>
  <c r="E34" s="1"/>
  <c r="E69" s="1"/>
  <c r="E81" s="1"/>
  <c r="E94" s="1"/>
  <c r="C33"/>
  <c r="C34"/>
  <c r="E38"/>
  <c r="E43"/>
  <c r="G43"/>
  <c r="H53"/>
  <c r="H54"/>
  <c r="E61"/>
  <c r="E78" s="1"/>
  <c r="G61"/>
  <c r="G78" s="1"/>
  <c r="E64"/>
  <c r="E98" s="1"/>
  <c r="E84" s="1"/>
  <c r="C65"/>
  <c r="E65"/>
  <c r="G65"/>
  <c r="E80"/>
  <c r="E97" s="1"/>
  <c r="E114" s="1"/>
  <c r="E82"/>
  <c r="E95" s="1"/>
  <c r="E106" s="1"/>
  <c r="D104"/>
  <c r="E104"/>
  <c r="G104"/>
  <c r="I104"/>
  <c r="K104"/>
  <c r="E105"/>
  <c r="G105"/>
  <c r="F151"/>
  <c r="F100" i="18"/>
  <c r="G16" i="21"/>
  <c r="F85" i="18"/>
  <c r="F26"/>
  <c r="F25"/>
  <c r="F93"/>
  <c r="C16" i="21"/>
  <c r="F30" i="18"/>
  <c r="G22" i="21"/>
  <c r="F16" i="18"/>
  <c r="F52"/>
  <c r="F22"/>
  <c r="F110"/>
  <c r="F36"/>
  <c r="F87"/>
  <c r="F39"/>
  <c r="F104"/>
  <c r="F67"/>
  <c r="G28" i="21"/>
  <c r="F61" i="18"/>
  <c r="F74"/>
  <c r="F96"/>
  <c r="G14" i="21"/>
  <c r="G31"/>
  <c r="F24" i="18"/>
  <c r="F113"/>
  <c r="F37"/>
  <c r="F86"/>
  <c r="C18" i="21"/>
  <c r="F51" i="18"/>
  <c r="F68"/>
  <c r="F78"/>
  <c r="F106"/>
  <c r="F63"/>
  <c r="F44"/>
  <c r="F53"/>
  <c r="F71"/>
  <c r="F97"/>
  <c r="C21" i="21"/>
  <c r="F18" i="18"/>
  <c r="F20"/>
  <c r="F103"/>
  <c r="C34" i="21"/>
  <c r="F60" i="18"/>
  <c r="F58"/>
  <c r="F21"/>
  <c r="F28"/>
  <c r="F29"/>
  <c r="F43"/>
  <c r="F105"/>
  <c r="F34"/>
  <c r="C20" i="21"/>
  <c r="F69" i="18"/>
  <c r="F15"/>
  <c r="F59"/>
  <c r="C22" i="21"/>
  <c r="G20"/>
  <c r="F101" i="18"/>
  <c r="F66"/>
  <c r="F109"/>
  <c r="F73"/>
  <c r="C30" i="21"/>
  <c r="F102" i="18"/>
  <c r="C17" i="21"/>
  <c r="F83" i="18"/>
  <c r="F50"/>
  <c r="C35" i="21"/>
  <c r="C32"/>
  <c r="F84" i="18"/>
  <c r="F42"/>
  <c r="F79"/>
  <c r="F70"/>
  <c r="F17"/>
  <c r="F47"/>
  <c r="F27"/>
  <c r="F76"/>
  <c r="F117"/>
  <c r="G34" i="21"/>
  <c r="F62" i="18"/>
  <c r="F32"/>
  <c r="G17" i="21"/>
  <c r="C28"/>
  <c r="F57" i="18"/>
  <c r="G30" i="21"/>
  <c r="F31" i="18"/>
  <c r="F48"/>
  <c r="F65"/>
  <c r="G18" i="21"/>
  <c r="F38" i="18"/>
  <c r="G35" i="21"/>
  <c r="G32"/>
  <c r="F92" i="18"/>
  <c r="F35"/>
  <c r="C14" i="21"/>
  <c r="F77" i="18"/>
  <c r="F81"/>
  <c r="G29" i="21"/>
  <c r="F46" i="18"/>
  <c r="F54"/>
  <c r="F82"/>
  <c r="F40"/>
  <c r="F118"/>
  <c r="F91"/>
  <c r="F112"/>
  <c r="F75"/>
  <c r="G21" i="21"/>
  <c r="F45" i="18"/>
  <c r="C29" i="21"/>
  <c r="F14" i="22"/>
  <c r="F13"/>
  <c r="F15"/>
  <c r="F17"/>
  <c r="D178"/>
  <c r="F21" i="27" l="1"/>
  <c r="F23" s="1"/>
  <c r="E36" i="25"/>
  <c r="E39" s="1"/>
  <c r="E26"/>
  <c r="G26" s="1"/>
  <c r="I26" s="1"/>
  <c r="E23" s="1"/>
  <c r="G23" s="1"/>
  <c r="H6" i="24"/>
  <c r="H17" i="22"/>
  <c r="J5"/>
  <c r="J104" s="1"/>
  <c r="F6"/>
  <c r="F7" s="1"/>
  <c r="H6"/>
  <c r="H7" s="1"/>
  <c r="D21"/>
  <c r="N41" s="1"/>
  <c r="N47" s="1"/>
  <c r="F21"/>
  <c r="D24" s="1"/>
  <c r="F24" s="1"/>
  <c r="D27"/>
  <c r="D37" s="1"/>
  <c r="C23" i="21"/>
  <c r="D55" i="18"/>
  <c r="G23" i="21"/>
  <c r="G33"/>
  <c r="C33"/>
  <c r="D26" i="22"/>
  <c r="F26" s="1"/>
  <c r="D38"/>
  <c r="D93"/>
  <c r="H79"/>
  <c r="O44" s="1"/>
  <c r="F79"/>
  <c r="F33"/>
  <c r="D44"/>
  <c r="F44" s="1"/>
  <c r="E107"/>
  <c r="H12"/>
  <c r="D23"/>
  <c r="D34" s="1"/>
  <c r="F55" i="18"/>
  <c r="C31" i="21"/>
  <c r="D41" i="22"/>
  <c r="D39"/>
  <c r="D40"/>
  <c r="D148"/>
  <c r="E35" i="25" l="1"/>
  <c r="G35" s="1"/>
  <c r="I35" s="1"/>
  <c r="D32" i="22"/>
  <c r="N42" s="1"/>
  <c r="J6"/>
  <c r="F32" s="1"/>
  <c r="D47"/>
  <c r="D112" s="1"/>
  <c r="D64"/>
  <c r="F93"/>
  <c r="O45" s="1"/>
  <c r="D61"/>
  <c r="J7"/>
  <c r="F61" s="1"/>
  <c r="F78" s="1"/>
  <c r="F22"/>
  <c r="O41" s="1"/>
  <c r="O47" s="1"/>
  <c r="O42"/>
  <c r="D25"/>
  <c r="F25" s="1"/>
  <c r="E38" i="25" l="1"/>
  <c r="G38" s="1"/>
  <c r="E43" s="1"/>
  <c r="G43" s="1"/>
  <c r="E37"/>
  <c r="G37" s="1"/>
  <c r="D43" i="22"/>
  <c r="D92"/>
  <c r="D113" s="1"/>
  <c r="D35"/>
  <c r="F43"/>
  <c r="D45" s="1"/>
  <c r="D129" s="1"/>
  <c r="D48"/>
  <c r="D62"/>
  <c r="N43"/>
  <c r="D78"/>
  <c r="N44" s="1"/>
  <c r="D49"/>
  <c r="F92" l="1"/>
  <c r="N45" s="1"/>
  <c r="D101"/>
  <c r="D102" s="1"/>
  <c r="D131" s="1"/>
  <c r="D63"/>
  <c r="F35"/>
  <c r="D65"/>
  <c r="D36"/>
  <c r="F36" s="1"/>
  <c r="D50"/>
  <c r="D137" l="1"/>
  <c r="F65"/>
  <c r="D51"/>
  <c r="D52"/>
  <c r="D53"/>
  <c r="D54"/>
  <c r="D66" l="1"/>
  <c r="F66" s="1"/>
  <c r="O43" s="1"/>
  <c r="D67"/>
  <c r="D69"/>
  <c r="D72"/>
  <c r="D71"/>
  <c r="D70"/>
  <c r="D80" l="1"/>
  <c r="D181" s="1"/>
  <c r="D68"/>
  <c r="F68" s="1"/>
  <c r="D56" s="1"/>
  <c r="D130" s="1"/>
  <c r="D84"/>
  <c r="D82"/>
  <c r="D86"/>
  <c r="D81"/>
  <c r="D94" l="1"/>
  <c r="D95"/>
  <c r="D83"/>
  <c r="F83" s="1"/>
  <c r="D97"/>
  <c r="D99" l="1"/>
  <c r="F99" s="1"/>
  <c r="D96"/>
  <c r="D85"/>
  <c r="F85" s="1"/>
  <c r="D98"/>
  <c r="D107" l="1"/>
  <c r="F96"/>
  <c r="F105" s="1"/>
  <c r="D159" s="1"/>
  <c r="D105"/>
  <c r="D106" s="1"/>
  <c r="D88"/>
  <c r="D141" s="1"/>
  <c r="D142"/>
  <c r="D114"/>
  <c r="D115" s="1"/>
  <c r="D116" s="1"/>
  <c r="D117" s="1"/>
  <c r="D118" s="1"/>
  <c r="D119" s="1"/>
  <c r="D120" s="1"/>
  <c r="D144" l="1"/>
  <c r="D167" s="1"/>
  <c r="F167" s="1"/>
  <c r="F159"/>
  <c r="F160" s="1"/>
  <c r="F161" s="1"/>
  <c r="D160"/>
  <c r="D161" s="1"/>
  <c r="D121"/>
  <c r="D122"/>
  <c r="D109" l="1"/>
  <c r="D110" s="1"/>
  <c r="F110" s="1"/>
  <c r="D108"/>
  <c r="F108" s="1"/>
  <c r="O46" s="1"/>
  <c r="H161"/>
  <c r="D126" l="1"/>
  <c r="D136" s="1"/>
  <c r="D139" s="1"/>
  <c r="D165" s="1"/>
  <c r="F165" s="1"/>
  <c r="D124"/>
  <c r="D132" s="1"/>
  <c r="D134" s="1"/>
  <c r="D175" l="1"/>
  <c r="H165"/>
  <c r="D154"/>
  <c r="D155" s="1"/>
  <c r="D147"/>
  <c r="D149" s="1"/>
  <c r="F175" l="1"/>
  <c r="F189" s="1"/>
  <c r="D189"/>
  <c r="D191" s="1"/>
  <c r="D157"/>
  <c r="F172"/>
  <c r="D172" l="1"/>
  <c r="D173" s="1"/>
  <c r="D174" s="1"/>
  <c r="D163"/>
  <c r="F191"/>
  <c r="D196" l="1"/>
  <c r="D202"/>
  <c r="D197" l="1"/>
  <c r="F196"/>
  <c r="F202"/>
  <c r="D203"/>
</calcChain>
</file>

<file path=xl/sharedStrings.xml><?xml version="1.0" encoding="utf-8"?>
<sst xmlns="http://schemas.openxmlformats.org/spreadsheetml/2006/main" count="1070" uniqueCount="557">
  <si>
    <t>v2.6</t>
  </si>
  <si>
    <t>* Error in valid region for function tc_ptrho</t>
  </si>
  <si>
    <t>Prandtl</t>
  </si>
  <si>
    <t>News in V2.2</t>
  </si>
  <si>
    <t>* Function p_hrho added. (Very good for calcualting pressure when heating a volume with water/steam mixture.)</t>
  </si>
  <si>
    <t>* Fixed error in Cp_ph</t>
  </si>
  <si>
    <t>Dynamic Viscosity</t>
  </si>
  <si>
    <t>Calcualted as Cp*my/tc</t>
  </si>
  <si>
    <t>* Prandtl number added</t>
  </si>
  <si>
    <t>* Extensive testing</t>
  </si>
  <si>
    <t>-</t>
  </si>
  <si>
    <t>Version history</t>
  </si>
  <si>
    <t>* Fixed error in T_hs return no value for vet region bellow the water saturation line.</t>
  </si>
  <si>
    <t>News in V2.3</t>
  </si>
  <si>
    <t>* my_ph not defined in region 4.</t>
  </si>
  <si>
    <t>* Problems at region border for h4V_p to adress solver problems at the exact border.</t>
  </si>
  <si>
    <t>* Option Explicit, gives more efficient calculations.</t>
  </si>
  <si>
    <t>* Problem at fast border check in region_ph fixed.</t>
  </si>
  <si>
    <t>News in V2.4</t>
  </si>
  <si>
    <t>* Matlab error giving varaible undefined in some backwards solutions fixed.</t>
  </si>
  <si>
    <t xml:space="preserve"> p_hrho</t>
  </si>
  <si>
    <t xml:space="preserve"> p_hs</t>
  </si>
  <si>
    <t xml:space="preserve"> psat_T</t>
  </si>
  <si>
    <t xml:space="preserve"> T_hs</t>
  </si>
  <si>
    <t xml:space="preserve"> T_ph</t>
  </si>
  <si>
    <t xml:space="preserve"> Tsat_p</t>
  </si>
  <si>
    <t xml:space="preserve"> T_ps</t>
  </si>
  <si>
    <t xml:space="preserve"> hV_p</t>
  </si>
  <si>
    <t xml:space="preserve"> hL_p</t>
  </si>
  <si>
    <t xml:space="preserve"> hV_T</t>
  </si>
  <si>
    <t xml:space="preserve"> hL_T</t>
  </si>
  <si>
    <t xml:space="preserve"> h_pT</t>
  </si>
  <si>
    <t xml:space="preserve"> h_ps</t>
  </si>
  <si>
    <t xml:space="preserve"> h_px</t>
  </si>
  <si>
    <t xml:space="preserve"> h_Tx</t>
  </si>
  <si>
    <t xml:space="preserve"> h_prho</t>
  </si>
  <si>
    <t xml:space="preserve"> vV_p</t>
  </si>
  <si>
    <t xml:space="preserve"> vL_p</t>
  </si>
  <si>
    <t xml:space="preserve"> vV_T</t>
  </si>
  <si>
    <t xml:space="preserve"> vL_T</t>
  </si>
  <si>
    <t xml:space="preserve"> v_pT</t>
  </si>
  <si>
    <t xml:space="preserve"> v_ph</t>
  </si>
  <si>
    <t xml:space="preserve"> v_ps</t>
  </si>
  <si>
    <t xml:space="preserve"> rhoV_p</t>
  </si>
  <si>
    <t xml:space="preserve"> rhoL_p</t>
  </si>
  <si>
    <t xml:space="preserve"> rhoV_T</t>
  </si>
  <si>
    <t xml:space="preserve"> rhoL_T</t>
  </si>
  <si>
    <t xml:space="preserve"> rho_pT</t>
  </si>
  <si>
    <t xml:space="preserve"> rho_ph</t>
  </si>
  <si>
    <t xml:space="preserve"> rho_ps</t>
  </si>
  <si>
    <t xml:space="preserve"> sV_p</t>
  </si>
  <si>
    <t xml:space="preserve"> sL_p</t>
  </si>
  <si>
    <t xml:space="preserve"> sV_T</t>
  </si>
  <si>
    <t xml:space="preserve"> sL_T</t>
  </si>
  <si>
    <t xml:space="preserve"> s_pT</t>
  </si>
  <si>
    <t xml:space="preserve"> s_ph</t>
  </si>
  <si>
    <t xml:space="preserve"> uV_p</t>
  </si>
  <si>
    <t xml:space="preserve"> uL_p</t>
  </si>
  <si>
    <t xml:space="preserve"> uV_T</t>
  </si>
  <si>
    <t xml:space="preserve"> uL_T</t>
  </si>
  <si>
    <t xml:space="preserve"> u_pT</t>
  </si>
  <si>
    <t xml:space="preserve"> u_ph</t>
  </si>
  <si>
    <t xml:space="preserve"> u_ps</t>
  </si>
  <si>
    <t xml:space="preserve"> CpV_p</t>
  </si>
  <si>
    <t xml:space="preserve"> CpL_p</t>
  </si>
  <si>
    <t xml:space="preserve"> CpV_T</t>
  </si>
  <si>
    <t xml:space="preserve"> CpL_T</t>
  </si>
  <si>
    <t xml:space="preserve"> Cp_pT</t>
  </si>
  <si>
    <t xml:space="preserve"> Cp_ph</t>
  </si>
  <si>
    <t xml:space="preserve"> Cp_ps</t>
  </si>
  <si>
    <t xml:space="preserve"> CvV_p</t>
  </si>
  <si>
    <t xml:space="preserve"> CvL_p</t>
  </si>
  <si>
    <t xml:space="preserve"> CvV_T</t>
  </si>
  <si>
    <t xml:space="preserve"> CvL_T</t>
  </si>
  <si>
    <t xml:space="preserve"> Cv_pT</t>
  </si>
  <si>
    <t xml:space="preserve"> Cv_ph</t>
  </si>
  <si>
    <t xml:space="preserve"> Cv_ps</t>
  </si>
  <si>
    <t xml:space="preserve"> wV_p</t>
  </si>
  <si>
    <t xml:space="preserve"> wL_p</t>
  </si>
  <si>
    <t xml:space="preserve"> wV_T</t>
  </si>
  <si>
    <t xml:space="preserve"> wL_T</t>
  </si>
  <si>
    <t xml:space="preserve"> w_pT</t>
  </si>
  <si>
    <t xml:space="preserve"> w_ph</t>
  </si>
  <si>
    <t xml:space="preserve"> w_ps</t>
  </si>
  <si>
    <t xml:space="preserve"> my_pT</t>
  </si>
  <si>
    <t xml:space="preserve"> my_ph</t>
  </si>
  <si>
    <t xml:space="preserve"> my_ps</t>
  </si>
  <si>
    <t xml:space="preserve"> pr_pT</t>
  </si>
  <si>
    <t xml:space="preserve"> pr_ph</t>
  </si>
  <si>
    <t xml:space="preserve"> tcL_p</t>
  </si>
  <si>
    <t xml:space="preserve"> tcV_p</t>
  </si>
  <si>
    <t xml:space="preserve"> tcL_T</t>
  </si>
  <si>
    <t xml:space="preserve"> tcV_T</t>
  </si>
  <si>
    <t xml:space="preserve"> tc_pT</t>
  </si>
  <si>
    <t xml:space="preserve"> tc_ph</t>
  </si>
  <si>
    <t xml:space="preserve"> tc_hs</t>
  </si>
  <si>
    <t xml:space="preserve"> st_T</t>
  </si>
  <si>
    <t xml:space="preserve"> st_p</t>
  </si>
  <si>
    <t xml:space="preserve"> x_ph</t>
  </si>
  <si>
    <t xml:space="preserve"> x_ps</t>
  </si>
  <si>
    <t xml:space="preserve"> vx_ph</t>
  </si>
  <si>
    <t xml:space="preserve"> vx_ps</t>
  </si>
  <si>
    <t>* OpenOffice version introduced. (Fixed calculation differences in open office and excel)</t>
  </si>
  <si>
    <t>* Many missing ; in matlab causing printouts detected.</t>
  </si>
  <si>
    <t>* Functions by p,rho inplemented in matlab also.</t>
  </si>
  <si>
    <t>News in V2.4a</t>
  </si>
  <si>
    <t>* ToSIUnit for h_ps region 4. (No effect in SI unit version).</t>
  </si>
  <si>
    <t>* Fixed small error in Cv Region 5 p&gt;1000bar</t>
  </si>
  <si>
    <t>News in V2.5</t>
  </si>
  <si>
    <t>* Freebasic translation</t>
  </si>
  <si>
    <t>* DLL distrubution for use in other applications</t>
  </si>
  <si>
    <t>* Error in function h3_pt for temperatures near the saturation point.</t>
  </si>
  <si>
    <t>News in V2.6</t>
  </si>
  <si>
    <t>Speed of sound as a function of pressure and entropy.</t>
  </si>
  <si>
    <t>Viscosity as a function of pressure and temperature.</t>
  </si>
  <si>
    <t>Viscosity as a function of pressure and enthalpy</t>
  </si>
  <si>
    <t>Viscosity as a function of pressure and entropy.</t>
  </si>
  <si>
    <t>Vapour fraction as a function of pressure and enthalpy</t>
  </si>
  <si>
    <t>Vapour fraction as a function of pressure and entropy.</t>
  </si>
  <si>
    <t>Vapour volume fraction as a function of pressure and enthalpy</t>
  </si>
  <si>
    <t>Vapour volume fraction as a function of pressure and entropy.</t>
  </si>
  <si>
    <t>* Calling functions of h and s added.</t>
  </si>
  <si>
    <t>* Calling functions h_px and h_tx added.</t>
  </si>
  <si>
    <t>* Cp, Cv and w undefined in the mixed region. (Before interpolation with the vapor fraction was used.)</t>
  </si>
  <si>
    <t>* A work sheet "Properties" for simple lookups added.</t>
  </si>
  <si>
    <t>Vapour Volume Fraction</t>
  </si>
  <si>
    <t>Viscosity is not part of IAPWS Steam IF97. Equations from "Revised Release on the IAPWS Formulation 1985 for the Viscosity of Ordinary Water Substance", 2003 are used.</t>
  </si>
  <si>
    <t>Thermal Conductivity</t>
  </si>
  <si>
    <t>Revised release on the IAPS Formulation 1985 for the Thermal Conductivity of ordinary water substance (IAPWS 1998)</t>
  </si>
  <si>
    <t>W/(m K)</t>
  </si>
  <si>
    <t>Saturated vapour thermal conductivity</t>
  </si>
  <si>
    <t>Saturated liquid thermal conductivity</t>
  </si>
  <si>
    <t>Thermal conductivity as a function of pressure and temperature.</t>
  </si>
  <si>
    <t>Thermal conductivity as a function of pressure and enthalpy</t>
  </si>
  <si>
    <t>Thermal conductivity as a function of enthalpy and entropy</t>
  </si>
  <si>
    <t>Surface Tension</t>
  </si>
  <si>
    <t>IAPWS Release on Surface Tension of Ordinary Water Substance, September 1994</t>
  </si>
  <si>
    <t>N/m</t>
  </si>
  <si>
    <t>* Thermal conductivity, Surface tension added</t>
  </si>
  <si>
    <t>Surface tension for two phase water/steam as a function of T</t>
  </si>
  <si>
    <t>The excel scripts are stored inside this workbook. (No extra files are needed. Start from a copy of this workbook. This page can be removed)</t>
  </si>
  <si>
    <t>For error-reporting, feedback, other units etc. contact:</t>
  </si>
  <si>
    <t xml:space="preserve">Excel macros, IF-97 Steam tables. </t>
  </si>
  <si>
    <t>The excel scripts are stored inside this workbook. A complete list of functions for use is available on the "Calling functions" worksheet</t>
  </si>
  <si>
    <t>By: Magnus Holmgren</t>
  </si>
  <si>
    <t>www.x-eng.com</t>
  </si>
  <si>
    <t>Saturation properties given temperature</t>
  </si>
  <si>
    <t>Saturation properties given pressure</t>
  </si>
  <si>
    <t>bar a</t>
  </si>
  <si>
    <t>Liquid</t>
  </si>
  <si>
    <t>Entropy</t>
  </si>
  <si>
    <t>Vapour</t>
  </si>
  <si>
    <t>Vapour enthalpy</t>
  </si>
  <si>
    <t>Vapour density</t>
  </si>
  <si>
    <t>Vapour Entropy</t>
  </si>
  <si>
    <t>vapour Entropy</t>
  </si>
  <si>
    <t>Evaporation energy</t>
  </si>
  <si>
    <t>Properties given pressure and temperature</t>
  </si>
  <si>
    <t>Properties given pressure and enthalpy</t>
  </si>
  <si>
    <t>IF97 Region</t>
  </si>
  <si>
    <t>Phase</t>
  </si>
  <si>
    <t xml:space="preserve">Isobaric heat capacity </t>
  </si>
  <si>
    <t>Speed of sound</t>
  </si>
  <si>
    <t>* Calling function h_prho</t>
  </si>
  <si>
    <t>* Fixed problem with Cv reporting NaN in region 5.</t>
  </si>
  <si>
    <t>* Equivivalent to the Matlab version. (Downloadable from www.x-eng.com)</t>
  </si>
  <si>
    <t>News in V2</t>
  </si>
  <si>
    <t>News in V2.1</t>
  </si>
  <si>
    <t>kJ/kg</t>
  </si>
  <si>
    <t>m3/kg</t>
  </si>
  <si>
    <t>kJ/(kg K)</t>
  </si>
  <si>
    <t>m/s</t>
  </si>
  <si>
    <t>Enthalpy</t>
  </si>
  <si>
    <t>Temperature</t>
  </si>
  <si>
    <t>kg/m3</t>
  </si>
  <si>
    <t>bar</t>
  </si>
  <si>
    <t>°C</t>
  </si>
  <si>
    <t xml:space="preserve">Specific entropy </t>
  </si>
  <si>
    <t>Density</t>
  </si>
  <si>
    <t xml:space="preserve">Specific internal energy </t>
  </si>
  <si>
    <t xml:space="preserve">Specific isobaric heat capacity </t>
  </si>
  <si>
    <t xml:space="preserve">Speed of sound </t>
  </si>
  <si>
    <t xml:space="preserve">Specific isochoric heat capacity </t>
  </si>
  <si>
    <t>Pressure</t>
  </si>
  <si>
    <t>Saturation temperature</t>
  </si>
  <si>
    <t>Saturation pressure</t>
  </si>
  <si>
    <t>Specific volume</t>
  </si>
  <si>
    <t>Saturated vapour enthalpy</t>
  </si>
  <si>
    <t>Saturated vapour volume</t>
  </si>
  <si>
    <t>Saturated vapour density</t>
  </si>
  <si>
    <t>Saturated vapour entropy</t>
  </si>
  <si>
    <t>Saturated vapour internal energy</t>
  </si>
  <si>
    <t>Saturated liquid enthalpy</t>
  </si>
  <si>
    <t>Saturated liquid volume</t>
  </si>
  <si>
    <t>Saturated liquid density</t>
  </si>
  <si>
    <t>Saturated liquid entropy</t>
  </si>
  <si>
    <t>Saturated liquid internal energy</t>
  </si>
  <si>
    <t xml:space="preserve">Saturated liquid heat capacity </t>
  </si>
  <si>
    <t xml:space="preserve">Saturated vapour heat capacity </t>
  </si>
  <si>
    <t>Saturated liquid isochoric heat capacity</t>
  </si>
  <si>
    <t>Saturated vapour isochoric heat capacity</t>
  </si>
  <si>
    <t>Saturated liquid speed of sound</t>
  </si>
  <si>
    <t>Saturated vapour speed of sound</t>
  </si>
  <si>
    <t>Vapour fraction</t>
  </si>
  <si>
    <t>Pa s</t>
  </si>
  <si>
    <t>%</t>
  </si>
  <si>
    <t>gets close to the accurancy of steam IF-97</t>
  </si>
  <si>
    <t>Viscosity in the mixed region (4) is interpolated according to the density. This is not true since it will be two fases.</t>
  </si>
  <si>
    <t>OBS: This workbook uses macros. Set security options in Tools:Macro:Security… to enable macros.</t>
  </si>
  <si>
    <t>Temperture as a function of pressure and enthalpy</t>
  </si>
  <si>
    <t>Temperture as a function of pressure and entropy</t>
  </si>
  <si>
    <t>Entalpy as a function of pressure and temperature.</t>
  </si>
  <si>
    <t>Entalpy as a function of pressure and entropy.</t>
  </si>
  <si>
    <t>Observe that vapour volume fraction is very sensitive. Vapour volume is about 1000 times greater than liquid volume and therfore vapour volume fraction</t>
  </si>
  <si>
    <t>The steam tables are free and provided as is. We take no responsibilities for any errors in the code or damage thereby.</t>
  </si>
  <si>
    <t>kJ/kgK</t>
  </si>
  <si>
    <t>X Steam Tables</t>
  </si>
  <si>
    <t>http://www.x-eng.com</t>
  </si>
  <si>
    <t xml:space="preserve">Steam tables by Magnus Holmgren according to IAPWS IF-97 </t>
  </si>
  <si>
    <t xml:space="preserve">Pressure as a function of h and s. </t>
  </si>
  <si>
    <t>magnus@x-eng.com</t>
  </si>
  <si>
    <t>kJ/(kg°C)</t>
  </si>
  <si>
    <t>Entalpy as a function of pressure and vapour fraction</t>
  </si>
  <si>
    <t>Entalpy as a function of temperature and vapour fraction</t>
  </si>
  <si>
    <t>Temperture as a function of enthalpy and entropy</t>
  </si>
  <si>
    <t>Specific volume as a function of pressure and temperature.</t>
  </si>
  <si>
    <t>Specific volume as a function of pressure and enthalpy</t>
  </si>
  <si>
    <t>Specific volume as a function of pressure and entropy.</t>
  </si>
  <si>
    <t>Density as a function of pressure and temperature.</t>
  </si>
  <si>
    <t>Density as a function of pressure and enthalpy</t>
  </si>
  <si>
    <t>Density as a function of pressure and entropy.</t>
  </si>
  <si>
    <t>Specific entropy as a function of pressure and enthalpy</t>
  </si>
  <si>
    <t>Specific internal energy as a function of pressure and temperature.</t>
  </si>
  <si>
    <t>Specific internal energy as a function of pressure and enthalpy</t>
  </si>
  <si>
    <t>Specific internal energy as a function of pressure and entropy.</t>
  </si>
  <si>
    <t>Specific isobaric heat capacity as a function of pressure and temperature.</t>
  </si>
  <si>
    <t>Specific isobaric heat capacity as a function of pressure and enthalpy</t>
  </si>
  <si>
    <t>Specific isobaric heat capacity as a function of pressure and entropy.</t>
  </si>
  <si>
    <t>Specific isochoric heat capacity as a function of pressure and temperature.</t>
  </si>
  <si>
    <t>Specific isochoric heat capacity as a function of pressure and enthalpy</t>
  </si>
  <si>
    <t>Specific isochoric heat capacity as a function of pressure and entropy.</t>
  </si>
  <si>
    <t>Speed of sound as a function of pressure and temperature.</t>
  </si>
  <si>
    <t>Speed of sound as a function of pressure and enthalpy</t>
  </si>
  <si>
    <t>Return to Ascent's  Engineering Tools</t>
  </si>
  <si>
    <t>Pressure as a function of h and rho (density). Do not use for 100%liquid region due to incompressibility!</t>
  </si>
  <si>
    <t>Entalpy as a function of pres. and density. For low temps (liquid) this equation has 2 solns.(Not valid)</t>
  </si>
  <si>
    <t>Specific entropy as a function of pres. and temperature (Returns saturated vapour entalpy if mixture.)</t>
  </si>
  <si>
    <t>RPM</t>
  </si>
  <si>
    <t>Max RPM</t>
  </si>
  <si>
    <t>ft/min</t>
  </si>
  <si>
    <t>Mean Piston Speed</t>
  </si>
  <si>
    <t>In^2</t>
  </si>
  <si>
    <t>Passage Area</t>
  </si>
  <si>
    <t>For max RPM</t>
  </si>
  <si>
    <t>Minimum Passage Area</t>
  </si>
  <si>
    <t>in</t>
  </si>
  <si>
    <t>Stroke</t>
  </si>
  <si>
    <t>For passage area</t>
  </si>
  <si>
    <t>9000-15000 for inlet, 6000-7000 for exhaust. If same passage use exhaust.</t>
  </si>
  <si>
    <t>Constant</t>
  </si>
  <si>
    <t>Piston Area</t>
  </si>
  <si>
    <t>Bore</t>
  </si>
  <si>
    <t>Area</t>
  </si>
  <si>
    <t>Lb/hp/hr</t>
  </si>
  <si>
    <t>Steam usage</t>
  </si>
  <si>
    <t>Watts</t>
  </si>
  <si>
    <t>HP</t>
  </si>
  <si>
    <t>Power Output</t>
  </si>
  <si>
    <t>Mechanical Efficiency</t>
  </si>
  <si>
    <t>kJ/hr</t>
  </si>
  <si>
    <t>Heat exhausted</t>
  </si>
  <si>
    <t>Heat usage</t>
  </si>
  <si>
    <t>LB/hp/hr</t>
  </si>
  <si>
    <t>Steam usage in pounds/hp/hr</t>
  </si>
  <si>
    <t>Lb/h</t>
  </si>
  <si>
    <t>g/h</t>
  </si>
  <si>
    <t>Steam usage per hour</t>
  </si>
  <si>
    <t>Lb/s</t>
  </si>
  <si>
    <t>g/s</t>
  </si>
  <si>
    <t>Steam usage per second</t>
  </si>
  <si>
    <t>Lb</t>
  </si>
  <si>
    <t>g</t>
  </si>
  <si>
    <t>Steam usage per cycle</t>
  </si>
  <si>
    <t>Horsepower</t>
  </si>
  <si>
    <t>watts</t>
  </si>
  <si>
    <t>Work done per second</t>
  </si>
  <si>
    <t>J</t>
  </si>
  <si>
    <t>Work done per revolution</t>
  </si>
  <si>
    <t>Number of cylinders * 2 if double acting</t>
  </si>
  <si>
    <t>Cycles per revolution</t>
  </si>
  <si>
    <t>rps</t>
  </si>
  <si>
    <t>Power</t>
  </si>
  <si>
    <t>Efficiency/Carnot Efficiency</t>
  </si>
  <si>
    <t>Percentage of Carnot Efficiency</t>
  </si>
  <si>
    <r>
      <t>Maximum possible efficiency. 1-(T</t>
    </r>
    <r>
      <rPr>
        <vertAlign val="subscript"/>
        <sz val="10"/>
        <rFont val="Times New Roman"/>
        <family val="1"/>
      </rPr>
      <t>cold</t>
    </r>
    <r>
      <rPr>
        <sz val="10"/>
        <rFont val="Times New Roman"/>
        <family val="1"/>
      </rPr>
      <t xml:space="preserve"> / T</t>
    </r>
    <r>
      <rPr>
        <vertAlign val="subscript"/>
        <sz val="10"/>
        <rFont val="Times New Roman"/>
        <family val="1"/>
      </rPr>
      <t>hot</t>
    </r>
    <r>
      <rPr>
        <sz val="10"/>
        <rFont val="Times New Roman"/>
        <family val="1"/>
      </rPr>
      <t>)</t>
    </r>
  </si>
  <si>
    <t>Carnot Cycle</t>
  </si>
  <si>
    <t>Total Work / Total Energy Added</t>
  </si>
  <si>
    <t>Thermodynamic Efficiency</t>
  </si>
  <si>
    <t>Total Energy Exhausted</t>
  </si>
  <si>
    <t>Energy at D – Energy at E – Work done D-E</t>
  </si>
  <si>
    <t>D-E</t>
  </si>
  <si>
    <t>C-D</t>
  </si>
  <si>
    <t>Energy Exhausted</t>
  </si>
  <si>
    <t>Total Energy Added</t>
  </si>
  <si>
    <t>Energy at B – Energy at A + Work done A-B</t>
  </si>
  <si>
    <t>A-B</t>
  </si>
  <si>
    <t>F-A</t>
  </si>
  <si>
    <t>Energy Added</t>
  </si>
  <si>
    <t>Total Work</t>
  </si>
  <si>
    <t>E-F</t>
  </si>
  <si>
    <t>B-C</t>
  </si>
  <si>
    <t>Work Done</t>
  </si>
  <si>
    <r>
      <t>Q</t>
    </r>
    <r>
      <rPr>
        <vertAlign val="subscript"/>
        <sz val="10"/>
        <rFont val="Times New Roman"/>
        <family val="1"/>
      </rPr>
      <t>F-A</t>
    </r>
  </si>
  <si>
    <t>Work</t>
  </si>
  <si>
    <r>
      <t>Wk</t>
    </r>
    <r>
      <rPr>
        <vertAlign val="subscript"/>
        <sz val="10"/>
        <rFont val="Times New Roman"/>
        <family val="1"/>
      </rPr>
      <t>E-F</t>
    </r>
  </si>
  <si>
    <t>fifth estimate of h</t>
  </si>
  <si>
    <t>fifth estimate of P</t>
  </si>
  <si>
    <t>fourth estimate of h</t>
  </si>
  <si>
    <t>fourth estimate of P</t>
  </si>
  <si>
    <t>third estimate of h</t>
  </si>
  <si>
    <t>third estimate of P</t>
  </si>
  <si>
    <t>second estimate of h</t>
  </si>
  <si>
    <t>second estimate of P</t>
  </si>
  <si>
    <t>first estimate of h</t>
  </si>
  <si>
    <t>first estimate of P</t>
  </si>
  <si>
    <t>Same process as in B-C.</t>
  </si>
  <si>
    <t>first K</t>
  </si>
  <si>
    <t>kJ</t>
  </si>
  <si>
    <r>
      <t>H</t>
    </r>
    <r>
      <rPr>
        <vertAlign val="subscript"/>
        <sz val="10"/>
        <rFont val="Times New Roman"/>
        <family val="1"/>
      </rPr>
      <t>F</t>
    </r>
  </si>
  <si>
    <t>Specific Enthalpy</t>
  </si>
  <si>
    <r>
      <t>h</t>
    </r>
    <r>
      <rPr>
        <vertAlign val="subscript"/>
        <sz val="10"/>
        <rFont val="Times New Roman"/>
        <family val="1"/>
      </rPr>
      <t>F</t>
    </r>
  </si>
  <si>
    <t>psi</t>
  </si>
  <si>
    <r>
      <t>P</t>
    </r>
    <r>
      <rPr>
        <vertAlign val="subscript"/>
        <sz val="10"/>
        <rFont val="Times New Roman"/>
        <family val="1"/>
      </rPr>
      <t>F</t>
    </r>
  </si>
  <si>
    <t>Specific Entropy</t>
  </si>
  <si>
    <r>
      <t>S</t>
    </r>
    <r>
      <rPr>
        <vertAlign val="subscript"/>
        <sz val="10"/>
        <rFont val="Times New Roman"/>
        <family val="1"/>
      </rPr>
      <t>F</t>
    </r>
  </si>
  <si>
    <r>
      <t>p</t>
    </r>
    <r>
      <rPr>
        <vertAlign val="subscript"/>
        <sz val="10"/>
        <rFont val="Times New Roman"/>
        <family val="1"/>
      </rPr>
      <t>F</t>
    </r>
  </si>
  <si>
    <t>Mass of Steam</t>
  </si>
  <si>
    <r>
      <t>m</t>
    </r>
    <r>
      <rPr>
        <vertAlign val="subscript"/>
        <sz val="10"/>
        <rFont val="Times New Roman"/>
        <family val="1"/>
      </rPr>
      <t>F</t>
    </r>
  </si>
  <si>
    <t>Volume</t>
  </si>
  <si>
    <r>
      <t>V</t>
    </r>
    <r>
      <rPr>
        <vertAlign val="subscript"/>
        <sz val="10"/>
        <rFont val="Times New Roman"/>
        <family val="1"/>
      </rPr>
      <t>F</t>
    </r>
  </si>
  <si>
    <t>point F</t>
  </si>
  <si>
    <r>
      <t>Wk</t>
    </r>
    <r>
      <rPr>
        <vertAlign val="subscript"/>
        <sz val="10"/>
        <rFont val="Times New Roman"/>
        <family val="1"/>
      </rPr>
      <t>D-E</t>
    </r>
  </si>
  <si>
    <t>m3</t>
  </si>
  <si>
    <t>Change in Volume</t>
  </si>
  <si>
    <r>
      <t>H</t>
    </r>
    <r>
      <rPr>
        <vertAlign val="subscript"/>
        <sz val="10"/>
        <rFont val="Times New Roman"/>
        <family val="1"/>
      </rPr>
      <t>E</t>
    </r>
  </si>
  <si>
    <r>
      <t>S</t>
    </r>
    <r>
      <rPr>
        <vertAlign val="subscript"/>
        <sz val="10"/>
        <rFont val="Times New Roman"/>
        <family val="1"/>
      </rPr>
      <t>E</t>
    </r>
  </si>
  <si>
    <r>
      <t>h</t>
    </r>
    <r>
      <rPr>
        <vertAlign val="subscript"/>
        <sz val="10"/>
        <rFont val="Times New Roman"/>
        <family val="1"/>
      </rPr>
      <t>E</t>
    </r>
  </si>
  <si>
    <t>kg</t>
  </si>
  <si>
    <r>
      <t>m</t>
    </r>
    <r>
      <rPr>
        <vertAlign val="subscript"/>
        <sz val="10"/>
        <rFont val="Times New Roman"/>
        <family val="1"/>
      </rPr>
      <t>E</t>
    </r>
  </si>
  <si>
    <r>
      <t>p</t>
    </r>
    <r>
      <rPr>
        <vertAlign val="subscript"/>
        <sz val="10"/>
        <rFont val="Times New Roman"/>
        <family val="1"/>
      </rPr>
      <t>E</t>
    </r>
  </si>
  <si>
    <r>
      <t>T</t>
    </r>
    <r>
      <rPr>
        <vertAlign val="subscript"/>
        <sz val="10"/>
        <rFont val="Times New Roman"/>
        <family val="1"/>
      </rPr>
      <t>E</t>
    </r>
  </si>
  <si>
    <r>
      <t>P</t>
    </r>
    <r>
      <rPr>
        <vertAlign val="subscript"/>
        <sz val="10"/>
        <rFont val="Times New Roman"/>
        <family val="1"/>
      </rPr>
      <t>E</t>
    </r>
  </si>
  <si>
    <t>cm3</t>
  </si>
  <si>
    <r>
      <t>V</t>
    </r>
    <r>
      <rPr>
        <vertAlign val="subscript"/>
        <sz val="10"/>
        <rFont val="Times New Roman"/>
        <family val="1"/>
      </rPr>
      <t>E</t>
    </r>
  </si>
  <si>
    <t>point E</t>
  </si>
  <si>
    <t>Energy Loss</t>
  </si>
  <si>
    <r>
      <t>Q</t>
    </r>
    <r>
      <rPr>
        <vertAlign val="subscript"/>
        <sz val="10"/>
        <rFont val="Times New Roman"/>
        <family val="1"/>
      </rPr>
      <t>C-D</t>
    </r>
  </si>
  <si>
    <r>
      <t>H</t>
    </r>
    <r>
      <rPr>
        <vertAlign val="subscript"/>
        <sz val="10"/>
        <rFont val="Times New Roman"/>
        <family val="1"/>
      </rPr>
      <t>D</t>
    </r>
  </si>
  <si>
    <r>
      <t>S</t>
    </r>
    <r>
      <rPr>
        <vertAlign val="subscript"/>
        <sz val="10"/>
        <rFont val="Times New Roman"/>
        <family val="1"/>
      </rPr>
      <t>D</t>
    </r>
  </si>
  <si>
    <r>
      <t>m</t>
    </r>
    <r>
      <rPr>
        <vertAlign val="subscript"/>
        <sz val="10"/>
        <rFont val="Times New Roman"/>
        <family val="1"/>
      </rPr>
      <t>D</t>
    </r>
  </si>
  <si>
    <r>
      <t>p</t>
    </r>
    <r>
      <rPr>
        <vertAlign val="subscript"/>
        <sz val="10"/>
        <rFont val="Times New Roman"/>
        <family val="1"/>
      </rPr>
      <t>D</t>
    </r>
  </si>
  <si>
    <r>
      <t>T</t>
    </r>
    <r>
      <rPr>
        <vertAlign val="subscript"/>
        <sz val="10"/>
        <rFont val="Times New Roman"/>
        <family val="1"/>
      </rPr>
      <t>D</t>
    </r>
  </si>
  <si>
    <r>
      <t>h</t>
    </r>
    <r>
      <rPr>
        <vertAlign val="subscript"/>
        <sz val="10"/>
        <rFont val="Times New Roman"/>
        <family val="1"/>
      </rPr>
      <t>D</t>
    </r>
  </si>
  <si>
    <t>Pa</t>
  </si>
  <si>
    <r>
      <t>P</t>
    </r>
    <r>
      <rPr>
        <vertAlign val="subscript"/>
        <sz val="10"/>
        <rFont val="Times New Roman"/>
        <family val="1"/>
      </rPr>
      <t>D</t>
    </r>
  </si>
  <si>
    <r>
      <t>V</t>
    </r>
    <r>
      <rPr>
        <vertAlign val="subscript"/>
        <sz val="10"/>
        <rFont val="Times New Roman"/>
        <family val="1"/>
      </rPr>
      <t>D</t>
    </r>
  </si>
  <si>
    <t>point D</t>
  </si>
  <si>
    <t>Vapor Fraction</t>
  </si>
  <si>
    <r>
      <t>T</t>
    </r>
    <r>
      <rPr>
        <vertAlign val="subscript"/>
        <sz val="10"/>
        <rFont val="Times New Roman"/>
        <family val="1"/>
      </rPr>
      <t>c</t>
    </r>
  </si>
  <si>
    <r>
      <t>H</t>
    </r>
    <r>
      <rPr>
        <vertAlign val="subscript"/>
        <sz val="10"/>
        <rFont val="Times New Roman"/>
        <family val="1"/>
      </rPr>
      <t>c</t>
    </r>
  </si>
  <si>
    <r>
      <t>h</t>
    </r>
    <r>
      <rPr>
        <vertAlign val="subscript"/>
        <sz val="10"/>
        <rFont val="Times New Roman"/>
        <family val="1"/>
      </rPr>
      <t>c</t>
    </r>
  </si>
  <si>
    <r>
      <t>P</t>
    </r>
    <r>
      <rPr>
        <vertAlign val="subscript"/>
        <sz val="10"/>
        <rFont val="Times New Roman"/>
        <family val="1"/>
      </rPr>
      <t>c</t>
    </r>
  </si>
  <si>
    <r>
      <t>m</t>
    </r>
    <r>
      <rPr>
        <vertAlign val="subscript"/>
        <sz val="10"/>
        <rFont val="Times New Roman"/>
        <family val="1"/>
      </rPr>
      <t>c</t>
    </r>
  </si>
  <si>
    <t>Entropy is constant for adiabatic process</t>
  </si>
  <si>
    <r>
      <t>S</t>
    </r>
    <r>
      <rPr>
        <vertAlign val="subscript"/>
        <sz val="10"/>
        <rFont val="Times New Roman"/>
        <family val="1"/>
      </rPr>
      <t>c</t>
    </r>
  </si>
  <si>
    <t>Specific Volume</t>
  </si>
  <si>
    <r>
      <t>v</t>
    </r>
    <r>
      <rPr>
        <vertAlign val="subscript"/>
        <sz val="10"/>
        <rFont val="Times New Roman"/>
        <family val="1"/>
      </rPr>
      <t>c</t>
    </r>
  </si>
  <si>
    <r>
      <t>p</t>
    </r>
    <r>
      <rPr>
        <vertAlign val="subscript"/>
        <sz val="10"/>
        <rFont val="Times New Roman"/>
        <family val="1"/>
      </rPr>
      <t>c</t>
    </r>
  </si>
  <si>
    <r>
      <t>V</t>
    </r>
    <r>
      <rPr>
        <vertAlign val="subscript"/>
        <sz val="10"/>
        <rFont val="Times New Roman"/>
        <family val="1"/>
      </rPr>
      <t>c</t>
    </r>
  </si>
  <si>
    <t>point C</t>
  </si>
  <si>
    <r>
      <t>Wk</t>
    </r>
    <r>
      <rPr>
        <vertAlign val="subscript"/>
        <sz val="10"/>
        <rFont val="Times New Roman"/>
        <family val="1"/>
      </rPr>
      <t>B-C</t>
    </r>
  </si>
  <si>
    <r>
      <t>Fourth estimate of P</t>
    </r>
    <r>
      <rPr>
        <vertAlign val="subscript"/>
        <sz val="10"/>
        <rFont val="Times New Roman"/>
        <family val="1"/>
      </rPr>
      <t>c</t>
    </r>
  </si>
  <si>
    <t>Fourth estimate of h</t>
  </si>
  <si>
    <t>Based on enthalpy and density</t>
  </si>
  <si>
    <r>
      <t>Third estimate of P</t>
    </r>
    <r>
      <rPr>
        <vertAlign val="subscript"/>
        <sz val="10"/>
        <rFont val="Times New Roman"/>
        <family val="1"/>
      </rPr>
      <t>c</t>
    </r>
  </si>
  <si>
    <t>Based on pressure and entropy</t>
  </si>
  <si>
    <t>Second estimate of h</t>
  </si>
  <si>
    <r>
      <t>Second estimate of P</t>
    </r>
    <r>
      <rPr>
        <vertAlign val="subscript"/>
        <sz val="10"/>
        <rFont val="Times New Roman"/>
        <family val="1"/>
      </rPr>
      <t>c</t>
    </r>
  </si>
  <si>
    <t>First estimate of h</t>
  </si>
  <si>
    <t>P1/P2 = (V2/V1)^k     or     P2 = P1 * (V1/V2)^k</t>
  </si>
  <si>
    <r>
      <t>First Estimate of P</t>
    </r>
    <r>
      <rPr>
        <vertAlign val="subscript"/>
        <sz val="10"/>
        <rFont val="Times New Roman"/>
        <family val="1"/>
      </rPr>
      <t>c</t>
    </r>
  </si>
  <si>
    <t>a</t>
  </si>
  <si>
    <t>k=Cp/Cv     first calculation is based on Cp and Cv of B</t>
  </si>
  <si>
    <t>First k</t>
  </si>
  <si>
    <t>f</t>
  </si>
  <si>
    <t>e</t>
  </si>
  <si>
    <t>For isobaric work = P * change in volume</t>
  </si>
  <si>
    <r>
      <t>Wk</t>
    </r>
    <r>
      <rPr>
        <vertAlign val="subscript"/>
        <sz val="10"/>
        <rFont val="Times New Roman"/>
        <family val="1"/>
      </rPr>
      <t>A-B</t>
    </r>
  </si>
  <si>
    <t>d</t>
  </si>
  <si>
    <t>pa</t>
  </si>
  <si>
    <t>c</t>
  </si>
  <si>
    <t>A-B is a constant pressure process (isobaric).</t>
  </si>
  <si>
    <t>change in volume</t>
  </si>
  <si>
    <t>b</t>
  </si>
  <si>
    <t>P</t>
  </si>
  <si>
    <t>V</t>
  </si>
  <si>
    <t>Found based on pressure and specific entropy</t>
  </si>
  <si>
    <t>kJ/kgC</t>
  </si>
  <si>
    <t>Specific Isochoric Heat Capacity</t>
  </si>
  <si>
    <r>
      <t>Cv</t>
    </r>
    <r>
      <rPr>
        <vertAlign val="subscript"/>
        <sz val="10"/>
        <rFont val="Times New Roman"/>
        <family val="1"/>
      </rPr>
      <t>b</t>
    </r>
  </si>
  <si>
    <t>Specific Isobaric Heat Capacity</t>
  </si>
  <si>
    <r>
      <t>Cp</t>
    </r>
    <r>
      <rPr>
        <vertAlign val="subscript"/>
        <sz val="10"/>
        <rFont val="Times New Roman"/>
        <family val="1"/>
      </rPr>
      <t>b</t>
    </r>
  </si>
  <si>
    <r>
      <t>h</t>
    </r>
    <r>
      <rPr>
        <vertAlign val="subscript"/>
        <sz val="10"/>
        <rFont val="Times New Roman"/>
        <family val="1"/>
      </rPr>
      <t>b</t>
    </r>
  </si>
  <si>
    <r>
      <t>S</t>
    </r>
    <r>
      <rPr>
        <vertAlign val="subscript"/>
        <sz val="10"/>
        <rFont val="Times New Roman"/>
        <family val="1"/>
      </rPr>
      <t>b</t>
    </r>
  </si>
  <si>
    <t>Enthalpy * mass</t>
  </si>
  <si>
    <r>
      <t>H</t>
    </r>
    <r>
      <rPr>
        <vertAlign val="subscript"/>
        <sz val="10"/>
        <rFont val="Times New Roman"/>
        <family val="1"/>
      </rPr>
      <t>b</t>
    </r>
  </si>
  <si>
    <r>
      <t>m</t>
    </r>
    <r>
      <rPr>
        <vertAlign val="subscript"/>
        <sz val="10"/>
        <rFont val="Times New Roman"/>
        <family val="1"/>
      </rPr>
      <t>b</t>
    </r>
  </si>
  <si>
    <r>
      <t>T</t>
    </r>
    <r>
      <rPr>
        <vertAlign val="subscript"/>
        <sz val="10"/>
        <rFont val="Times New Roman"/>
        <family val="1"/>
      </rPr>
      <t>b</t>
    </r>
  </si>
  <si>
    <r>
      <t>P</t>
    </r>
    <r>
      <rPr>
        <vertAlign val="subscript"/>
        <sz val="10"/>
        <rFont val="Times New Roman"/>
        <family val="1"/>
      </rPr>
      <t>b</t>
    </r>
  </si>
  <si>
    <r>
      <t>V</t>
    </r>
    <r>
      <rPr>
        <vertAlign val="subscript"/>
        <sz val="10"/>
        <rFont val="Times New Roman"/>
        <family val="1"/>
      </rPr>
      <t>b</t>
    </r>
  </si>
  <si>
    <t>point B</t>
  </si>
  <si>
    <t>Measured as a percentage of the upstroke. No compression is 0%</t>
  </si>
  <si>
    <t>Compression</t>
  </si>
  <si>
    <t>Cutoff</t>
  </si>
  <si>
    <r>
      <t>S</t>
    </r>
    <r>
      <rPr>
        <vertAlign val="subscript"/>
        <sz val="10"/>
        <rFont val="Times New Roman"/>
        <family val="1"/>
      </rPr>
      <t>a</t>
    </r>
  </si>
  <si>
    <t>J/kg</t>
  </si>
  <si>
    <r>
      <t>h</t>
    </r>
    <r>
      <rPr>
        <vertAlign val="subscript"/>
        <sz val="10"/>
        <rFont val="Times New Roman"/>
        <family val="1"/>
      </rPr>
      <t>a</t>
    </r>
  </si>
  <si>
    <r>
      <t>H</t>
    </r>
    <r>
      <rPr>
        <vertAlign val="subscript"/>
        <sz val="10"/>
        <rFont val="Times New Roman"/>
        <family val="1"/>
      </rPr>
      <t>a</t>
    </r>
  </si>
  <si>
    <r>
      <t>m</t>
    </r>
    <r>
      <rPr>
        <vertAlign val="subscript"/>
        <sz val="10"/>
        <rFont val="Times New Roman"/>
        <family val="1"/>
      </rPr>
      <t>a</t>
    </r>
  </si>
  <si>
    <r>
      <t>T</t>
    </r>
    <r>
      <rPr>
        <vertAlign val="subscript"/>
        <sz val="10"/>
        <rFont val="Times New Roman"/>
        <family val="1"/>
      </rPr>
      <t>a</t>
    </r>
  </si>
  <si>
    <r>
      <t>P</t>
    </r>
    <r>
      <rPr>
        <vertAlign val="subscript"/>
        <sz val="10"/>
        <rFont val="Times New Roman"/>
        <family val="1"/>
      </rPr>
      <t>a</t>
    </r>
  </si>
  <si>
    <r>
      <t>V</t>
    </r>
    <r>
      <rPr>
        <vertAlign val="subscript"/>
        <sz val="10"/>
        <rFont val="Times New Roman"/>
        <family val="1"/>
      </rPr>
      <t>a</t>
    </r>
  </si>
  <si>
    <t>point A</t>
  </si>
  <si>
    <t>Degrees of Superheat</t>
  </si>
  <si>
    <t>MPa</t>
  </si>
  <si>
    <t>kPa</t>
  </si>
  <si>
    <t>psia</t>
  </si>
  <si>
    <t>Exhaust Pressure</t>
  </si>
  <si>
    <r>
      <t>P</t>
    </r>
    <r>
      <rPr>
        <vertAlign val="subscript"/>
        <sz val="10"/>
        <rFont val="Times New Roman"/>
        <family val="1"/>
      </rPr>
      <t>exh</t>
    </r>
  </si>
  <si>
    <r>
      <t>S</t>
    </r>
    <r>
      <rPr>
        <vertAlign val="subscript"/>
        <sz val="10"/>
        <rFont val="Times New Roman"/>
        <family val="1"/>
      </rPr>
      <t>s</t>
    </r>
  </si>
  <si>
    <r>
      <t>ρ</t>
    </r>
    <r>
      <rPr>
        <vertAlign val="subscript"/>
        <sz val="10"/>
        <rFont val="Times New Roman"/>
        <family val="1"/>
      </rPr>
      <t>s</t>
    </r>
  </si>
  <si>
    <t>Enthalpy and density are determined from pressure and temperature and found in a lookup table.</t>
  </si>
  <si>
    <r>
      <t>h</t>
    </r>
    <r>
      <rPr>
        <vertAlign val="subscript"/>
        <sz val="10"/>
        <rFont val="Times New Roman"/>
        <family val="1"/>
      </rPr>
      <t>s</t>
    </r>
  </si>
  <si>
    <t>Since no actual boiler was used, pressure and temperature are estimated.</t>
  </si>
  <si>
    <t>°K</t>
  </si>
  <si>
    <r>
      <t>°</t>
    </r>
    <r>
      <rPr>
        <sz val="10"/>
        <rFont val="Times New Roman"/>
        <family val="1"/>
      </rPr>
      <t>F</t>
    </r>
  </si>
  <si>
    <t>Steam Temperature</t>
  </si>
  <si>
    <r>
      <t>T</t>
    </r>
    <r>
      <rPr>
        <vertAlign val="subscript"/>
        <sz val="10"/>
        <rFont val="Times New Roman"/>
        <family val="1"/>
      </rPr>
      <t>s</t>
    </r>
  </si>
  <si>
    <t>Both pressure and temperature are required to determine steam properties.</t>
  </si>
  <si>
    <t>Steam Pressure</t>
  </si>
  <si>
    <r>
      <t>P</t>
    </r>
    <r>
      <rPr>
        <vertAlign val="subscript"/>
        <sz val="10"/>
        <rFont val="Times New Roman"/>
        <family val="1"/>
      </rPr>
      <t>s</t>
    </r>
  </si>
  <si>
    <t>Steam</t>
  </si>
  <si>
    <t>Displacement * Clearance Volume</t>
  </si>
  <si>
    <t>mm3</t>
  </si>
  <si>
    <t>in3</t>
  </si>
  <si>
    <t>Maximum Volume</t>
  </si>
  <si>
    <t>Piston area * Stroke</t>
  </si>
  <si>
    <t>Displacement</t>
  </si>
  <si>
    <t>Clearance Volume</t>
  </si>
  <si>
    <t>cm</t>
  </si>
  <si>
    <t>mm</t>
  </si>
  <si>
    <t>Cylinder</t>
  </si>
  <si>
    <t>Table 1: Thermodynamic Analysis</t>
  </si>
  <si>
    <t>If vapor fraction is &lt;100%, calculates for saturated steam at pressure.</t>
  </si>
  <si>
    <t>kJ/s (kW)</t>
  </si>
  <si>
    <t>Btu/hr</t>
  </si>
  <si>
    <t>°F</t>
  </si>
  <si>
    <t>Steam Efficiency</t>
  </si>
  <si>
    <t>Lb/hr</t>
  </si>
  <si>
    <t>Shaft seal</t>
  </si>
  <si>
    <t>Shaft diameter (mm)</t>
  </si>
  <si>
    <t>O-ring</t>
  </si>
  <si>
    <t>Groove diameter</t>
  </si>
  <si>
    <t>Groove depth</t>
  </si>
  <si>
    <t>Heat Input</t>
  </si>
  <si>
    <t>Valve Passage Calculator</t>
  </si>
  <si>
    <t>Price</t>
  </si>
  <si>
    <t>Dollars/sqft</t>
  </si>
  <si>
    <t>O. Diameter in</t>
  </si>
  <si>
    <t>Length ft</t>
  </si>
  <si>
    <t>Surface Area sqft</t>
  </si>
  <si>
    <t>straight pipe</t>
  </si>
  <si>
    <t>Piston Ring</t>
  </si>
  <si>
    <t>Bore diameter (mm)</t>
  </si>
  <si>
    <t>Engine Power</t>
  </si>
  <si>
    <t>@ RPM</t>
  </si>
  <si>
    <t>Torque</t>
  </si>
  <si>
    <t>N-m</t>
  </si>
  <si>
    <t>ft-lb</t>
  </si>
  <si>
    <t>in-lb</t>
  </si>
  <si>
    <t>Engine gear teeth</t>
  </si>
  <si>
    <t>Teeth</t>
  </si>
  <si>
    <t>Receiving gear teeth</t>
  </si>
  <si>
    <t>Transmitting gear teeth</t>
  </si>
  <si>
    <t>Jack Shaft</t>
  </si>
  <si>
    <t>Axle</t>
  </si>
  <si>
    <t>Wheel diameter</t>
  </si>
  <si>
    <t>Ratio</t>
  </si>
  <si>
    <t>Shaft torque</t>
  </si>
  <si>
    <t>Shaft max rpm</t>
  </si>
  <si>
    <t>Wheel force</t>
  </si>
  <si>
    <t>lbf</t>
  </si>
  <si>
    <t>N</t>
  </si>
  <si>
    <t>Max speed</t>
  </si>
  <si>
    <t>MPH</t>
  </si>
  <si>
    <t>Vehicle weight</t>
  </si>
  <si>
    <t>lb</t>
  </si>
  <si>
    <t>Chain pitch</t>
  </si>
  <si>
    <t>Pitch diameter</t>
  </si>
  <si>
    <t>Chain 1 tension</t>
  </si>
  <si>
    <t>Chain 2 tension</t>
  </si>
  <si>
    <t>degrees</t>
  </si>
  <si>
    <t>% Grade</t>
  </si>
  <si>
    <t>Theoretical max hill angle</t>
  </si>
  <si>
    <t>NPT Threads</t>
  </si>
  <si>
    <t>1/8 internal</t>
  </si>
  <si>
    <t>8mm drill</t>
  </si>
  <si>
    <t>T4 bore, 0.5mm pitch, -0.1mm stock to leave</t>
  </si>
  <si>
    <t>1/4 internal</t>
  </si>
  <si>
    <t>T4 adaptive, -0.1mm stock to leave</t>
  </si>
  <si>
    <t>T9 threadmill, 1.41111mm pitch, 2.6mm pitch offset</t>
  </si>
  <si>
    <t>3/4 external</t>
  </si>
  <si>
    <t>26.67mm cylinder, 15mm long</t>
  </si>
  <si>
    <t>14mm chamfer, 1.7899 degree angle</t>
  </si>
  <si>
    <t>T1 bore, 0.5mm pitch, -0.3mm stock to leave</t>
  </si>
  <si>
    <t>T9 threadmill, 1.81429mm pitch, 2.8mm pitch offset, 3 passes at 0.5mm stepover</t>
  </si>
  <si>
    <t>3/8 external</t>
  </si>
  <si>
    <t>16.7mm cylinder, 12mm long</t>
  </si>
  <si>
    <t>10mm chamfer, 1.7899 degree angle</t>
  </si>
  <si>
    <t>T6 bore, 1mm pitch</t>
  </si>
  <si>
    <t>T9 threadmill, 1.41122mm pitch, 1.97571mm pitch offset, 2 passes at 0.5mm stepover</t>
  </si>
  <si>
    <t>Surface Area sqin</t>
  </si>
  <si>
    <t>T9 threadmill, 0.940741mm pitch, 1.8-2.0mm pitch offset, conventional direction</t>
  </si>
  <si>
    <t>gal/h</t>
  </si>
  <si>
    <t>Adjust for Real World Efficiency</t>
  </si>
  <si>
    <t>1/4in steel brake line</t>
  </si>
  <si>
    <t>3/8 steel brake line</t>
  </si>
  <si>
    <t>Boiler estimate</t>
  </si>
  <si>
    <t>Boiler Efficiency</t>
  </si>
  <si>
    <t>Heat Output</t>
  </si>
  <si>
    <t>Wood Pellet Mass Energy</t>
  </si>
  <si>
    <t>btu/lb</t>
  </si>
  <si>
    <t>Wood Pellet Volume Energy</t>
  </si>
  <si>
    <t>lb/ft3</t>
  </si>
  <si>
    <t>kwh/kg</t>
  </si>
  <si>
    <t>Wood Pellet Consumption</t>
  </si>
  <si>
    <t>lb/hr</t>
  </si>
  <si>
    <t>kg/hr</t>
  </si>
  <si>
    <t>Feed Water Calculations</t>
  </si>
  <si>
    <t>Feedwater Temperature</t>
  </si>
  <si>
    <t>Feedwater Specific Energy</t>
  </si>
  <si>
    <t>Input Steam Specific Energy</t>
  </si>
  <si>
    <t>Exhaust Steam Specific Energy</t>
  </si>
  <si>
    <t>cups/min</t>
  </si>
  <si>
    <t>Soft Coal Mass Energy</t>
  </si>
  <si>
    <t>Soft Coal Volume Energy</t>
  </si>
  <si>
    <t>Soft Coal Consumption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</si>
</sst>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4" formatCode="0.0000"/>
    <numFmt numFmtId="165" formatCode="0.0000E+00"/>
    <numFmt numFmtId="166" formatCode="0.0"/>
    <numFmt numFmtId="167" formatCode="0.000"/>
    <numFmt numFmtId="168" formatCode="0.00000"/>
    <numFmt numFmtId="169" formatCode="0.00E+000"/>
    <numFmt numFmtId="170" formatCode="0.0%"/>
  </numFmts>
  <fonts count="1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8"/>
      <color indexed="12"/>
      <name val="Arial"/>
      <family val="2"/>
    </font>
    <font>
      <sz val="14"/>
      <name val="Arial"/>
      <family val="2"/>
    </font>
    <font>
      <b/>
      <u/>
      <sz val="8"/>
      <color indexed="12"/>
      <name val="Arial"/>
      <family val="2"/>
    </font>
    <font>
      <u/>
      <sz val="8"/>
      <color indexed="12"/>
      <name val="Arial"/>
      <family val="2"/>
    </font>
    <font>
      <b/>
      <i/>
      <sz val="12"/>
      <name val="Arial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u/>
      <sz val="10"/>
      <color indexed="12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lightGray">
        <fgColor indexed="9"/>
        <bgColor indexed="41"/>
      </patternFill>
    </fill>
    <fill>
      <patternFill patternType="solid">
        <fgColor indexed="15"/>
        <bgColor indexed="35"/>
      </patternFill>
    </fill>
    <fill>
      <patternFill patternType="solid">
        <fgColor indexed="10"/>
        <bgColor indexed="60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35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2" fillId="0" borderId="0"/>
    <xf numFmtId="44" fontId="17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1" fillId="0" borderId="0" xfId="0" applyFont="1" applyFill="1" applyBorder="1"/>
    <xf numFmtId="167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0" fontId="1" fillId="0" borderId="1" xfId="0" applyFont="1" applyFill="1" applyBorder="1"/>
    <xf numFmtId="166" fontId="0" fillId="0" borderId="4" xfId="0" applyNumberFormat="1" applyBorder="1"/>
    <xf numFmtId="0" fontId="1" fillId="0" borderId="0" xfId="0" applyFont="1" applyBorder="1" applyAlignment="1">
      <alignment horizontal="center"/>
    </xf>
    <xf numFmtId="0" fontId="0" fillId="2" borderId="6" xfId="0" applyFill="1" applyBorder="1"/>
    <xf numFmtId="2" fontId="1" fillId="3" borderId="7" xfId="0" applyNumberFormat="1" applyFont="1" applyFill="1" applyBorder="1"/>
    <xf numFmtId="0" fontId="0" fillId="2" borderId="8" xfId="0" applyFill="1" applyBorder="1"/>
    <xf numFmtId="2" fontId="1" fillId="3" borderId="0" xfId="0" applyNumberFormat="1" applyFont="1" applyFill="1" applyBorder="1"/>
    <xf numFmtId="167" fontId="1" fillId="3" borderId="7" xfId="0" applyNumberFormat="1" applyFont="1" applyFill="1" applyBorder="1"/>
    <xf numFmtId="0" fontId="2" fillId="0" borderId="0" xfId="0" applyFont="1" applyBorder="1"/>
    <xf numFmtId="0" fontId="8" fillId="0" borderId="0" xfId="0" applyFont="1" applyBorder="1"/>
    <xf numFmtId="0" fontId="3" fillId="0" borderId="0" xfId="2" applyBorder="1" applyAlignment="1" applyProtection="1"/>
    <xf numFmtId="0" fontId="0" fillId="0" borderId="9" xfId="0" applyBorder="1"/>
    <xf numFmtId="0" fontId="4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5" fillId="0" borderId="0" xfId="0" applyFont="1" applyBorder="1"/>
    <xf numFmtId="0" fontId="2" fillId="0" borderId="13" xfId="0" applyFont="1" applyBorder="1"/>
    <xf numFmtId="0" fontId="1" fillId="0" borderId="0" xfId="0" applyFont="1" applyBorder="1"/>
    <xf numFmtId="0" fontId="0" fillId="0" borderId="12" xfId="0" applyBorder="1"/>
    <xf numFmtId="0" fontId="9" fillId="0" borderId="0" xfId="2" applyFont="1" applyBorder="1" applyAlignment="1" applyProtection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9" xfId="0" applyFont="1" applyBorder="1"/>
    <xf numFmtId="0" fontId="10" fillId="0" borderId="10" xfId="0" applyFont="1" applyBorder="1"/>
    <xf numFmtId="0" fontId="2" fillId="0" borderId="10" xfId="0" applyFont="1" applyBorder="1"/>
    <xf numFmtId="0" fontId="11" fillId="0" borderId="10" xfId="2" applyFont="1" applyBorder="1" applyAlignment="1" applyProtection="1"/>
    <xf numFmtId="0" fontId="10" fillId="0" borderId="11" xfId="0" applyFont="1" applyBorder="1"/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5" fillId="0" borderId="12" xfId="0" applyFont="1" applyBorder="1"/>
    <xf numFmtId="0" fontId="5" fillId="0" borderId="13" xfId="0" applyFont="1" applyBorder="1"/>
    <xf numFmtId="0" fontId="12" fillId="0" borderId="0" xfId="2" applyFont="1" applyBorder="1" applyAlignment="1" applyProtection="1"/>
    <xf numFmtId="0" fontId="13" fillId="0" borderId="12" xfId="0" applyFont="1" applyBorder="1"/>
    <xf numFmtId="0" fontId="7" fillId="0" borderId="0" xfId="0" applyFont="1" applyBorder="1"/>
    <xf numFmtId="0" fontId="8" fillId="0" borderId="13" xfId="0" applyFont="1" applyBorder="1"/>
    <xf numFmtId="0" fontId="1" fillId="0" borderId="12" xfId="0" applyFont="1" applyBorder="1"/>
    <xf numFmtId="165" fontId="1" fillId="0" borderId="0" xfId="0" applyNumberFormat="1" applyFont="1" applyBorder="1"/>
    <xf numFmtId="0" fontId="4" fillId="0" borderId="12" xfId="0" applyFont="1" applyBorder="1"/>
    <xf numFmtId="164" fontId="1" fillId="0" borderId="0" xfId="0" applyNumberFormat="1" applyFont="1" applyBorder="1"/>
    <xf numFmtId="0" fontId="1" fillId="0" borderId="15" xfId="0" applyFont="1" applyBorder="1"/>
    <xf numFmtId="0" fontId="2" fillId="0" borderId="15" xfId="0" applyFont="1" applyBorder="1"/>
    <xf numFmtId="0" fontId="14" fillId="0" borderId="0" xfId="4" applyFont="1"/>
    <xf numFmtId="166" fontId="14" fillId="4" borderId="0" xfId="4" applyNumberFormat="1" applyFont="1" applyFill="1"/>
    <xf numFmtId="0" fontId="14" fillId="0" borderId="0" xfId="4" applyFont="1" applyFill="1"/>
    <xf numFmtId="167" fontId="14" fillId="5" borderId="0" xfId="4" applyNumberFormat="1" applyFont="1" applyFill="1"/>
    <xf numFmtId="164" fontId="14" fillId="5" borderId="0" xfId="4" applyNumberFormat="1" applyFont="1" applyFill="1"/>
    <xf numFmtId="164" fontId="14" fillId="4" borderId="0" xfId="4" applyNumberFormat="1" applyFont="1" applyFill="1"/>
    <xf numFmtId="166" fontId="14" fillId="5" borderId="0" xfId="4" applyNumberFormat="1" applyFont="1" applyFill="1"/>
    <xf numFmtId="0" fontId="14" fillId="6" borderId="0" xfId="4" applyFont="1" applyFill="1"/>
    <xf numFmtId="167" fontId="14" fillId="4" borderId="0" xfId="4" applyNumberFormat="1" applyFont="1" applyFill="1"/>
    <xf numFmtId="10" fontId="14" fillId="6" borderId="0" xfId="4" applyNumberFormat="1" applyFont="1" applyFill="1"/>
    <xf numFmtId="1" fontId="14" fillId="5" borderId="0" xfId="4" applyNumberFormat="1" applyFont="1" applyFill="1"/>
    <xf numFmtId="169" fontId="14" fillId="5" borderId="0" xfId="4" applyNumberFormat="1" applyFont="1" applyFill="1"/>
    <xf numFmtId="0" fontId="14" fillId="4" borderId="0" xfId="4" applyFont="1" applyFill="1"/>
    <xf numFmtId="0" fontId="14" fillId="5" borderId="0" xfId="4" applyFont="1" applyFill="1"/>
    <xf numFmtId="10" fontId="14" fillId="4" borderId="0" xfId="4" applyNumberFormat="1" applyFont="1" applyFill="1"/>
    <xf numFmtId="170" fontId="14" fillId="4" borderId="0" xfId="4" applyNumberFormat="1" applyFont="1" applyFill="1"/>
    <xf numFmtId="2" fontId="14" fillId="4" borderId="0" xfId="4" applyNumberFormat="1" applyFont="1" applyFill="1"/>
    <xf numFmtId="169" fontId="14" fillId="0" borderId="0" xfId="4" applyNumberFormat="1" applyFont="1"/>
    <xf numFmtId="9" fontId="14" fillId="4" borderId="0" xfId="4" applyNumberFormat="1" applyFont="1" applyFill="1"/>
    <xf numFmtId="168" fontId="14" fillId="5" borderId="0" xfId="4" applyNumberFormat="1" applyFont="1" applyFill="1"/>
    <xf numFmtId="0" fontId="14" fillId="0" borderId="0" xfId="4" applyNumberFormat="1" applyFont="1" applyFill="1"/>
    <xf numFmtId="0" fontId="14" fillId="6" borderId="0" xfId="4" applyNumberFormat="1" applyFont="1" applyFill="1"/>
    <xf numFmtId="2" fontId="14" fillId="5" borderId="0" xfId="4" applyNumberFormat="1" applyFont="1" applyFill="1"/>
    <xf numFmtId="0" fontId="14" fillId="7" borderId="0" xfId="4" applyFont="1" applyFill="1"/>
    <xf numFmtId="0" fontId="2" fillId="0" borderId="0" xfId="4" applyFont="1"/>
    <xf numFmtId="167" fontId="14" fillId="6" borderId="0" xfId="4" applyNumberFormat="1" applyFont="1" applyFill="1"/>
    <xf numFmtId="1" fontId="14" fillId="4" borderId="0" xfId="4" applyNumberFormat="1" applyFont="1" applyFill="1"/>
    <xf numFmtId="166" fontId="14" fillId="8" borderId="0" xfId="4" applyNumberFormat="1" applyFont="1" applyFill="1"/>
    <xf numFmtId="169" fontId="14" fillId="8" borderId="0" xfId="4" applyNumberFormat="1" applyFont="1" applyFill="1"/>
    <xf numFmtId="1" fontId="14" fillId="8" borderId="0" xfId="4" applyNumberFormat="1" applyFont="1" applyFill="1"/>
    <xf numFmtId="2" fontId="14" fillId="9" borderId="0" xfId="4" applyNumberFormat="1" applyFont="1" applyFill="1"/>
    <xf numFmtId="9" fontId="14" fillId="10" borderId="0" xfId="4" applyNumberFormat="1" applyFont="1" applyFill="1"/>
    <xf numFmtId="1" fontId="14" fillId="11" borderId="0" xfId="4" applyNumberFormat="1" applyFont="1" applyFill="1"/>
    <xf numFmtId="2" fontId="14" fillId="11" borderId="0" xfId="4" applyNumberFormat="1" applyFont="1" applyFill="1"/>
    <xf numFmtId="1" fontId="0" fillId="0" borderId="0" xfId="0" applyNumberFormat="1"/>
    <xf numFmtId="2" fontId="14" fillId="0" borderId="0" xfId="4" applyNumberFormat="1" applyFont="1" applyFill="1"/>
    <xf numFmtId="44" fontId="0" fillId="0" borderId="0" xfId="5" applyFont="1"/>
    <xf numFmtId="167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ill="1"/>
    <xf numFmtId="0" fontId="0" fillId="12" borderId="0" xfId="0" applyFill="1"/>
    <xf numFmtId="0" fontId="0" fillId="11" borderId="0" xfId="0" applyFill="1"/>
    <xf numFmtId="2" fontId="0" fillId="8" borderId="0" xfId="0" applyNumberFormat="1" applyFill="1"/>
    <xf numFmtId="166" fontId="0" fillId="8" borderId="0" xfId="0" applyNumberFormat="1" applyFill="1"/>
    <xf numFmtId="2" fontId="0" fillId="11" borderId="0" xfId="0" applyNumberFormat="1" applyFill="1"/>
    <xf numFmtId="166" fontId="0" fillId="11" borderId="0" xfId="0" applyNumberFormat="1" applyFill="1"/>
    <xf numFmtId="1" fontId="0" fillId="11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66" fontId="2" fillId="11" borderId="0" xfId="0" applyNumberFormat="1" applyFont="1" applyFill="1"/>
    <xf numFmtId="1" fontId="0" fillId="8" borderId="0" xfId="0" applyNumberFormat="1" applyFill="1"/>
    <xf numFmtId="49" fontId="3" fillId="0" borderId="9" xfId="2" applyNumberFormat="1" applyBorder="1" applyAlignment="1" applyProtection="1">
      <alignment horizontal="right"/>
    </xf>
    <xf numFmtId="0" fontId="3" fillId="0" borderId="10" xfId="2" applyBorder="1" applyAlignment="1" applyProtection="1"/>
    <xf numFmtId="0" fontId="3" fillId="0" borderId="11" xfId="2" applyBorder="1" applyAlignment="1" applyProtection="1"/>
    <xf numFmtId="0" fontId="3" fillId="0" borderId="12" xfId="2" applyBorder="1" applyAlignment="1" applyProtection="1"/>
    <xf numFmtId="0" fontId="3" fillId="0" borderId="0" xfId="2" applyBorder="1" applyAlignment="1" applyProtection="1"/>
    <xf numFmtId="0" fontId="3" fillId="0" borderId="13" xfId="2" applyBorder="1" applyAlignment="1" applyProtection="1"/>
    <xf numFmtId="0" fontId="3" fillId="0" borderId="14" xfId="2" applyBorder="1" applyAlignment="1" applyProtection="1"/>
    <xf numFmtId="0" fontId="3" fillId="0" borderId="15" xfId="2" applyBorder="1" applyAlignment="1" applyProtection="1"/>
    <xf numFmtId="0" fontId="3" fillId="0" borderId="16" xfId="2" applyBorder="1" applyAlignment="1" applyProtection="1"/>
    <xf numFmtId="0" fontId="14" fillId="12" borderId="0" xfId="4" applyFont="1" applyFill="1"/>
    <xf numFmtId="2" fontId="14" fillId="12" borderId="0" xfId="4" applyNumberFormat="1" applyFont="1" applyFill="1"/>
    <xf numFmtId="2" fontId="14" fillId="8" borderId="0" xfId="4" applyNumberFormat="1" applyFont="1" applyFill="1"/>
    <xf numFmtId="166" fontId="14" fillId="11" borderId="0" xfId="4" applyNumberFormat="1" applyFont="1" applyFill="1"/>
    <xf numFmtId="0" fontId="14" fillId="8" borderId="0" xfId="4" applyFont="1" applyFill="1"/>
    <xf numFmtId="1" fontId="14" fillId="0" borderId="0" xfId="4" applyNumberFormat="1" applyFont="1" applyFill="1"/>
  </cellXfs>
  <cellStyles count="6">
    <cellStyle name="Currency" xfId="5" builtinId="4"/>
    <cellStyle name="Excel_BuiltIn_Hyperlink 1" xfId="1"/>
    <cellStyle name="Hyperlink" xfId="2" builtinId="8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608695652173951"/>
          <c:y val="0.12990955719758604"/>
          <c:w val="0.72695652173913039"/>
          <c:h val="0.70997083584727261"/>
        </c:manualLayout>
      </c:layout>
      <c:scatterChart>
        <c:scatterStyle val="lineMarker"/>
        <c:ser>
          <c:idx val="0"/>
          <c:order val="0"/>
          <c:tx>
            <c:strRef>
              <c:f>Engine!$N$40</c:f>
              <c:strCache>
                <c:ptCount val="1"/>
                <c:pt idx="0">
                  <c:v>V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Engine!$N$41:$N$47</c:f>
              <c:numCache>
                <c:formatCode>General</c:formatCode>
                <c:ptCount val="7"/>
                <c:pt idx="0">
                  <c:v>3.2774000000000001</c:v>
                </c:pt>
                <c:pt idx="1">
                  <c:v>29.339899187379796</c:v>
                </c:pt>
                <c:pt idx="2">
                  <c:v>46.714898645632992</c:v>
                </c:pt>
                <c:pt idx="3">
                  <c:v>46.714898645632992</c:v>
                </c:pt>
                <c:pt idx="4">
                  <c:v>7.6211498645632982</c:v>
                </c:pt>
                <c:pt idx="5">
                  <c:v>3.2774000000000001</c:v>
                </c:pt>
                <c:pt idx="6">
                  <c:v>3.2774000000000001</c:v>
                </c:pt>
              </c:numCache>
            </c:numRef>
          </c:xVal>
          <c:yVal>
            <c:numRef>
              <c:f>Engine!$O$41:$O$47</c:f>
              <c:numCache>
                <c:formatCode>General</c:formatCode>
                <c:ptCount val="7"/>
                <c:pt idx="0">
                  <c:v>89.976582634500005</c:v>
                </c:pt>
                <c:pt idx="1">
                  <c:v>89.976582634500005</c:v>
                </c:pt>
                <c:pt idx="2">
                  <c:v>48.993024324135682</c:v>
                </c:pt>
                <c:pt idx="3">
                  <c:v>14.996097105750001</c:v>
                </c:pt>
                <c:pt idx="4">
                  <c:v>14.996097105750001</c:v>
                </c:pt>
                <c:pt idx="5">
                  <c:v>45.328903441523188</c:v>
                </c:pt>
                <c:pt idx="6">
                  <c:v>89.976582634500005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057-4641-ADC0-C736E8BAC5AE}"/>
            </c:ext>
          </c:extLst>
        </c:ser>
        <c:axId val="67094784"/>
        <c:axId val="67096960"/>
      </c:scatterChart>
      <c:valAx>
        <c:axId val="6709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96960"/>
        <c:crossesAt val="0"/>
        <c:crossBetween val="midCat"/>
      </c:valAx>
      <c:valAx>
        <c:axId val="67096960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9478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60869565217638"/>
          <c:y val="0.45317283979986089"/>
          <c:w val="8.52173913043478E-2"/>
          <c:h val="6.646525679758302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joemusumeci.com/EngineeringTools.asp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0</xdr:row>
      <xdr:rowOff>76200</xdr:rowOff>
    </xdr:from>
    <xdr:to>
      <xdr:col>5</xdr:col>
      <xdr:colOff>1095375</xdr:colOff>
      <xdr:row>5</xdr:row>
      <xdr:rowOff>361950</xdr:rowOff>
    </xdr:to>
    <xdr:pic>
      <xdr:nvPicPr>
        <xdr:cNvPr id="1074" name="Picture 1">
          <a:hlinkClick xmlns:r="http://schemas.openxmlformats.org/officeDocument/2006/relationships" r:id="rId1"/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41052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6</xdr:col>
      <xdr:colOff>180975</xdr:colOff>
      <xdr:row>5</xdr:row>
      <xdr:rowOff>361950</xdr:rowOff>
    </xdr:to>
    <xdr:pic>
      <xdr:nvPicPr>
        <xdr:cNvPr id="2098" name="Picture 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41052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17</xdr:row>
      <xdr:rowOff>9525</xdr:rowOff>
    </xdr:from>
    <xdr:to>
      <xdr:col>16</xdr:col>
      <xdr:colOff>476250</xdr:colOff>
      <xdr:row>35</xdr:row>
      <xdr:rowOff>133350</xdr:rowOff>
    </xdr:to>
    <xdr:pic>
      <xdr:nvPicPr>
        <xdr:cNvPr id="3169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39325" y="2876550"/>
          <a:ext cx="4762500" cy="3248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573697</xdr:colOff>
      <xdr:row>80</xdr:row>
      <xdr:rowOff>163391</xdr:rowOff>
    </xdr:from>
    <xdr:to>
      <xdr:col>13</xdr:col>
      <xdr:colOff>649898</xdr:colOff>
      <xdr:row>98</xdr:row>
      <xdr:rowOff>148005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oemusumeci.com/EngineeringTools.aspx" TargetMode="External"/><Relationship Id="rId1" Type="http://schemas.openxmlformats.org/officeDocument/2006/relationships/hyperlink" Target="http://www.x-eng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emusumeci.com/EngineeringTools.aspx" TargetMode="External"/><Relationship Id="rId2" Type="http://schemas.openxmlformats.org/officeDocument/2006/relationships/hyperlink" Target="mailto:magnus@x-eng.com" TargetMode="External"/><Relationship Id="rId1" Type="http://schemas.openxmlformats.org/officeDocument/2006/relationships/hyperlink" Target="http://www.x-eng.com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7"/>
  <sheetViews>
    <sheetView topLeftCell="A4" workbookViewId="0">
      <selection activeCell="G23" sqref="G23"/>
    </sheetView>
  </sheetViews>
  <sheetFormatPr defaultRowHeight="13.2"/>
  <cols>
    <col min="1" max="1" width="2.5546875" customWidth="1"/>
    <col min="2" max="2" width="21" customWidth="1"/>
    <col min="5" max="5" width="4.6640625" customWidth="1"/>
    <col min="6" max="6" width="20.6640625" customWidth="1"/>
  </cols>
  <sheetData>
    <row r="1" spans="1:15" ht="13.8" thickTop="1">
      <c r="A1" s="122" t="s">
        <v>243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7"/>
    </row>
    <row r="3" spans="1:15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</row>
    <row r="4" spans="1:15">
      <c r="A4" s="125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7"/>
    </row>
    <row r="5" spans="1:15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7"/>
    </row>
    <row r="6" spans="1:15" ht="38.25" customHeight="1" thickBot="1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1:15" ht="18" thickTop="1">
      <c r="A7" s="34"/>
      <c r="B7" s="35" t="s">
        <v>216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1:15" s="2" customFormat="1">
      <c r="A8" s="38"/>
      <c r="B8" s="39" t="s">
        <v>142</v>
      </c>
      <c r="C8" s="31"/>
      <c r="D8" s="39" t="s">
        <v>143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40"/>
    </row>
    <row r="9" spans="1:15" s="2" customFormat="1">
      <c r="A9" s="38"/>
      <c r="B9" s="39" t="s">
        <v>144</v>
      </c>
      <c r="C9" s="31"/>
      <c r="D9" s="39" t="s">
        <v>214</v>
      </c>
      <c r="E9" s="31"/>
      <c r="F9" s="31"/>
      <c r="G9" s="31"/>
      <c r="H9" s="41"/>
      <c r="I9" s="41"/>
      <c r="J9" s="31"/>
      <c r="K9" s="31"/>
      <c r="L9" s="31"/>
      <c r="M9" s="31"/>
      <c r="N9" s="31"/>
      <c r="O9" s="40"/>
    </row>
    <row r="10" spans="1:15">
      <c r="A10" s="42"/>
      <c r="B10" s="43" t="s">
        <v>145</v>
      </c>
      <c r="C10" s="6"/>
      <c r="D10" s="39" t="s">
        <v>208</v>
      </c>
      <c r="E10" s="6"/>
      <c r="F10" s="6"/>
      <c r="G10" s="6"/>
      <c r="H10" s="41"/>
      <c r="I10" s="41"/>
      <c r="J10" s="31"/>
      <c r="K10" s="6"/>
      <c r="L10" s="6"/>
      <c r="M10" s="6"/>
      <c r="N10" s="6"/>
      <c r="O10" s="44"/>
    </row>
    <row r="11" spans="1:15">
      <c r="A11" s="42"/>
      <c r="B11" s="33"/>
      <c r="C11" s="6"/>
      <c r="D11" s="6"/>
      <c r="E11" s="6"/>
      <c r="F11" s="6"/>
      <c r="G11" s="6"/>
      <c r="H11" s="41"/>
      <c r="I11" s="41"/>
      <c r="J11" s="31"/>
      <c r="K11" s="6"/>
      <c r="L11" s="6"/>
      <c r="M11" s="6"/>
      <c r="N11" s="6"/>
      <c r="O11" s="44"/>
    </row>
    <row r="12" spans="1:15">
      <c r="A12" s="42"/>
      <c r="B12" s="19" t="s">
        <v>146</v>
      </c>
      <c r="C12" s="17"/>
      <c r="D12" s="17"/>
      <c r="E12" s="17"/>
      <c r="F12" s="19" t="s">
        <v>147</v>
      </c>
      <c r="G12" s="17"/>
      <c r="H12" s="17"/>
      <c r="I12" s="6"/>
      <c r="J12" s="6"/>
      <c r="K12" s="6"/>
      <c r="L12" s="6"/>
      <c r="M12" s="6"/>
      <c r="N12" s="6"/>
      <c r="O12" s="44"/>
    </row>
    <row r="13" spans="1:15">
      <c r="A13" s="42"/>
      <c r="B13" s="26" t="s">
        <v>173</v>
      </c>
      <c r="C13" s="27">
        <v>100</v>
      </c>
      <c r="D13" s="28" t="s">
        <v>176</v>
      </c>
      <c r="E13" s="17"/>
      <c r="F13" s="26" t="s">
        <v>183</v>
      </c>
      <c r="G13" s="30">
        <v>12.57</v>
      </c>
      <c r="H13" s="28" t="s">
        <v>148</v>
      </c>
      <c r="I13" s="6"/>
      <c r="J13" s="6"/>
      <c r="K13" s="6"/>
      <c r="L13" s="6"/>
      <c r="M13" s="6"/>
      <c r="N13" s="6"/>
      <c r="O13" s="44"/>
    </row>
    <row r="14" spans="1:15">
      <c r="A14" s="42"/>
      <c r="B14" s="3" t="s">
        <v>185</v>
      </c>
      <c r="C14" s="20">
        <f>psat_t(C13)</f>
        <v>1.0141797792131013</v>
      </c>
      <c r="D14" s="5" t="s">
        <v>148</v>
      </c>
      <c r="E14" s="17"/>
      <c r="F14" s="3" t="s">
        <v>184</v>
      </c>
      <c r="G14" s="21">
        <f>Tsat_p(G13)</f>
        <v>190.0720101494847</v>
      </c>
      <c r="H14" s="5" t="s">
        <v>176</v>
      </c>
      <c r="I14" s="6"/>
      <c r="J14" s="6"/>
      <c r="K14" s="6"/>
      <c r="L14" s="6"/>
      <c r="M14" s="6"/>
      <c r="N14" s="6"/>
      <c r="O14" s="44"/>
    </row>
    <row r="15" spans="1:15">
      <c r="A15" s="42"/>
      <c r="B15" s="4" t="s">
        <v>149</v>
      </c>
      <c r="C15" s="6"/>
      <c r="D15" s="5"/>
      <c r="E15" s="6"/>
      <c r="F15" s="4" t="s">
        <v>149</v>
      </c>
      <c r="G15" s="6"/>
      <c r="H15" s="5"/>
      <c r="I15" s="6"/>
      <c r="J15" s="6"/>
      <c r="K15" s="6"/>
      <c r="L15" s="6"/>
      <c r="M15" s="6"/>
      <c r="N15" s="6"/>
      <c r="O15" s="44"/>
    </row>
    <row r="16" spans="1:15">
      <c r="A16" s="42"/>
      <c r="B16" s="3" t="s">
        <v>172</v>
      </c>
      <c r="C16" s="22">
        <f>hL_T(C13)</f>
        <v>419.09915499770312</v>
      </c>
      <c r="D16" s="5" t="s">
        <v>168</v>
      </c>
      <c r="E16" s="17"/>
      <c r="F16" s="3" t="s">
        <v>172</v>
      </c>
      <c r="G16" s="22">
        <f>hL_p(G13)</f>
        <v>807.88713916160611</v>
      </c>
      <c r="H16" s="5" t="s">
        <v>168</v>
      </c>
      <c r="I16" s="6"/>
      <c r="J16" s="6"/>
      <c r="K16" s="6"/>
      <c r="L16" s="6"/>
      <c r="M16" s="6"/>
      <c r="N16" s="6"/>
      <c r="O16" s="44"/>
    </row>
    <row r="17" spans="1:15">
      <c r="A17" s="42"/>
      <c r="B17" s="3" t="s">
        <v>178</v>
      </c>
      <c r="C17" s="21">
        <f>rhoL_T(C13)</f>
        <v>958.35427728589013</v>
      </c>
      <c r="D17" s="5" t="s">
        <v>174</v>
      </c>
      <c r="E17" s="17"/>
      <c r="F17" s="3" t="s">
        <v>178</v>
      </c>
      <c r="G17" s="21">
        <f>rhoL_P(G13)</f>
        <v>876.00369063972801</v>
      </c>
      <c r="H17" s="5" t="s">
        <v>174</v>
      </c>
      <c r="I17" s="6"/>
      <c r="J17" s="6"/>
      <c r="K17" s="6"/>
      <c r="L17" s="6"/>
      <c r="M17" s="6"/>
      <c r="N17" s="6"/>
      <c r="O17" s="44"/>
    </row>
    <row r="18" spans="1:15">
      <c r="A18" s="42"/>
      <c r="B18" s="3" t="s">
        <v>150</v>
      </c>
      <c r="C18" s="21">
        <f>sL_T(C13)</f>
        <v>1.3070143278413395</v>
      </c>
      <c r="D18" s="5" t="s">
        <v>215</v>
      </c>
      <c r="E18" s="17"/>
      <c r="F18" s="3" t="s">
        <v>150</v>
      </c>
      <c r="G18" s="21">
        <f>sL_p(G13)</f>
        <v>2.2364689876704964</v>
      </c>
      <c r="H18" s="5" t="s">
        <v>215</v>
      </c>
      <c r="I18" s="6"/>
      <c r="J18" s="6"/>
      <c r="K18" s="6"/>
      <c r="L18" s="6"/>
      <c r="M18" s="6"/>
      <c r="N18" s="6"/>
      <c r="O18" s="44"/>
    </row>
    <row r="19" spans="1:15">
      <c r="A19" s="42"/>
      <c r="B19" s="23" t="s">
        <v>151</v>
      </c>
      <c r="C19" s="6"/>
      <c r="D19" s="5"/>
      <c r="E19" s="6"/>
      <c r="F19" s="23" t="s">
        <v>151</v>
      </c>
      <c r="G19" s="6"/>
      <c r="H19" s="5"/>
      <c r="I19" s="6"/>
      <c r="J19" s="6"/>
      <c r="K19" s="6"/>
      <c r="L19" s="6"/>
      <c r="M19" s="6"/>
      <c r="N19" s="6"/>
      <c r="O19" s="44"/>
    </row>
    <row r="20" spans="1:15">
      <c r="A20" s="42"/>
      <c r="B20" s="3" t="s">
        <v>152</v>
      </c>
      <c r="C20" s="22">
        <f>hV_T(C13)</f>
        <v>2675.5720292208343</v>
      </c>
      <c r="D20" s="5" t="s">
        <v>168</v>
      </c>
      <c r="E20" s="17"/>
      <c r="F20" s="3" t="s">
        <v>152</v>
      </c>
      <c r="G20" s="22">
        <f>hV_p(G13)</f>
        <v>2785.3645430359766</v>
      </c>
      <c r="H20" s="5" t="s">
        <v>168</v>
      </c>
      <c r="I20" s="6"/>
      <c r="J20" s="6"/>
      <c r="K20" s="6"/>
      <c r="L20" s="6"/>
      <c r="M20" s="6"/>
      <c r="N20" s="6"/>
      <c r="O20" s="44"/>
    </row>
    <row r="21" spans="1:15">
      <c r="A21" s="42"/>
      <c r="B21" s="3" t="s">
        <v>153</v>
      </c>
      <c r="C21" s="21">
        <f>rhoV_T(C13)</f>
        <v>0.59813599252570293</v>
      </c>
      <c r="D21" s="5" t="s">
        <v>174</v>
      </c>
      <c r="E21" s="17"/>
      <c r="F21" s="3" t="s">
        <v>153</v>
      </c>
      <c r="G21" s="21">
        <f>rhoV_p(G13)</f>
        <v>6.4045082049427524</v>
      </c>
      <c r="H21" s="5" t="s">
        <v>174</v>
      </c>
      <c r="I21" s="6"/>
      <c r="J21" s="6"/>
      <c r="K21" s="6"/>
      <c r="L21" s="6"/>
      <c r="M21" s="6"/>
      <c r="N21" s="6"/>
      <c r="O21" s="44"/>
    </row>
    <row r="22" spans="1:15">
      <c r="A22" s="42"/>
      <c r="B22" s="3" t="s">
        <v>154</v>
      </c>
      <c r="C22" s="21">
        <f>sV_T(C13)</f>
        <v>7.3540770509584048</v>
      </c>
      <c r="D22" s="5" t="s">
        <v>215</v>
      </c>
      <c r="E22" s="17"/>
      <c r="F22" s="3" t="s">
        <v>155</v>
      </c>
      <c r="G22" s="21">
        <f>sV_p(G13)</f>
        <v>6.5054497650746752</v>
      </c>
      <c r="H22" s="5" t="s">
        <v>215</v>
      </c>
      <c r="I22" s="6"/>
      <c r="J22" s="6"/>
      <c r="K22" s="6"/>
      <c r="L22" s="6"/>
      <c r="M22" s="6"/>
      <c r="N22" s="6"/>
      <c r="O22" s="44"/>
    </row>
    <row r="23" spans="1:15">
      <c r="A23" s="42"/>
      <c r="B23" s="13" t="s">
        <v>156</v>
      </c>
      <c r="C23" s="24">
        <f>C20-C16</f>
        <v>2256.4728742231314</v>
      </c>
      <c r="D23" s="15" t="s">
        <v>168</v>
      </c>
      <c r="E23" s="17"/>
      <c r="F23" s="13" t="s">
        <v>156</v>
      </c>
      <c r="G23" s="24">
        <f>G20-G16</f>
        <v>1977.4774038743703</v>
      </c>
      <c r="H23" s="15" t="s">
        <v>168</v>
      </c>
      <c r="I23" s="6"/>
      <c r="J23" s="6"/>
      <c r="K23" s="6"/>
      <c r="L23" s="6"/>
      <c r="M23" s="6"/>
      <c r="N23" s="6"/>
      <c r="O23" s="44"/>
    </row>
    <row r="24" spans="1:15">
      <c r="A24" s="4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4"/>
    </row>
    <row r="25" spans="1:15">
      <c r="A25" s="42"/>
      <c r="B25" s="19" t="s">
        <v>157</v>
      </c>
      <c r="C25" s="17"/>
      <c r="D25" s="17"/>
      <c r="E25" s="17"/>
      <c r="F25" s="19" t="s">
        <v>158</v>
      </c>
      <c r="G25" s="17"/>
      <c r="H25" s="17"/>
      <c r="I25" s="6"/>
      <c r="J25" s="6"/>
      <c r="K25" s="6"/>
      <c r="L25" s="6"/>
      <c r="M25" s="6"/>
      <c r="N25" s="6"/>
      <c r="O25" s="44"/>
    </row>
    <row r="26" spans="1:15">
      <c r="A26" s="42"/>
      <c r="B26" s="26" t="s">
        <v>183</v>
      </c>
      <c r="C26" s="27">
        <v>1</v>
      </c>
      <c r="D26" s="28" t="s">
        <v>148</v>
      </c>
      <c r="E26" s="17"/>
      <c r="F26" s="26" t="s">
        <v>183</v>
      </c>
      <c r="G26" s="27">
        <v>12.57</v>
      </c>
      <c r="H26" s="28" t="s">
        <v>148</v>
      </c>
      <c r="I26" s="6"/>
      <c r="J26" s="6"/>
      <c r="K26" s="6"/>
      <c r="L26" s="6"/>
      <c r="M26" s="6"/>
      <c r="N26" s="6"/>
      <c r="O26" s="44"/>
    </row>
    <row r="27" spans="1:15">
      <c r="A27" s="42"/>
      <c r="B27" s="11" t="s">
        <v>173</v>
      </c>
      <c r="C27" s="29">
        <v>20</v>
      </c>
      <c r="D27" s="12" t="s">
        <v>176</v>
      </c>
      <c r="E27" s="6"/>
      <c r="F27" s="11" t="s">
        <v>172</v>
      </c>
      <c r="G27" s="29">
        <v>2788</v>
      </c>
      <c r="H27" s="12" t="s">
        <v>168</v>
      </c>
      <c r="I27" s="6"/>
      <c r="J27" s="6"/>
      <c r="K27" s="6"/>
      <c r="L27" s="6"/>
      <c r="M27" s="6"/>
      <c r="N27" s="6"/>
      <c r="O27" s="44"/>
    </row>
    <row r="28" spans="1:15">
      <c r="A28" s="42"/>
      <c r="B28" s="3" t="s">
        <v>172</v>
      </c>
      <c r="C28" s="22">
        <f>h_pt(C26,C27)</f>
        <v>84.01181116713623</v>
      </c>
      <c r="D28" s="5" t="s">
        <v>168</v>
      </c>
      <c r="E28" s="6"/>
      <c r="F28" s="3" t="s">
        <v>173</v>
      </c>
      <c r="G28" s="22">
        <f>T_ph(G26,G27)</f>
        <v>190.99878517007232</v>
      </c>
      <c r="H28" s="5" t="s">
        <v>176</v>
      </c>
      <c r="I28" s="6"/>
      <c r="J28" s="6"/>
      <c r="K28" s="6"/>
      <c r="L28" s="6"/>
      <c r="M28" s="6"/>
      <c r="N28" s="6"/>
      <c r="O28" s="44"/>
    </row>
    <row r="29" spans="1:15">
      <c r="A29" s="42"/>
      <c r="B29" s="3" t="s">
        <v>178</v>
      </c>
      <c r="C29" s="21">
        <f>rho_pT(C26,C27)</f>
        <v>998.20548637769684</v>
      </c>
      <c r="D29" s="5" t="s">
        <v>174</v>
      </c>
      <c r="E29" s="6"/>
      <c r="F29" s="3" t="s">
        <v>178</v>
      </c>
      <c r="G29" s="21">
        <f>rho_ph(G26,G27)</f>
        <v>6.3855415554886008</v>
      </c>
      <c r="H29" s="5" t="s">
        <v>174</v>
      </c>
      <c r="I29" s="6"/>
      <c r="J29" s="6"/>
      <c r="K29" s="6"/>
      <c r="L29" s="6"/>
      <c r="M29" s="6"/>
      <c r="N29" s="6"/>
      <c r="O29" s="44"/>
    </row>
    <row r="30" spans="1:15">
      <c r="A30" s="42"/>
      <c r="B30" s="3" t="s">
        <v>150</v>
      </c>
      <c r="C30" s="21">
        <f>s_pT(C26,C27)</f>
        <v>0.29648292080641009</v>
      </c>
      <c r="D30" s="5" t="s">
        <v>215</v>
      </c>
      <c r="E30" s="6"/>
      <c r="F30" s="3" t="s">
        <v>150</v>
      </c>
      <c r="G30" s="21">
        <f>s_ph(G26,G27)</f>
        <v>6.5111125817764135</v>
      </c>
      <c r="H30" s="5" t="s">
        <v>215</v>
      </c>
      <c r="I30" s="6"/>
      <c r="J30" s="6"/>
      <c r="K30" s="6"/>
      <c r="L30" s="6"/>
      <c r="M30" s="6"/>
      <c r="N30" s="6"/>
      <c r="O30" s="44"/>
    </row>
    <row r="31" spans="1:15">
      <c r="A31" s="42"/>
      <c r="B31" s="16" t="s">
        <v>203</v>
      </c>
      <c r="C31" s="6">
        <f>x_ph(C26,C28)*100</f>
        <v>0</v>
      </c>
      <c r="D31" s="18" t="s">
        <v>205</v>
      </c>
      <c r="E31" s="6"/>
      <c r="F31" s="16" t="s">
        <v>203</v>
      </c>
      <c r="G31" s="6">
        <f>x_ph(G26,G27)*100</f>
        <v>100</v>
      </c>
      <c r="H31" s="18" t="s">
        <v>205</v>
      </c>
      <c r="I31" s="6"/>
      <c r="J31" s="6"/>
      <c r="K31" s="6"/>
      <c r="L31" s="6"/>
      <c r="M31" s="6"/>
      <c r="N31" s="6"/>
      <c r="O31" s="44"/>
    </row>
    <row r="32" spans="1:15">
      <c r="A32" s="42"/>
      <c r="B32" s="3" t="s">
        <v>159</v>
      </c>
      <c r="C32" s="6">
        <f>region_pt(C26/10,C27+273.15)</f>
        <v>1</v>
      </c>
      <c r="D32" s="5"/>
      <c r="E32" s="6"/>
      <c r="F32" s="3" t="s">
        <v>159</v>
      </c>
      <c r="G32" s="6">
        <f>region_ph(G26/10,G27)</f>
        <v>2</v>
      </c>
      <c r="H32" s="5"/>
      <c r="I32" s="6"/>
      <c r="J32" s="6"/>
      <c r="K32" s="6"/>
      <c r="L32" s="6"/>
      <c r="M32" s="6"/>
      <c r="N32" s="6"/>
      <c r="O32" s="44"/>
    </row>
    <row r="33" spans="1:15">
      <c r="A33" s="42"/>
      <c r="B33" s="3" t="s">
        <v>160</v>
      </c>
      <c r="C33" s="25" t="str">
        <f>IF(C32=2,"Steam",IF(C32=1,"Liquid",IF(C32=4,"Mixture","")))</f>
        <v>Liquid</v>
      </c>
      <c r="D33" s="5"/>
      <c r="E33" s="6"/>
      <c r="F33" s="3" t="s">
        <v>160</v>
      </c>
      <c r="G33" s="25" t="str">
        <f>IF(G32=2,"Steam",IF(G32=1,"Liquid",IF(G32=4,"Mixture","")))</f>
        <v>Steam</v>
      </c>
      <c r="H33" s="5"/>
      <c r="I33" s="6"/>
      <c r="J33" s="6"/>
      <c r="K33" s="6"/>
      <c r="L33" s="6"/>
      <c r="M33" s="6"/>
      <c r="N33" s="6"/>
      <c r="O33" s="44"/>
    </row>
    <row r="34" spans="1:15">
      <c r="A34" s="42"/>
      <c r="B34" s="3" t="s">
        <v>161</v>
      </c>
      <c r="C34" s="6">
        <f>Cp_pT(C26,C27)</f>
        <v>4.1847982213085304</v>
      </c>
      <c r="D34" s="5" t="s">
        <v>168</v>
      </c>
      <c r="E34" s="6"/>
      <c r="F34" s="3" t="s">
        <v>161</v>
      </c>
      <c r="G34" s="6">
        <f>Cp_ph(G26,G27)</f>
        <v>2.819479422450438</v>
      </c>
      <c r="H34" s="5" t="s">
        <v>168</v>
      </c>
      <c r="I34" s="6"/>
      <c r="J34" s="6"/>
      <c r="K34" s="6"/>
      <c r="L34" s="6"/>
      <c r="M34" s="6"/>
      <c r="N34" s="6"/>
      <c r="O34" s="44"/>
    </row>
    <row r="35" spans="1:15">
      <c r="A35" s="42"/>
      <c r="B35" s="13" t="s">
        <v>162</v>
      </c>
      <c r="C35" s="14">
        <f>w_pT(C26,C27)</f>
        <v>1483.4167663120188</v>
      </c>
      <c r="D35" s="15" t="s">
        <v>171</v>
      </c>
      <c r="E35" s="6"/>
      <c r="F35" s="13" t="s">
        <v>162</v>
      </c>
      <c r="G35" s="14">
        <f>w_ph(G26,G27)</f>
        <v>503.55121714205848</v>
      </c>
      <c r="H35" s="15" t="s">
        <v>171</v>
      </c>
      <c r="I35" s="6"/>
      <c r="J35" s="6"/>
      <c r="K35" s="6"/>
      <c r="L35" s="6"/>
      <c r="M35" s="6"/>
      <c r="N35" s="6"/>
      <c r="O35" s="44"/>
    </row>
    <row r="36" spans="1:15" ht="13.8" thickBot="1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</row>
    <row r="37" spans="1:15" ht="13.8" thickTop="1"/>
  </sheetData>
  <mergeCells count="1">
    <mergeCell ref="A1:O6"/>
  </mergeCells>
  <phoneticPr fontId="0" type="noConversion"/>
  <hyperlinks>
    <hyperlink ref="B10" r:id="rId1"/>
    <hyperlink ref="A1:O6" r:id="rId2" display="http://joemusumeci.com/EngineeringTools.aspx"/>
  </hyperlinks>
  <pageMargins left="0.75" right="0.75" top="1" bottom="1" header="0.5" footer="0.5"/>
  <pageSetup scale="82" orientation="landscape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>
    <outlinePr summaryBelow="0"/>
  </sheetPr>
  <dimension ref="A1:O158"/>
  <sheetViews>
    <sheetView topLeftCell="A55" workbookViewId="0">
      <selection activeCell="F61" sqref="F61"/>
    </sheetView>
  </sheetViews>
  <sheetFormatPr defaultRowHeight="13.2" outlineLevelRow="1"/>
  <cols>
    <col min="1" max="1" width="24.109375" customWidth="1"/>
    <col min="2" max="2" width="4.6640625" customWidth="1"/>
    <col min="3" max="3" width="7.6640625" customWidth="1"/>
    <col min="4" max="4" width="4.6640625" customWidth="1"/>
    <col min="5" max="5" width="8.33203125" customWidth="1"/>
    <col min="6" max="6" width="10.44140625" style="1" bestFit="1" customWidth="1"/>
    <col min="7" max="7" width="9.109375" style="1"/>
    <col min="8" max="8" width="7.5546875" style="2" customWidth="1"/>
  </cols>
  <sheetData>
    <row r="1" spans="1:15" ht="13.8" thickTop="1">
      <c r="A1" s="122" t="s">
        <v>243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7"/>
    </row>
    <row r="3" spans="1:15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</row>
    <row r="4" spans="1:15">
      <c r="A4" s="125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7"/>
    </row>
    <row r="5" spans="1:15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7"/>
    </row>
    <row r="6" spans="1:15" ht="45.75" customHeight="1" thickBot="1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1:15" s="10" customFormat="1" ht="18" thickTop="1">
      <c r="A7" s="48" t="s">
        <v>216</v>
      </c>
      <c r="B7" s="49"/>
      <c r="C7" s="49"/>
      <c r="D7" s="50" t="s">
        <v>0</v>
      </c>
      <c r="E7" s="51" t="s">
        <v>217</v>
      </c>
      <c r="F7" s="35"/>
      <c r="G7" s="35"/>
      <c r="H7" s="49"/>
      <c r="I7" s="49"/>
      <c r="J7" s="49"/>
      <c r="K7" s="49"/>
      <c r="L7" s="49"/>
      <c r="M7" s="49"/>
      <c r="N7" s="49"/>
      <c r="O7" s="52"/>
    </row>
    <row r="8" spans="1:15" s="8" customFormat="1" ht="10.199999999999999">
      <c r="A8" s="53" t="s">
        <v>218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1:15" s="7" customFormat="1" ht="10.199999999999999">
      <c r="A9" s="56" t="s">
        <v>140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57"/>
    </row>
    <row r="10" spans="1:15" s="7" customFormat="1" ht="10.199999999999999">
      <c r="A10" s="56" t="s">
        <v>141</v>
      </c>
      <c r="B10" s="39"/>
      <c r="C10" s="39"/>
      <c r="D10" s="39"/>
      <c r="E10" s="39"/>
      <c r="F10" s="58" t="s">
        <v>220</v>
      </c>
      <c r="G10" s="39"/>
      <c r="H10" s="39"/>
      <c r="I10" s="39"/>
      <c r="J10" s="39"/>
      <c r="K10" s="39"/>
      <c r="L10" s="39"/>
      <c r="M10" s="39"/>
      <c r="N10" s="39"/>
      <c r="O10" s="57"/>
    </row>
    <row r="11" spans="1:15" s="7" customFormat="1" ht="10.199999999999999">
      <c r="A11" s="56" t="s">
        <v>214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57"/>
    </row>
    <row r="12" spans="1:15">
      <c r="A12" s="53" t="s">
        <v>208</v>
      </c>
      <c r="B12" s="31"/>
      <c r="C12" s="31"/>
      <c r="D12" s="31"/>
      <c r="E12" s="31"/>
      <c r="F12" s="31"/>
      <c r="G12" s="31"/>
      <c r="H12" s="31"/>
      <c r="I12" s="6"/>
      <c r="J12" s="6"/>
      <c r="K12" s="6"/>
      <c r="L12" s="6"/>
      <c r="M12" s="6"/>
      <c r="N12" s="6"/>
      <c r="O12" s="44"/>
    </row>
    <row r="13" spans="1:15">
      <c r="A13" s="53"/>
      <c r="B13" s="31"/>
      <c r="C13" s="31"/>
      <c r="D13" s="31"/>
      <c r="E13" s="31"/>
      <c r="F13" s="31"/>
      <c r="G13" s="31"/>
      <c r="H13" s="31"/>
      <c r="I13" s="6"/>
      <c r="J13" s="6"/>
      <c r="K13" s="6"/>
      <c r="L13" s="6"/>
      <c r="M13" s="6"/>
      <c r="N13" s="6"/>
      <c r="O13" s="44"/>
    </row>
    <row r="14" spans="1:15" s="9" customFormat="1" ht="15.6">
      <c r="A14" s="59" t="s">
        <v>173</v>
      </c>
      <c r="B14" s="32"/>
      <c r="C14" s="32"/>
      <c r="D14" s="32"/>
      <c r="E14" s="32"/>
      <c r="F14" s="60"/>
      <c r="G14" s="60"/>
      <c r="H14" s="32"/>
      <c r="I14" s="32"/>
      <c r="J14" s="32"/>
      <c r="K14" s="32"/>
      <c r="L14" s="32"/>
      <c r="M14" s="32"/>
      <c r="N14" s="32"/>
      <c r="O14" s="61"/>
    </row>
    <row r="15" spans="1:15" s="7" customFormat="1" outlineLevel="1">
      <c r="A15" s="62" t="s">
        <v>25</v>
      </c>
      <c r="B15" s="31">
        <v>1</v>
      </c>
      <c r="C15" s="31" t="s">
        <v>175</v>
      </c>
      <c r="D15" s="31"/>
      <c r="E15" s="31"/>
      <c r="F15" s="41">
        <f>Tsat_p(B15)</f>
        <v>99.605918611337643</v>
      </c>
      <c r="G15" s="41" t="s">
        <v>176</v>
      </c>
      <c r="H15" s="31" t="s">
        <v>184</v>
      </c>
      <c r="I15" s="39"/>
      <c r="J15" s="39"/>
      <c r="K15" s="39"/>
      <c r="L15" s="39"/>
      <c r="M15" s="39"/>
      <c r="N15" s="39"/>
      <c r="O15" s="57"/>
    </row>
    <row r="16" spans="1:15" s="7" customFormat="1" outlineLevel="1">
      <c r="A16" s="62" t="s">
        <v>24</v>
      </c>
      <c r="B16" s="31">
        <v>1</v>
      </c>
      <c r="C16" s="31" t="s">
        <v>175</v>
      </c>
      <c r="D16" s="31">
        <v>100</v>
      </c>
      <c r="E16" s="31" t="s">
        <v>168</v>
      </c>
      <c r="F16" s="41">
        <f>T_ph(B16,D16)</f>
        <v>23.844819075324835</v>
      </c>
      <c r="G16" s="41" t="s">
        <v>176</v>
      </c>
      <c r="H16" s="31" t="s">
        <v>209</v>
      </c>
      <c r="I16" s="39"/>
      <c r="J16" s="39"/>
      <c r="K16" s="39"/>
      <c r="L16" s="39"/>
      <c r="M16" s="39"/>
      <c r="N16" s="39"/>
      <c r="O16" s="57"/>
    </row>
    <row r="17" spans="1:15" s="7" customFormat="1" outlineLevel="1">
      <c r="A17" s="62" t="s">
        <v>26</v>
      </c>
      <c r="B17" s="31">
        <v>1</v>
      </c>
      <c r="C17" s="31" t="s">
        <v>175</v>
      </c>
      <c r="D17" s="31">
        <v>1</v>
      </c>
      <c r="E17" s="31" t="s">
        <v>170</v>
      </c>
      <c r="F17" s="41">
        <f>T_ps(B17,D17)</f>
        <v>73.708594214408663</v>
      </c>
      <c r="G17" s="41" t="s">
        <v>176</v>
      </c>
      <c r="H17" s="31" t="s">
        <v>210</v>
      </c>
      <c r="I17" s="39"/>
      <c r="J17" s="39"/>
      <c r="K17" s="39"/>
      <c r="L17" s="39"/>
      <c r="M17" s="39"/>
      <c r="N17" s="39"/>
      <c r="O17" s="57"/>
    </row>
    <row r="18" spans="1:15" s="7" customFormat="1" outlineLevel="1">
      <c r="A18" s="62" t="s">
        <v>23</v>
      </c>
      <c r="B18" s="31">
        <v>100</v>
      </c>
      <c r="C18" s="31" t="s">
        <v>168</v>
      </c>
      <c r="D18" s="31">
        <v>0.2</v>
      </c>
      <c r="E18" s="31" t="s">
        <v>170</v>
      </c>
      <c r="F18" s="41">
        <f>T_hs(B18,D18)</f>
        <v>13.849335111872563</v>
      </c>
      <c r="G18" s="41" t="s">
        <v>176</v>
      </c>
      <c r="H18" s="31" t="s">
        <v>224</v>
      </c>
      <c r="I18" s="39"/>
      <c r="J18" s="39"/>
      <c r="K18" s="39"/>
      <c r="L18" s="39"/>
      <c r="M18" s="39"/>
      <c r="N18" s="39"/>
      <c r="O18" s="57"/>
    </row>
    <row r="19" spans="1:15" s="9" customFormat="1" ht="15.6">
      <c r="A19" s="59" t="s">
        <v>183</v>
      </c>
      <c r="B19" s="32"/>
      <c r="C19" s="32"/>
      <c r="D19" s="32"/>
      <c r="E19" s="32"/>
      <c r="F19" s="60"/>
      <c r="G19" s="60"/>
      <c r="H19" s="32"/>
      <c r="I19" s="32"/>
      <c r="J19" s="32"/>
      <c r="K19" s="32"/>
      <c r="L19" s="32"/>
      <c r="M19" s="32"/>
      <c r="N19" s="32"/>
      <c r="O19" s="61"/>
    </row>
    <row r="20" spans="1:15" s="7" customFormat="1" outlineLevel="1">
      <c r="A20" s="62" t="s">
        <v>22</v>
      </c>
      <c r="B20" s="31">
        <v>100</v>
      </c>
      <c r="C20" s="31" t="s">
        <v>176</v>
      </c>
      <c r="D20" s="31"/>
      <c r="E20" s="31"/>
      <c r="F20" s="41">
        <f>psat_t(B20)</f>
        <v>1.0141797792131013</v>
      </c>
      <c r="G20" s="41" t="s">
        <v>175</v>
      </c>
      <c r="H20" s="31" t="s">
        <v>185</v>
      </c>
      <c r="I20" s="39"/>
      <c r="J20" s="39"/>
      <c r="K20" s="39"/>
      <c r="L20" s="39"/>
      <c r="M20" s="39"/>
      <c r="N20" s="39"/>
      <c r="O20" s="57"/>
    </row>
    <row r="21" spans="1:15" s="7" customFormat="1" outlineLevel="1">
      <c r="A21" s="62" t="s">
        <v>21</v>
      </c>
      <c r="B21" s="31">
        <v>84</v>
      </c>
      <c r="C21" s="31" t="s">
        <v>168</v>
      </c>
      <c r="D21" s="31">
        <v>0.29599999999999999</v>
      </c>
      <c r="E21" s="31" t="s">
        <v>170</v>
      </c>
      <c r="F21" s="41">
        <f>p_hs(B21,D21)</f>
        <v>2.2954982692809138</v>
      </c>
      <c r="G21" s="41" t="s">
        <v>175</v>
      </c>
      <c r="H21" s="31" t="s">
        <v>219</v>
      </c>
      <c r="I21" s="39"/>
      <c r="J21" s="39"/>
      <c r="K21" s="39"/>
      <c r="L21" s="39"/>
      <c r="M21" s="39"/>
      <c r="N21" s="39"/>
      <c r="O21" s="57"/>
    </row>
    <row r="22" spans="1:15" s="7" customFormat="1" outlineLevel="1">
      <c r="A22" s="62" t="s">
        <v>20</v>
      </c>
      <c r="B22" s="31">
        <v>2000</v>
      </c>
      <c r="C22" s="31" t="s">
        <v>168</v>
      </c>
      <c r="D22" s="31">
        <v>5</v>
      </c>
      <c r="E22" s="31" t="s">
        <v>174</v>
      </c>
      <c r="F22" s="41">
        <f>p_hrho(B22,D22)</f>
        <v>6.0464690304783115</v>
      </c>
      <c r="G22" s="41" t="s">
        <v>175</v>
      </c>
      <c r="H22" s="39" t="s">
        <v>244</v>
      </c>
      <c r="I22" s="39"/>
      <c r="J22" s="39"/>
      <c r="K22" s="39"/>
      <c r="L22" s="39"/>
      <c r="M22" s="39"/>
      <c r="N22" s="39"/>
      <c r="O22" s="57"/>
    </row>
    <row r="23" spans="1:15" s="9" customFormat="1" ht="15.6">
      <c r="A23" s="59" t="s">
        <v>172</v>
      </c>
      <c r="B23" s="32"/>
      <c r="C23" s="32"/>
      <c r="D23" s="32"/>
      <c r="E23" s="32"/>
      <c r="F23" s="60"/>
      <c r="G23" s="60"/>
      <c r="H23" s="32"/>
      <c r="I23" s="32"/>
      <c r="J23" s="32"/>
      <c r="K23" s="32"/>
      <c r="L23" s="32"/>
      <c r="M23" s="32"/>
      <c r="N23" s="32"/>
      <c r="O23" s="61"/>
    </row>
    <row r="24" spans="1:15" s="7" customFormat="1" outlineLevel="1">
      <c r="A24" s="62" t="s">
        <v>27</v>
      </c>
      <c r="B24" s="31">
        <v>1</v>
      </c>
      <c r="C24" s="31" t="s">
        <v>175</v>
      </c>
      <c r="D24" s="31"/>
      <c r="E24" s="31"/>
      <c r="F24" s="41">
        <f>hV_p(B24)</f>
        <v>2674.9496408321461</v>
      </c>
      <c r="G24" s="41" t="s">
        <v>168</v>
      </c>
      <c r="H24" s="31" t="s">
        <v>187</v>
      </c>
      <c r="I24" s="39"/>
      <c r="J24" s="39"/>
      <c r="K24" s="39"/>
      <c r="L24" s="39"/>
      <c r="M24" s="39"/>
      <c r="N24" s="39"/>
      <c r="O24" s="57"/>
    </row>
    <row r="25" spans="1:15" s="7" customFormat="1" outlineLevel="1">
      <c r="A25" s="62" t="s">
        <v>28</v>
      </c>
      <c r="B25" s="31">
        <v>1</v>
      </c>
      <c r="C25" s="31" t="s">
        <v>175</v>
      </c>
      <c r="D25" s="31"/>
      <c r="E25" s="31"/>
      <c r="F25" s="41">
        <f>hL_p(B25)</f>
        <v>417.43648581623171</v>
      </c>
      <c r="G25" s="41" t="s">
        <v>168</v>
      </c>
      <c r="H25" s="31" t="s">
        <v>192</v>
      </c>
      <c r="I25" s="39"/>
      <c r="J25" s="39"/>
      <c r="K25" s="39"/>
      <c r="L25" s="39"/>
      <c r="M25" s="39"/>
      <c r="N25" s="39"/>
      <c r="O25" s="57"/>
    </row>
    <row r="26" spans="1:15" s="7" customFormat="1" outlineLevel="1">
      <c r="A26" s="62" t="s">
        <v>29</v>
      </c>
      <c r="B26" s="31">
        <v>100</v>
      </c>
      <c r="C26" s="31" t="s">
        <v>176</v>
      </c>
      <c r="D26" s="31"/>
      <c r="E26" s="31"/>
      <c r="F26" s="41">
        <f>hV_T(B26)</f>
        <v>2675.5720292208343</v>
      </c>
      <c r="G26" s="41" t="s">
        <v>168</v>
      </c>
      <c r="H26" s="31" t="s">
        <v>187</v>
      </c>
      <c r="I26" s="39"/>
      <c r="J26" s="39"/>
      <c r="K26" s="39"/>
      <c r="L26" s="39"/>
      <c r="M26" s="39"/>
      <c r="N26" s="39"/>
      <c r="O26" s="57"/>
    </row>
    <row r="27" spans="1:15" s="7" customFormat="1" outlineLevel="1">
      <c r="A27" s="62" t="s">
        <v>30</v>
      </c>
      <c r="B27" s="31">
        <v>100</v>
      </c>
      <c r="C27" s="31" t="s">
        <v>176</v>
      </c>
      <c r="D27" s="31"/>
      <c r="E27" s="31"/>
      <c r="F27" s="41">
        <f>hL_T(B27)</f>
        <v>419.09915499770312</v>
      </c>
      <c r="G27" s="41" t="s">
        <v>168</v>
      </c>
      <c r="H27" s="31" t="s">
        <v>192</v>
      </c>
      <c r="I27" s="39"/>
      <c r="J27" s="39"/>
      <c r="K27" s="39"/>
      <c r="L27" s="39"/>
      <c r="M27" s="39"/>
      <c r="N27" s="39"/>
      <c r="O27" s="57"/>
    </row>
    <row r="28" spans="1:15" s="7" customFormat="1" outlineLevel="1">
      <c r="A28" s="62" t="s">
        <v>31</v>
      </c>
      <c r="B28" s="31">
        <v>1</v>
      </c>
      <c r="C28" s="31" t="s">
        <v>175</v>
      </c>
      <c r="D28" s="31">
        <v>20</v>
      </c>
      <c r="E28" s="31" t="s">
        <v>176</v>
      </c>
      <c r="F28" s="41">
        <f>h_pt(B28,D28)</f>
        <v>84.01181116713623</v>
      </c>
      <c r="G28" s="41" t="s">
        <v>168</v>
      </c>
      <c r="H28" s="31" t="s">
        <v>211</v>
      </c>
      <c r="I28" s="39"/>
      <c r="J28" s="39"/>
      <c r="K28" s="39"/>
      <c r="L28" s="39"/>
      <c r="M28" s="39"/>
      <c r="N28" s="39"/>
      <c r="O28" s="57"/>
    </row>
    <row r="29" spans="1:15" s="7" customFormat="1" outlineLevel="1">
      <c r="A29" s="62" t="s">
        <v>32</v>
      </c>
      <c r="B29" s="31">
        <v>1</v>
      </c>
      <c r="C29" s="31" t="s">
        <v>175</v>
      </c>
      <c r="D29" s="31">
        <v>1</v>
      </c>
      <c r="E29" s="31" t="s">
        <v>170</v>
      </c>
      <c r="F29" s="41">
        <f>h_ps(B29,D29)</f>
        <v>308.61071708294634</v>
      </c>
      <c r="G29" s="41" t="s">
        <v>168</v>
      </c>
      <c r="H29" s="31" t="s">
        <v>212</v>
      </c>
      <c r="I29" s="39"/>
      <c r="J29" s="39"/>
      <c r="K29" s="39"/>
      <c r="L29" s="39"/>
      <c r="M29" s="39"/>
      <c r="N29" s="39"/>
      <c r="O29" s="57"/>
    </row>
    <row r="30" spans="1:15" s="7" customFormat="1" outlineLevel="1">
      <c r="A30" s="62" t="s">
        <v>33</v>
      </c>
      <c r="B30" s="31">
        <v>1</v>
      </c>
      <c r="C30" s="31" t="s">
        <v>175</v>
      </c>
      <c r="D30" s="31">
        <v>0.5</v>
      </c>
      <c r="E30" s="31"/>
      <c r="F30" s="41">
        <f>h_px(B30,D30)</f>
        <v>1546.1930633241889</v>
      </c>
      <c r="G30" s="41" t="s">
        <v>168</v>
      </c>
      <c r="H30" s="31" t="s">
        <v>222</v>
      </c>
      <c r="I30" s="39"/>
      <c r="J30" s="39"/>
      <c r="K30" s="39"/>
      <c r="L30" s="39"/>
      <c r="M30" s="39"/>
      <c r="N30" s="39"/>
      <c r="O30" s="57"/>
    </row>
    <row r="31" spans="1:15" s="7" customFormat="1" outlineLevel="1">
      <c r="A31" s="62" t="s">
        <v>34</v>
      </c>
      <c r="B31" s="31">
        <v>100</v>
      </c>
      <c r="C31" s="31" t="s">
        <v>176</v>
      </c>
      <c r="D31" s="31">
        <v>0.5</v>
      </c>
      <c r="E31" s="31"/>
      <c r="F31" s="41">
        <f>h_tx(B31,D31)</f>
        <v>1547.3355921092686</v>
      </c>
      <c r="G31" s="41" t="s">
        <v>168</v>
      </c>
      <c r="H31" s="31" t="s">
        <v>223</v>
      </c>
      <c r="I31" s="39"/>
      <c r="J31" s="39"/>
      <c r="K31" s="39"/>
      <c r="L31" s="39"/>
      <c r="M31" s="39"/>
      <c r="N31" s="39"/>
      <c r="O31" s="57"/>
    </row>
    <row r="32" spans="1:15" s="7" customFormat="1" outlineLevel="1">
      <c r="A32" s="62" t="s">
        <v>35</v>
      </c>
      <c r="B32" s="31">
        <v>1</v>
      </c>
      <c r="C32" s="31" t="s">
        <v>175</v>
      </c>
      <c r="D32" s="31">
        <v>2</v>
      </c>
      <c r="E32" s="31" t="s">
        <v>174</v>
      </c>
      <c r="F32" s="41">
        <f>h_prho(B32,D32)</f>
        <v>1082.7733907600204</v>
      </c>
      <c r="G32" s="41" t="s">
        <v>168</v>
      </c>
      <c r="H32" s="39" t="s">
        <v>245</v>
      </c>
      <c r="I32" s="39"/>
      <c r="J32" s="39"/>
      <c r="K32" s="39"/>
      <c r="L32" s="39"/>
      <c r="M32" s="39"/>
      <c r="N32" s="39"/>
      <c r="O32" s="57"/>
    </row>
    <row r="33" spans="1:15" s="9" customFormat="1" ht="15.6">
      <c r="A33" s="59" t="s">
        <v>186</v>
      </c>
      <c r="B33" s="32"/>
      <c r="C33" s="32"/>
      <c r="D33" s="32"/>
      <c r="E33" s="32"/>
      <c r="F33" s="60"/>
      <c r="G33" s="60"/>
      <c r="H33" s="32"/>
      <c r="I33" s="32"/>
      <c r="J33" s="32"/>
      <c r="K33" s="32"/>
      <c r="L33" s="32"/>
      <c r="M33" s="32"/>
      <c r="N33" s="32"/>
      <c r="O33" s="61"/>
    </row>
    <row r="34" spans="1:15" s="7" customFormat="1" outlineLevel="1">
      <c r="A34" s="62" t="s">
        <v>36</v>
      </c>
      <c r="B34" s="31">
        <v>1</v>
      </c>
      <c r="C34" s="31" t="s">
        <v>175</v>
      </c>
      <c r="D34" s="31"/>
      <c r="E34" s="31"/>
      <c r="F34" s="41">
        <f>vV_p(B34)</f>
        <v>1.6940225229026846</v>
      </c>
      <c r="G34" s="41" t="s">
        <v>169</v>
      </c>
      <c r="H34" s="31" t="s">
        <v>188</v>
      </c>
      <c r="I34" s="39"/>
      <c r="J34" s="39"/>
      <c r="K34" s="39"/>
      <c r="L34" s="39"/>
      <c r="M34" s="39"/>
      <c r="N34" s="39"/>
      <c r="O34" s="57"/>
    </row>
    <row r="35" spans="1:15" s="7" customFormat="1" outlineLevel="1">
      <c r="A35" s="62" t="s">
        <v>37</v>
      </c>
      <c r="B35" s="31">
        <v>1</v>
      </c>
      <c r="C35" s="31" t="s">
        <v>175</v>
      </c>
      <c r="D35" s="31"/>
      <c r="E35" s="31"/>
      <c r="F35" s="41">
        <f>vL_p(B35)</f>
        <v>1.0431478391551838E-3</v>
      </c>
      <c r="G35" s="41" t="s">
        <v>169</v>
      </c>
      <c r="H35" s="31" t="s">
        <v>193</v>
      </c>
      <c r="I35" s="39"/>
      <c r="J35" s="39"/>
      <c r="K35" s="39"/>
      <c r="L35" s="39"/>
      <c r="M35" s="39"/>
      <c r="N35" s="39"/>
      <c r="O35" s="57"/>
    </row>
    <row r="36" spans="1:15" s="7" customFormat="1" outlineLevel="1">
      <c r="A36" s="62" t="s">
        <v>38</v>
      </c>
      <c r="B36" s="31">
        <v>100</v>
      </c>
      <c r="C36" s="31" t="s">
        <v>176</v>
      </c>
      <c r="D36" s="31"/>
      <c r="E36" s="31"/>
      <c r="F36" s="41">
        <f>vV_T(B36)</f>
        <v>1.6718606010940367</v>
      </c>
      <c r="G36" s="41" t="s">
        <v>169</v>
      </c>
      <c r="H36" s="31" t="s">
        <v>188</v>
      </c>
      <c r="I36" s="39"/>
      <c r="J36" s="39"/>
      <c r="K36" s="39"/>
      <c r="L36" s="39"/>
      <c r="M36" s="39"/>
      <c r="N36" s="39"/>
      <c r="O36" s="57"/>
    </row>
    <row r="37" spans="1:15" s="7" customFormat="1" outlineLevel="1">
      <c r="A37" s="62" t="s">
        <v>39</v>
      </c>
      <c r="B37" s="31">
        <v>100</v>
      </c>
      <c r="C37" s="31" t="s">
        <v>176</v>
      </c>
      <c r="D37" s="31"/>
      <c r="E37" s="31"/>
      <c r="F37" s="41">
        <f>vL_T(B37)</f>
        <v>1.0434554566105269E-3</v>
      </c>
      <c r="G37" s="41" t="s">
        <v>169</v>
      </c>
      <c r="H37" s="31" t="s">
        <v>193</v>
      </c>
      <c r="I37" s="39"/>
      <c r="J37" s="39"/>
      <c r="K37" s="39"/>
      <c r="L37" s="39"/>
      <c r="M37" s="39"/>
      <c r="N37" s="39"/>
      <c r="O37" s="57"/>
    </row>
    <row r="38" spans="1:15" s="7" customFormat="1" outlineLevel="1">
      <c r="A38" s="62" t="s">
        <v>40</v>
      </c>
      <c r="B38" s="31">
        <v>1</v>
      </c>
      <c r="C38" s="31" t="s">
        <v>175</v>
      </c>
      <c r="D38" s="31">
        <v>100</v>
      </c>
      <c r="E38" s="31" t="s">
        <v>176</v>
      </c>
      <c r="F38" s="41">
        <f>v_pT(B38,D38)</f>
        <v>1.6959594073982218</v>
      </c>
      <c r="G38" s="41" t="s">
        <v>169</v>
      </c>
      <c r="H38" s="31" t="s">
        <v>225</v>
      </c>
      <c r="I38" s="39"/>
      <c r="J38" s="39"/>
      <c r="K38" s="39"/>
      <c r="L38" s="39"/>
      <c r="M38" s="39"/>
      <c r="N38" s="39"/>
      <c r="O38" s="57"/>
    </row>
    <row r="39" spans="1:15" s="7" customFormat="1" outlineLevel="1">
      <c r="A39" s="62" t="s">
        <v>41</v>
      </c>
      <c r="B39" s="31">
        <v>1</v>
      </c>
      <c r="C39" s="31" t="s">
        <v>175</v>
      </c>
      <c r="D39" s="31">
        <v>1000</v>
      </c>
      <c r="E39" s="31" t="s">
        <v>168</v>
      </c>
      <c r="F39" s="41">
        <f>v_ph(B39,D39)</f>
        <v>0.43792565812986356</v>
      </c>
      <c r="G39" s="41" t="s">
        <v>169</v>
      </c>
      <c r="H39" s="31" t="s">
        <v>226</v>
      </c>
      <c r="I39" s="39"/>
      <c r="J39" s="39"/>
      <c r="K39" s="39"/>
      <c r="L39" s="39"/>
      <c r="M39" s="39"/>
      <c r="N39" s="39"/>
      <c r="O39" s="57"/>
    </row>
    <row r="40" spans="1:15" s="7" customFormat="1" outlineLevel="1">
      <c r="A40" s="62" t="s">
        <v>42</v>
      </c>
      <c r="B40" s="31">
        <v>1</v>
      </c>
      <c r="C40" s="31" t="s">
        <v>175</v>
      </c>
      <c r="D40" s="31">
        <v>5</v>
      </c>
      <c r="E40" s="31" t="s">
        <v>170</v>
      </c>
      <c r="F40" s="41">
        <f>v_ps(B40,D40)</f>
        <v>1.0346353901862877</v>
      </c>
      <c r="G40" s="41" t="s">
        <v>169</v>
      </c>
      <c r="H40" s="31" t="s">
        <v>227</v>
      </c>
      <c r="I40" s="39"/>
      <c r="J40" s="39"/>
      <c r="K40" s="39"/>
      <c r="L40" s="39"/>
      <c r="M40" s="39"/>
      <c r="N40" s="39"/>
      <c r="O40" s="57"/>
    </row>
    <row r="41" spans="1:15" s="9" customFormat="1" ht="15.6">
      <c r="A41" s="59" t="s">
        <v>178</v>
      </c>
      <c r="B41" s="32"/>
      <c r="C41" s="32"/>
      <c r="D41" s="32"/>
      <c r="E41" s="32"/>
      <c r="F41" s="60"/>
      <c r="G41" s="60"/>
      <c r="H41" s="32"/>
      <c r="I41" s="32"/>
      <c r="J41" s="32"/>
      <c r="K41" s="32"/>
      <c r="L41" s="32"/>
      <c r="M41" s="32"/>
      <c r="N41" s="32"/>
      <c r="O41" s="61"/>
    </row>
    <row r="42" spans="1:15" s="7" customFormat="1" outlineLevel="1">
      <c r="A42" s="62" t="s">
        <v>43</v>
      </c>
      <c r="B42" s="31">
        <v>1</v>
      </c>
      <c r="C42" s="31" t="s">
        <v>175</v>
      </c>
      <c r="D42" s="31"/>
      <c r="E42" s="31"/>
      <c r="F42" s="41">
        <f>rhoV_p(B42)</f>
        <v>0.59031092354457815</v>
      </c>
      <c r="G42" s="41" t="s">
        <v>174</v>
      </c>
      <c r="H42" s="31" t="s">
        <v>189</v>
      </c>
      <c r="I42" s="39"/>
      <c r="J42" s="39"/>
      <c r="K42" s="39"/>
      <c r="L42" s="39"/>
      <c r="M42" s="39"/>
      <c r="N42" s="39"/>
      <c r="O42" s="57"/>
    </row>
    <row r="43" spans="1:15" s="7" customFormat="1" outlineLevel="1">
      <c r="A43" s="62" t="s">
        <v>44</v>
      </c>
      <c r="B43" s="31">
        <v>1</v>
      </c>
      <c r="C43" s="31" t="s">
        <v>175</v>
      </c>
      <c r="D43" s="31"/>
      <c r="E43" s="31"/>
      <c r="F43" s="41">
        <f>rhoL_P(B43)</f>
        <v>958.63688967603287</v>
      </c>
      <c r="G43" s="41" t="s">
        <v>174</v>
      </c>
      <c r="H43" s="31" t="s">
        <v>194</v>
      </c>
      <c r="I43" s="39"/>
      <c r="J43" s="39"/>
      <c r="K43" s="39"/>
      <c r="L43" s="39"/>
      <c r="M43" s="39"/>
      <c r="N43" s="39"/>
      <c r="O43" s="57"/>
    </row>
    <row r="44" spans="1:15" s="7" customFormat="1" outlineLevel="1">
      <c r="A44" s="62" t="s">
        <v>45</v>
      </c>
      <c r="B44" s="31">
        <v>100</v>
      </c>
      <c r="C44" s="31" t="s">
        <v>176</v>
      </c>
      <c r="D44" s="31"/>
      <c r="E44" s="31"/>
      <c r="F44" s="41">
        <f>rhoV_T(B44)</f>
        <v>0.59813599252570293</v>
      </c>
      <c r="G44" s="41" t="s">
        <v>174</v>
      </c>
      <c r="H44" s="31" t="s">
        <v>189</v>
      </c>
      <c r="I44" s="39"/>
      <c r="J44" s="39"/>
      <c r="K44" s="39"/>
      <c r="L44" s="39"/>
      <c r="M44" s="39"/>
      <c r="N44" s="39"/>
      <c r="O44" s="57"/>
    </row>
    <row r="45" spans="1:15" s="7" customFormat="1" outlineLevel="1">
      <c r="A45" s="62" t="s">
        <v>46</v>
      </c>
      <c r="B45" s="31">
        <v>100</v>
      </c>
      <c r="C45" s="31" t="s">
        <v>176</v>
      </c>
      <c r="D45" s="31"/>
      <c r="E45" s="31"/>
      <c r="F45" s="41">
        <f>rhoL_T(B45)</f>
        <v>958.35427728589013</v>
      </c>
      <c r="G45" s="41" t="s">
        <v>174</v>
      </c>
      <c r="H45" s="31" t="s">
        <v>194</v>
      </c>
      <c r="I45" s="39"/>
      <c r="J45" s="39"/>
      <c r="K45" s="39"/>
      <c r="L45" s="39"/>
      <c r="M45" s="39"/>
      <c r="N45" s="39"/>
      <c r="O45" s="57"/>
    </row>
    <row r="46" spans="1:15" s="7" customFormat="1" outlineLevel="1">
      <c r="A46" s="62" t="s">
        <v>47</v>
      </c>
      <c r="B46" s="31">
        <v>1</v>
      </c>
      <c r="C46" s="31" t="s">
        <v>175</v>
      </c>
      <c r="D46" s="31">
        <v>100</v>
      </c>
      <c r="E46" s="31" t="s">
        <v>176</v>
      </c>
      <c r="F46" s="41">
        <f>rho_pT(B46,D46)</f>
        <v>0.5896367540624714</v>
      </c>
      <c r="G46" s="41" t="s">
        <v>174</v>
      </c>
      <c r="H46" s="31" t="s">
        <v>228</v>
      </c>
      <c r="I46" s="39"/>
      <c r="J46" s="39"/>
      <c r="K46" s="39"/>
      <c r="L46" s="39"/>
      <c r="M46" s="39"/>
      <c r="N46" s="39"/>
      <c r="O46" s="57"/>
    </row>
    <row r="47" spans="1:15" s="7" customFormat="1" outlineLevel="1">
      <c r="A47" s="62" t="s">
        <v>48</v>
      </c>
      <c r="B47" s="31">
        <v>1</v>
      </c>
      <c r="C47" s="31" t="s">
        <v>175</v>
      </c>
      <c r="D47" s="31">
        <v>1000</v>
      </c>
      <c r="E47" s="31" t="s">
        <v>168</v>
      </c>
      <c r="F47" s="41">
        <f>rho_ph(B47,D47)</f>
        <v>2.2834926007086289</v>
      </c>
      <c r="G47" s="41" t="s">
        <v>174</v>
      </c>
      <c r="H47" s="31" t="s">
        <v>229</v>
      </c>
      <c r="I47" s="39"/>
      <c r="J47" s="39"/>
      <c r="K47" s="39"/>
      <c r="L47" s="39"/>
      <c r="M47" s="39"/>
      <c r="N47" s="39"/>
      <c r="O47" s="57"/>
    </row>
    <row r="48" spans="1:15" s="7" customFormat="1" outlineLevel="1">
      <c r="A48" s="62" t="s">
        <v>49</v>
      </c>
      <c r="B48" s="31">
        <v>1</v>
      </c>
      <c r="C48" s="31" t="s">
        <v>175</v>
      </c>
      <c r="D48" s="31">
        <v>1</v>
      </c>
      <c r="E48" s="31" t="s">
        <v>170</v>
      </c>
      <c r="F48" s="41">
        <f>rho_ps(B48,D48)</f>
        <v>975.62367884823243</v>
      </c>
      <c r="G48" s="41" t="s">
        <v>174</v>
      </c>
      <c r="H48" s="31" t="s">
        <v>230</v>
      </c>
      <c r="I48" s="39"/>
      <c r="J48" s="39"/>
      <c r="K48" s="39"/>
      <c r="L48" s="39"/>
      <c r="M48" s="39"/>
      <c r="N48" s="39"/>
      <c r="O48" s="57"/>
    </row>
    <row r="49" spans="1:15" s="9" customFormat="1" ht="15.6">
      <c r="A49" s="59" t="s">
        <v>177</v>
      </c>
      <c r="B49" s="32"/>
      <c r="C49" s="32"/>
      <c r="D49" s="32"/>
      <c r="E49" s="32"/>
      <c r="F49" s="60"/>
      <c r="G49" s="60"/>
      <c r="H49" s="32"/>
      <c r="I49" s="32"/>
      <c r="J49" s="32"/>
      <c r="K49" s="32"/>
      <c r="L49" s="32"/>
      <c r="M49" s="32"/>
      <c r="N49" s="32"/>
      <c r="O49" s="61"/>
    </row>
    <row r="50" spans="1:15" s="7" customFormat="1" outlineLevel="1">
      <c r="A50" s="62" t="s">
        <v>50</v>
      </c>
      <c r="B50" s="31">
        <v>6.117E-3</v>
      </c>
      <c r="C50" s="31" t="s">
        <v>175</v>
      </c>
      <c r="D50" s="31"/>
      <c r="E50" s="31"/>
      <c r="F50" s="41">
        <f>sV_p(B50)</f>
        <v>9.1554655557132456</v>
      </c>
      <c r="G50" s="41" t="s">
        <v>170</v>
      </c>
      <c r="H50" s="31" t="s">
        <v>190</v>
      </c>
      <c r="I50" s="39"/>
      <c r="J50" s="39"/>
      <c r="K50" s="39"/>
      <c r="L50" s="39"/>
      <c r="M50" s="39"/>
      <c r="N50" s="39"/>
      <c r="O50" s="57"/>
    </row>
    <row r="51" spans="1:15" s="7" customFormat="1" outlineLevel="1">
      <c r="A51" s="62" t="s">
        <v>51</v>
      </c>
      <c r="B51" s="31">
        <v>6.1171000000000003E-3</v>
      </c>
      <c r="C51" s="31" t="s">
        <v>175</v>
      </c>
      <c r="D51" s="31"/>
      <c r="E51" s="31"/>
      <c r="F51" s="41">
        <f>sL_p(B51)</f>
        <v>1.8359025119631999E-5</v>
      </c>
      <c r="G51" s="41" t="s">
        <v>170</v>
      </c>
      <c r="H51" s="31" t="s">
        <v>195</v>
      </c>
      <c r="I51" s="39"/>
      <c r="J51" s="39"/>
      <c r="K51" s="39"/>
      <c r="L51" s="39"/>
      <c r="M51" s="39"/>
      <c r="N51" s="39"/>
      <c r="O51" s="57"/>
    </row>
    <row r="52" spans="1:15" s="7" customFormat="1" outlineLevel="1">
      <c r="A52" s="62" t="s">
        <v>52</v>
      </c>
      <c r="B52" s="31">
        <v>1E-4</v>
      </c>
      <c r="C52" s="31" t="s">
        <v>176</v>
      </c>
      <c r="D52" s="31"/>
      <c r="E52" s="31"/>
      <c r="F52" s="41">
        <f>sV_T(B52)</f>
        <v>9.1557567158855857</v>
      </c>
      <c r="G52" s="41" t="s">
        <v>170</v>
      </c>
      <c r="H52" s="31" t="s">
        <v>190</v>
      </c>
      <c r="I52" s="39"/>
      <c r="J52" s="39"/>
      <c r="K52" s="39"/>
      <c r="L52" s="39"/>
      <c r="M52" s="39"/>
      <c r="N52" s="39"/>
      <c r="O52" s="57"/>
    </row>
    <row r="53" spans="1:15" s="7" customFormat="1" outlineLevel="1">
      <c r="A53" s="62" t="s">
        <v>53</v>
      </c>
      <c r="B53" s="31">
        <v>100</v>
      </c>
      <c r="C53" s="31" t="s">
        <v>176</v>
      </c>
      <c r="D53" s="31"/>
      <c r="E53" s="31"/>
      <c r="F53" s="41">
        <f>sL_T(B53)</f>
        <v>1.3070143278413395</v>
      </c>
      <c r="G53" s="41" t="s">
        <v>170</v>
      </c>
      <c r="H53" s="31" t="s">
        <v>195</v>
      </c>
      <c r="I53" s="39"/>
      <c r="J53" s="39"/>
      <c r="K53" s="39"/>
      <c r="L53" s="39"/>
      <c r="M53" s="39"/>
      <c r="N53" s="39"/>
      <c r="O53" s="57"/>
    </row>
    <row r="54" spans="1:15" s="7" customFormat="1" outlineLevel="1">
      <c r="A54" s="62" t="s">
        <v>54</v>
      </c>
      <c r="B54" s="31">
        <v>1</v>
      </c>
      <c r="C54" s="31" t="s">
        <v>175</v>
      </c>
      <c r="D54" s="31">
        <v>20</v>
      </c>
      <c r="E54" s="31" t="s">
        <v>176</v>
      </c>
      <c r="F54" s="41">
        <f>s_pT(B54,D54)</f>
        <v>0.29648292080641009</v>
      </c>
      <c r="G54" s="41" t="s">
        <v>170</v>
      </c>
      <c r="H54" s="39" t="s">
        <v>246</v>
      </c>
      <c r="I54" s="39"/>
      <c r="J54" s="39"/>
      <c r="K54" s="39"/>
      <c r="L54" s="39"/>
      <c r="M54" s="39"/>
      <c r="N54" s="39"/>
      <c r="O54" s="57"/>
    </row>
    <row r="55" spans="1:15" s="7" customFormat="1" outlineLevel="1">
      <c r="A55" s="62" t="s">
        <v>55</v>
      </c>
      <c r="B55" s="31">
        <v>1</v>
      </c>
      <c r="C55" s="31" t="s">
        <v>175</v>
      </c>
      <c r="D55" s="31">
        <f>F28</f>
        <v>84.01181116713623</v>
      </c>
      <c r="E55" s="31" t="s">
        <v>168</v>
      </c>
      <c r="F55" s="41">
        <f>s_ph(B55,D55)</f>
        <v>0.29681384467642941</v>
      </c>
      <c r="G55" s="41" t="s">
        <v>170</v>
      </c>
      <c r="H55" s="31" t="s">
        <v>231</v>
      </c>
      <c r="I55" s="39"/>
      <c r="J55" s="39"/>
      <c r="K55" s="39"/>
      <c r="L55" s="39"/>
      <c r="M55" s="39"/>
      <c r="N55" s="39"/>
      <c r="O55" s="57"/>
    </row>
    <row r="56" spans="1:15" s="9" customFormat="1" ht="15.6">
      <c r="A56" s="59" t="s">
        <v>179</v>
      </c>
      <c r="B56" s="32"/>
      <c r="C56" s="32"/>
      <c r="D56" s="32"/>
      <c r="E56" s="32"/>
      <c r="F56" s="60"/>
      <c r="G56" s="60"/>
      <c r="H56" s="32"/>
      <c r="I56" s="32"/>
      <c r="J56" s="32"/>
      <c r="K56" s="32"/>
      <c r="L56" s="32"/>
      <c r="M56" s="32"/>
      <c r="N56" s="32"/>
      <c r="O56" s="61"/>
    </row>
    <row r="57" spans="1:15" s="7" customFormat="1" outlineLevel="1">
      <c r="A57" s="62" t="s">
        <v>56</v>
      </c>
      <c r="B57" s="31">
        <v>1</v>
      </c>
      <c r="C57" s="31" t="s">
        <v>175</v>
      </c>
      <c r="D57" s="31"/>
      <c r="E57" s="31"/>
      <c r="F57" s="41">
        <f>uV_p(B57)</f>
        <v>2505.5473885418778</v>
      </c>
      <c r="G57" s="41" t="s">
        <v>168</v>
      </c>
      <c r="H57" s="31" t="s">
        <v>191</v>
      </c>
      <c r="I57" s="39"/>
      <c r="J57" s="39"/>
      <c r="K57" s="39"/>
      <c r="L57" s="39"/>
      <c r="M57" s="39"/>
      <c r="N57" s="39"/>
      <c r="O57" s="57"/>
    </row>
    <row r="58" spans="1:15" s="7" customFormat="1" outlineLevel="1">
      <c r="A58" s="62" t="s">
        <v>57</v>
      </c>
      <c r="B58" s="31">
        <v>1</v>
      </c>
      <c r="C58" s="31" t="s">
        <v>175</v>
      </c>
      <c r="D58" s="31"/>
      <c r="E58" s="31"/>
      <c r="F58" s="41">
        <f>uL_p(B58)</f>
        <v>417.33217103231618</v>
      </c>
      <c r="G58" s="41" t="s">
        <v>168</v>
      </c>
      <c r="H58" s="31" t="s">
        <v>196</v>
      </c>
      <c r="I58" s="39"/>
      <c r="J58" s="39"/>
      <c r="K58" s="39"/>
      <c r="L58" s="39"/>
      <c r="M58" s="39"/>
      <c r="N58" s="39"/>
      <c r="O58" s="57"/>
    </row>
    <row r="59" spans="1:15" s="7" customFormat="1" outlineLevel="1">
      <c r="A59" s="62" t="s">
        <v>58</v>
      </c>
      <c r="B59" s="31">
        <v>100</v>
      </c>
      <c r="C59" s="31" t="s">
        <v>176</v>
      </c>
      <c r="D59" s="31"/>
      <c r="E59" s="31"/>
      <c r="F59" s="41">
        <f>uV_T(B59)</f>
        <v>2506.0153076915708</v>
      </c>
      <c r="G59" s="41" t="s">
        <v>168</v>
      </c>
      <c r="H59" s="31" t="s">
        <v>191</v>
      </c>
      <c r="I59" s="39"/>
      <c r="J59" s="39"/>
      <c r="K59" s="39"/>
      <c r="L59" s="39"/>
      <c r="M59" s="39"/>
      <c r="N59" s="39"/>
      <c r="O59" s="57"/>
    </row>
    <row r="60" spans="1:15" s="7" customFormat="1" outlineLevel="1">
      <c r="A60" s="62" t="s">
        <v>59</v>
      </c>
      <c r="B60" s="31">
        <v>100</v>
      </c>
      <c r="C60" s="31" t="s">
        <v>176</v>
      </c>
      <c r="D60" s="31"/>
      <c r="E60" s="31"/>
      <c r="F60" s="41">
        <f>uL_T(B60)</f>
        <v>418.99332985524268</v>
      </c>
      <c r="G60" s="41" t="s">
        <v>168</v>
      </c>
      <c r="H60" s="31" t="s">
        <v>196</v>
      </c>
      <c r="I60" s="39"/>
      <c r="J60" s="39"/>
      <c r="K60" s="39"/>
      <c r="L60" s="39"/>
      <c r="M60" s="39"/>
      <c r="N60" s="39"/>
      <c r="O60" s="57"/>
    </row>
    <row r="61" spans="1:15" s="7" customFormat="1" outlineLevel="1">
      <c r="A61" s="62" t="s">
        <v>60</v>
      </c>
      <c r="B61" s="31">
        <v>1</v>
      </c>
      <c r="C61" s="31" t="s">
        <v>175</v>
      </c>
      <c r="D61" s="31">
        <v>100</v>
      </c>
      <c r="E61" s="31" t="s">
        <v>176</v>
      </c>
      <c r="F61" s="41">
        <f>u_pT(B61,D61)</f>
        <v>2506.1714264660072</v>
      </c>
      <c r="G61" s="41" t="s">
        <v>168</v>
      </c>
      <c r="H61" s="31" t="s">
        <v>232</v>
      </c>
      <c r="I61" s="39"/>
      <c r="J61" s="39"/>
      <c r="K61" s="39"/>
      <c r="L61" s="39"/>
      <c r="M61" s="39"/>
      <c r="N61" s="39"/>
      <c r="O61" s="57"/>
    </row>
    <row r="62" spans="1:15" s="7" customFormat="1" outlineLevel="1">
      <c r="A62" s="62" t="s">
        <v>61</v>
      </c>
      <c r="B62" s="31">
        <v>1</v>
      </c>
      <c r="C62" s="31" t="s">
        <v>175</v>
      </c>
      <c r="D62" s="31">
        <v>1000</v>
      </c>
      <c r="E62" s="31" t="s">
        <v>168</v>
      </c>
      <c r="F62" s="41">
        <f>u_ph(B62,D62)</f>
        <v>956.20743418701375</v>
      </c>
      <c r="G62" s="41" t="s">
        <v>168</v>
      </c>
      <c r="H62" s="31" t="s">
        <v>233</v>
      </c>
      <c r="I62" s="39"/>
      <c r="J62" s="39"/>
      <c r="K62" s="39"/>
      <c r="L62" s="39"/>
      <c r="M62" s="39"/>
      <c r="N62" s="39"/>
      <c r="O62" s="57"/>
    </row>
    <row r="63" spans="1:15" s="7" customFormat="1" outlineLevel="1">
      <c r="A63" s="62" t="s">
        <v>62</v>
      </c>
      <c r="B63" s="31">
        <v>1</v>
      </c>
      <c r="C63" s="31" t="s">
        <v>175</v>
      </c>
      <c r="D63" s="31">
        <v>1</v>
      </c>
      <c r="E63" s="31" t="s">
        <v>170</v>
      </c>
      <c r="F63" s="41">
        <f>u_ps(B63,D63)</f>
        <v>308.50821854568443</v>
      </c>
      <c r="G63" s="41" t="s">
        <v>168</v>
      </c>
      <c r="H63" s="31" t="s">
        <v>234</v>
      </c>
      <c r="I63" s="39"/>
      <c r="J63" s="39"/>
      <c r="K63" s="39"/>
      <c r="L63" s="39"/>
      <c r="M63" s="39"/>
      <c r="N63" s="39"/>
      <c r="O63" s="57"/>
    </row>
    <row r="64" spans="1:15" s="9" customFormat="1" ht="15.6">
      <c r="A64" s="59" t="s">
        <v>180</v>
      </c>
      <c r="B64" s="32"/>
      <c r="C64" s="32"/>
      <c r="D64" s="32"/>
      <c r="E64" s="32"/>
      <c r="F64" s="60"/>
      <c r="G64" s="60"/>
      <c r="H64" s="32"/>
      <c r="I64" s="32"/>
      <c r="J64" s="32"/>
      <c r="K64" s="32"/>
      <c r="L64" s="32"/>
      <c r="M64" s="32"/>
      <c r="N64" s="32"/>
      <c r="O64" s="61"/>
    </row>
    <row r="65" spans="1:15" s="7" customFormat="1" outlineLevel="1">
      <c r="A65" s="62" t="s">
        <v>63</v>
      </c>
      <c r="B65" s="31">
        <v>1</v>
      </c>
      <c r="C65" s="31" t="s">
        <v>175</v>
      </c>
      <c r="D65" s="31"/>
      <c r="E65" s="31"/>
      <c r="F65" s="41">
        <f>CpV_p(B65)</f>
        <v>2.0759380252044393</v>
      </c>
      <c r="G65" s="41" t="s">
        <v>221</v>
      </c>
      <c r="H65" s="31" t="s">
        <v>198</v>
      </c>
      <c r="I65" s="39"/>
      <c r="J65" s="39"/>
      <c r="K65" s="39"/>
      <c r="L65" s="39"/>
      <c r="M65" s="39"/>
      <c r="N65" s="39"/>
      <c r="O65" s="57"/>
    </row>
    <row r="66" spans="1:15" s="7" customFormat="1" outlineLevel="1">
      <c r="A66" s="62" t="s">
        <v>64</v>
      </c>
      <c r="B66" s="31">
        <v>1</v>
      </c>
      <c r="C66" s="31" t="s">
        <v>175</v>
      </c>
      <c r="D66" s="31"/>
      <c r="E66" s="31"/>
      <c r="F66" s="41">
        <f>CpL_p(B66)</f>
        <v>4.2161494308387475</v>
      </c>
      <c r="G66" s="41" t="s">
        <v>221</v>
      </c>
      <c r="H66" s="31" t="s">
        <v>197</v>
      </c>
      <c r="I66" s="39"/>
      <c r="J66" s="39"/>
      <c r="K66" s="39"/>
      <c r="L66" s="39"/>
      <c r="M66" s="39"/>
      <c r="N66" s="39"/>
      <c r="O66" s="57"/>
    </row>
    <row r="67" spans="1:15" s="7" customFormat="1" outlineLevel="1">
      <c r="A67" s="62" t="s">
        <v>65</v>
      </c>
      <c r="B67" s="31">
        <v>100</v>
      </c>
      <c r="C67" s="31" t="s">
        <v>176</v>
      </c>
      <c r="D67" s="31"/>
      <c r="E67" s="31"/>
      <c r="F67" s="41">
        <f>CpV_T(B67)</f>
        <v>2.0774918684822654</v>
      </c>
      <c r="G67" s="41" t="s">
        <v>221</v>
      </c>
      <c r="H67" s="31" t="s">
        <v>198</v>
      </c>
      <c r="I67" s="39"/>
      <c r="J67" s="39"/>
      <c r="K67" s="39"/>
      <c r="L67" s="39"/>
      <c r="M67" s="39"/>
      <c r="N67" s="39"/>
      <c r="O67" s="57"/>
    </row>
    <row r="68" spans="1:15" s="7" customFormat="1" outlineLevel="1">
      <c r="A68" s="62" t="s">
        <v>66</v>
      </c>
      <c r="B68" s="31">
        <v>100</v>
      </c>
      <c r="C68" s="31" t="s">
        <v>176</v>
      </c>
      <c r="D68" s="31"/>
      <c r="E68" s="31"/>
      <c r="F68" s="41">
        <f>CpL_T(B68)</f>
        <v>4.2166451189235845</v>
      </c>
      <c r="G68" s="41" t="s">
        <v>221</v>
      </c>
      <c r="H68" s="31" t="s">
        <v>197</v>
      </c>
      <c r="I68" s="39"/>
      <c r="J68" s="39"/>
      <c r="K68" s="39"/>
      <c r="L68" s="39"/>
      <c r="M68" s="39"/>
      <c r="N68" s="39"/>
      <c r="O68" s="57"/>
    </row>
    <row r="69" spans="1:15" s="7" customFormat="1" outlineLevel="1">
      <c r="A69" s="62" t="s">
        <v>67</v>
      </c>
      <c r="B69" s="31">
        <v>1</v>
      </c>
      <c r="C69" s="31" t="s">
        <v>175</v>
      </c>
      <c r="D69" s="31">
        <v>100</v>
      </c>
      <c r="E69" s="31" t="s">
        <v>176</v>
      </c>
      <c r="F69" s="41">
        <f>Cp_pT(B69,D69)</f>
        <v>2.0741085545801092</v>
      </c>
      <c r="G69" s="41" t="s">
        <v>221</v>
      </c>
      <c r="H69" s="31" t="s">
        <v>235</v>
      </c>
      <c r="I69" s="39"/>
      <c r="J69" s="39"/>
      <c r="K69" s="39"/>
      <c r="L69" s="39"/>
      <c r="M69" s="39"/>
      <c r="N69" s="39"/>
      <c r="O69" s="57"/>
    </row>
    <row r="70" spans="1:15" s="7" customFormat="1" outlineLevel="1">
      <c r="A70" s="62" t="s">
        <v>68</v>
      </c>
      <c r="B70" s="31">
        <v>1</v>
      </c>
      <c r="C70" s="31" t="s">
        <v>175</v>
      </c>
      <c r="D70" s="31">
        <v>200</v>
      </c>
      <c r="E70" s="31" t="s">
        <v>168</v>
      </c>
      <c r="F70" s="41">
        <f>Cp_ph(B70,D70)</f>
        <v>4.1791357316880209</v>
      </c>
      <c r="G70" s="41" t="s">
        <v>221</v>
      </c>
      <c r="H70" s="31" t="s">
        <v>236</v>
      </c>
      <c r="I70" s="39"/>
      <c r="J70" s="39"/>
      <c r="K70" s="39"/>
      <c r="L70" s="39"/>
      <c r="M70" s="39"/>
      <c r="N70" s="39"/>
      <c r="O70" s="57"/>
    </row>
    <row r="71" spans="1:15" s="7" customFormat="1" outlineLevel="1">
      <c r="A71" s="62" t="s">
        <v>69</v>
      </c>
      <c r="B71" s="31">
        <v>1</v>
      </c>
      <c r="C71" s="31" t="s">
        <v>175</v>
      </c>
      <c r="D71" s="31">
        <v>1</v>
      </c>
      <c r="E71" s="31" t="s">
        <v>170</v>
      </c>
      <c r="F71" s="41">
        <f>Cp_ps(B71,D71)</f>
        <v>4.1906070379012936</v>
      </c>
      <c r="G71" s="41" t="s">
        <v>221</v>
      </c>
      <c r="H71" s="31" t="s">
        <v>237</v>
      </c>
      <c r="I71" s="39"/>
      <c r="J71" s="39"/>
      <c r="K71" s="39"/>
      <c r="L71" s="39"/>
      <c r="M71" s="39"/>
      <c r="N71" s="39"/>
      <c r="O71" s="57"/>
    </row>
    <row r="72" spans="1:15" s="9" customFormat="1" ht="15.6">
      <c r="A72" s="59" t="s">
        <v>182</v>
      </c>
      <c r="B72" s="32"/>
      <c r="C72" s="32"/>
      <c r="D72" s="32"/>
      <c r="E72" s="32"/>
      <c r="F72" s="60"/>
      <c r="G72" s="60"/>
      <c r="H72" s="32"/>
      <c r="I72" s="32"/>
      <c r="J72" s="32"/>
      <c r="K72" s="32"/>
      <c r="L72" s="32"/>
      <c r="M72" s="32"/>
      <c r="N72" s="32"/>
      <c r="O72" s="61"/>
    </row>
    <row r="73" spans="1:15" s="7" customFormat="1" outlineLevel="1">
      <c r="A73" s="62" t="s">
        <v>70</v>
      </c>
      <c r="B73" s="31">
        <v>1</v>
      </c>
      <c r="C73" s="31" t="s">
        <v>175</v>
      </c>
      <c r="D73" s="31"/>
      <c r="E73" s="31"/>
      <c r="F73" s="41">
        <f>CvV_p(B73)</f>
        <v>1.5526969793308025</v>
      </c>
      <c r="G73" s="41" t="s">
        <v>221</v>
      </c>
      <c r="H73" s="31" t="s">
        <v>200</v>
      </c>
      <c r="I73" s="39"/>
      <c r="J73" s="39"/>
      <c r="K73" s="39"/>
      <c r="L73" s="39"/>
      <c r="M73" s="39"/>
      <c r="N73" s="39"/>
      <c r="O73" s="57"/>
    </row>
    <row r="74" spans="1:15" s="7" customFormat="1" outlineLevel="1">
      <c r="A74" s="62" t="s">
        <v>71</v>
      </c>
      <c r="B74" s="31">
        <v>1</v>
      </c>
      <c r="C74" s="31" t="s">
        <v>175</v>
      </c>
      <c r="D74" s="31"/>
      <c r="E74" s="31"/>
      <c r="F74" s="41">
        <f>CvL_p(B74)</f>
        <v>3.7696996827334974</v>
      </c>
      <c r="G74" s="41" t="s">
        <v>221</v>
      </c>
      <c r="H74" s="31" t="s">
        <v>199</v>
      </c>
      <c r="I74" s="39"/>
      <c r="J74" s="39"/>
      <c r="K74" s="39"/>
      <c r="L74" s="39"/>
      <c r="M74" s="39"/>
      <c r="N74" s="39"/>
      <c r="O74" s="57"/>
    </row>
    <row r="75" spans="1:15" s="7" customFormat="1" outlineLevel="1">
      <c r="A75" s="62" t="s">
        <v>72</v>
      </c>
      <c r="B75" s="31">
        <v>100</v>
      </c>
      <c r="C75" s="31" t="s">
        <v>176</v>
      </c>
      <c r="D75" s="31"/>
      <c r="E75" s="31"/>
      <c r="F75" s="41">
        <f>CvV_T(B75)</f>
        <v>1.5536986960345103</v>
      </c>
      <c r="G75" s="41" t="s">
        <v>221</v>
      </c>
      <c r="H75" s="31" t="s">
        <v>200</v>
      </c>
      <c r="I75" s="39"/>
      <c r="J75" s="39"/>
      <c r="K75" s="39"/>
      <c r="L75" s="39"/>
      <c r="M75" s="39"/>
      <c r="N75" s="39"/>
      <c r="O75" s="57"/>
    </row>
    <row r="76" spans="1:15" s="7" customFormat="1" outlineLevel="1">
      <c r="A76" s="62" t="s">
        <v>73</v>
      </c>
      <c r="B76" s="31">
        <v>100</v>
      </c>
      <c r="C76" s="31" t="s">
        <v>176</v>
      </c>
      <c r="D76" s="31"/>
      <c r="E76" s="31"/>
      <c r="F76" s="41">
        <f>CvL_T(B76)</f>
        <v>3.7677002201427507</v>
      </c>
      <c r="G76" s="41" t="s">
        <v>221</v>
      </c>
      <c r="H76" s="31" t="s">
        <v>199</v>
      </c>
      <c r="I76" s="39"/>
      <c r="J76" s="39"/>
      <c r="K76" s="39"/>
      <c r="L76" s="39"/>
      <c r="M76" s="39"/>
      <c r="N76" s="39"/>
      <c r="O76" s="57"/>
    </row>
    <row r="77" spans="1:15" s="7" customFormat="1" outlineLevel="1">
      <c r="A77" s="62" t="s">
        <v>74</v>
      </c>
      <c r="B77" s="31">
        <v>1</v>
      </c>
      <c r="C77" s="31" t="s">
        <v>175</v>
      </c>
      <c r="D77" s="31">
        <v>100</v>
      </c>
      <c r="E77" s="31" t="s">
        <v>176</v>
      </c>
      <c r="F77" s="41">
        <f>Cv_pT(B77,D77)</f>
        <v>1.5513972494644879</v>
      </c>
      <c r="G77" s="41" t="s">
        <v>221</v>
      </c>
      <c r="H77" s="31" t="s">
        <v>238</v>
      </c>
      <c r="I77" s="39"/>
      <c r="J77" s="39"/>
      <c r="K77" s="39"/>
      <c r="L77" s="39"/>
      <c r="M77" s="39"/>
      <c r="N77" s="39"/>
      <c r="O77" s="57"/>
    </row>
    <row r="78" spans="1:15" s="7" customFormat="1" outlineLevel="1">
      <c r="A78" s="62" t="s">
        <v>75</v>
      </c>
      <c r="B78" s="31">
        <v>1</v>
      </c>
      <c r="C78" s="31" t="s">
        <v>175</v>
      </c>
      <c r="D78" s="31">
        <v>200</v>
      </c>
      <c r="E78" s="31" t="s">
        <v>168</v>
      </c>
      <c r="F78" s="41">
        <f>Cv_ph(B78,D78)</f>
        <v>4.0351763635796729</v>
      </c>
      <c r="G78" s="41" t="s">
        <v>221</v>
      </c>
      <c r="H78" s="31" t="s">
        <v>239</v>
      </c>
      <c r="I78" s="39"/>
      <c r="J78" s="39"/>
      <c r="K78" s="39"/>
      <c r="L78" s="39"/>
      <c r="M78" s="39"/>
      <c r="N78" s="39"/>
      <c r="O78" s="57"/>
    </row>
    <row r="79" spans="1:15" s="7" customFormat="1" outlineLevel="1">
      <c r="A79" s="62" t="s">
        <v>76</v>
      </c>
      <c r="B79" s="31">
        <v>1</v>
      </c>
      <c r="C79" s="31" t="s">
        <v>175</v>
      </c>
      <c r="D79" s="31">
        <v>1</v>
      </c>
      <c r="E79" s="31" t="s">
        <v>170</v>
      </c>
      <c r="F79" s="41">
        <f>Cv_ps(B79,D79)</f>
        <v>3.9029194681136645</v>
      </c>
      <c r="G79" s="41" t="s">
        <v>221</v>
      </c>
      <c r="H79" s="31" t="s">
        <v>240</v>
      </c>
      <c r="I79" s="39"/>
      <c r="J79" s="39"/>
      <c r="K79" s="39"/>
      <c r="L79" s="39"/>
      <c r="M79" s="39"/>
      <c r="N79" s="39"/>
      <c r="O79" s="57"/>
    </row>
    <row r="80" spans="1:15" s="9" customFormat="1" ht="15.6">
      <c r="A80" s="59" t="s">
        <v>181</v>
      </c>
      <c r="B80" s="32"/>
      <c r="C80" s="32"/>
      <c r="D80" s="32"/>
      <c r="E80" s="32"/>
      <c r="F80" s="60"/>
      <c r="G80" s="60"/>
      <c r="H80" s="32"/>
      <c r="I80" s="32"/>
      <c r="J80" s="32"/>
      <c r="K80" s="32"/>
      <c r="L80" s="32"/>
      <c r="M80" s="32"/>
      <c r="N80" s="32"/>
      <c r="O80" s="61"/>
    </row>
    <row r="81" spans="1:15" s="7" customFormat="1" outlineLevel="1">
      <c r="A81" s="62" t="s">
        <v>77</v>
      </c>
      <c r="B81" s="31">
        <v>1</v>
      </c>
      <c r="C81" s="31" t="s">
        <v>175</v>
      </c>
      <c r="D81" s="31"/>
      <c r="E81" s="31"/>
      <c r="F81" s="41">
        <f>wV_p(B81)</f>
        <v>472.05415710604763</v>
      </c>
      <c r="G81" s="41" t="s">
        <v>171</v>
      </c>
      <c r="H81" s="31" t="s">
        <v>202</v>
      </c>
      <c r="I81" s="39"/>
      <c r="J81" s="39"/>
      <c r="K81" s="39"/>
      <c r="L81" s="39"/>
      <c r="M81" s="39"/>
      <c r="N81" s="39"/>
      <c r="O81" s="57"/>
    </row>
    <row r="82" spans="1:15" s="7" customFormat="1" outlineLevel="1">
      <c r="A82" s="62" t="s">
        <v>78</v>
      </c>
      <c r="B82" s="31">
        <v>1</v>
      </c>
      <c r="C82" s="31" t="s">
        <v>175</v>
      </c>
      <c r="D82" s="31"/>
      <c r="E82" s="31"/>
      <c r="F82" s="41">
        <f>wL_p(B82)</f>
        <v>1545.4519475339648</v>
      </c>
      <c r="G82" s="41" t="s">
        <v>171</v>
      </c>
      <c r="H82" s="31" t="s">
        <v>201</v>
      </c>
      <c r="I82" s="39"/>
      <c r="J82" s="39"/>
      <c r="K82" s="39"/>
      <c r="L82" s="39"/>
      <c r="M82" s="39"/>
      <c r="N82" s="39"/>
      <c r="O82" s="57"/>
    </row>
    <row r="83" spans="1:15" s="7" customFormat="1" outlineLevel="1">
      <c r="A83" s="62" t="s">
        <v>79</v>
      </c>
      <c r="B83" s="31">
        <v>100</v>
      </c>
      <c r="C83" s="31" t="s">
        <v>176</v>
      </c>
      <c r="D83" s="31"/>
      <c r="E83" s="31"/>
      <c r="F83" s="41">
        <f>wV_T(B83)</f>
        <v>472.2559492389438</v>
      </c>
      <c r="G83" s="41" t="s">
        <v>171</v>
      </c>
      <c r="H83" s="31" t="s">
        <v>202</v>
      </c>
      <c r="I83" s="39"/>
      <c r="J83" s="39"/>
      <c r="K83" s="39"/>
      <c r="L83" s="39"/>
      <c r="M83" s="39"/>
      <c r="N83" s="39"/>
      <c r="O83" s="57"/>
    </row>
    <row r="84" spans="1:15" s="7" customFormat="1" outlineLevel="1">
      <c r="A84" s="62" t="s">
        <v>80</v>
      </c>
      <c r="B84" s="31">
        <v>100</v>
      </c>
      <c r="C84" s="31" t="s">
        <v>176</v>
      </c>
      <c r="D84" s="31"/>
      <c r="E84" s="31"/>
      <c r="F84" s="41">
        <f>wL_T(B84)</f>
        <v>1545.0922491938707</v>
      </c>
      <c r="G84" s="41" t="s">
        <v>171</v>
      </c>
      <c r="H84" s="31" t="s">
        <v>201</v>
      </c>
      <c r="I84" s="39"/>
      <c r="J84" s="39"/>
      <c r="K84" s="39"/>
      <c r="L84" s="39"/>
      <c r="M84" s="39"/>
      <c r="N84" s="39"/>
      <c r="O84" s="57"/>
    </row>
    <row r="85" spans="1:15" s="7" customFormat="1" outlineLevel="1">
      <c r="A85" s="62" t="s">
        <v>81</v>
      </c>
      <c r="B85" s="31">
        <v>1</v>
      </c>
      <c r="C85" s="31" t="s">
        <v>175</v>
      </c>
      <c r="D85" s="31">
        <v>100</v>
      </c>
      <c r="E85" s="31" t="s">
        <v>176</v>
      </c>
      <c r="F85" s="41">
        <f>w_pT(B85,D85)</f>
        <v>472.33752352485521</v>
      </c>
      <c r="G85" s="41" t="s">
        <v>171</v>
      </c>
      <c r="H85" s="31" t="s">
        <v>241</v>
      </c>
      <c r="I85" s="39"/>
      <c r="J85" s="39"/>
      <c r="K85" s="39"/>
      <c r="L85" s="39"/>
      <c r="M85" s="39"/>
      <c r="N85" s="39"/>
      <c r="O85" s="57"/>
    </row>
    <row r="86" spans="1:15" s="7" customFormat="1" outlineLevel="1">
      <c r="A86" s="62" t="s">
        <v>82</v>
      </c>
      <c r="B86" s="31">
        <v>1</v>
      </c>
      <c r="C86" s="31" t="s">
        <v>175</v>
      </c>
      <c r="D86" s="31">
        <v>200</v>
      </c>
      <c r="E86" s="31" t="s">
        <v>168</v>
      </c>
      <c r="F86" s="41">
        <f>w_ph(B86,D86)</f>
        <v>1542.6824750114695</v>
      </c>
      <c r="G86" s="41" t="s">
        <v>171</v>
      </c>
      <c r="H86" s="31" t="s">
        <v>242</v>
      </c>
      <c r="I86" s="39"/>
      <c r="J86" s="39"/>
      <c r="K86" s="39"/>
      <c r="L86" s="39"/>
      <c r="M86" s="39"/>
      <c r="N86" s="39"/>
      <c r="O86" s="57"/>
    </row>
    <row r="87" spans="1:15" s="7" customFormat="1" outlineLevel="1">
      <c r="A87" s="62" t="s">
        <v>83</v>
      </c>
      <c r="B87" s="31">
        <v>1</v>
      </c>
      <c r="C87" s="31" t="s">
        <v>175</v>
      </c>
      <c r="D87" s="31">
        <v>1</v>
      </c>
      <c r="E87" s="31" t="s">
        <v>170</v>
      </c>
      <c r="F87" s="41">
        <f>w_ps(B87,D87)</f>
        <v>1557.8585355322159</v>
      </c>
      <c r="G87" s="41" t="s">
        <v>171</v>
      </c>
      <c r="H87" s="31" t="s">
        <v>113</v>
      </c>
      <c r="I87" s="39"/>
      <c r="J87" s="39"/>
      <c r="K87" s="39"/>
      <c r="L87" s="39"/>
      <c r="M87" s="39"/>
      <c r="N87" s="39"/>
      <c r="O87" s="57"/>
    </row>
    <row r="88" spans="1:15" s="9" customFormat="1" ht="15.6">
      <c r="A88" s="59" t="s">
        <v>6</v>
      </c>
      <c r="B88" s="32"/>
      <c r="C88" s="32"/>
      <c r="D88" s="32"/>
      <c r="E88" s="32"/>
      <c r="F88" s="60"/>
      <c r="G88" s="60"/>
      <c r="H88" s="32"/>
      <c r="I88" s="32"/>
      <c r="J88" s="32"/>
      <c r="K88" s="32"/>
      <c r="L88" s="32"/>
      <c r="M88" s="32"/>
      <c r="N88" s="32"/>
      <c r="O88" s="61"/>
    </row>
    <row r="89" spans="1:15" s="7" customFormat="1" ht="10.199999999999999" outlineLevel="1">
      <c r="A89" s="56" t="s">
        <v>126</v>
      </c>
      <c r="B89" s="39"/>
      <c r="C89" s="39"/>
      <c r="D89" s="39"/>
      <c r="E89" s="39"/>
      <c r="F89" s="54"/>
      <c r="G89" s="54"/>
      <c r="H89" s="39"/>
      <c r="I89" s="39"/>
      <c r="J89" s="39"/>
      <c r="K89" s="39"/>
      <c r="L89" s="39"/>
      <c r="M89" s="39"/>
      <c r="N89" s="39"/>
      <c r="O89" s="57"/>
    </row>
    <row r="90" spans="1:15" s="7" customFormat="1" ht="10.199999999999999" outlineLevel="1">
      <c r="A90" s="56" t="s">
        <v>207</v>
      </c>
      <c r="B90" s="39"/>
      <c r="C90" s="39"/>
      <c r="D90" s="39"/>
      <c r="E90" s="39"/>
      <c r="F90" s="54"/>
      <c r="G90" s="54"/>
      <c r="H90" s="39"/>
      <c r="I90" s="39"/>
      <c r="J90" s="39"/>
      <c r="K90" s="39"/>
      <c r="L90" s="39"/>
      <c r="M90" s="39"/>
      <c r="N90" s="39"/>
      <c r="O90" s="57"/>
    </row>
    <row r="91" spans="1:15" s="7" customFormat="1" outlineLevel="1">
      <c r="A91" s="62" t="s">
        <v>84</v>
      </c>
      <c r="B91" s="31">
        <v>1</v>
      </c>
      <c r="C91" s="31" t="s">
        <v>175</v>
      </c>
      <c r="D91" s="31">
        <v>100</v>
      </c>
      <c r="E91" s="31" t="s">
        <v>176</v>
      </c>
      <c r="F91" s="41">
        <f>my_pT(B91,D91)</f>
        <v>1.2270405707196506E-5</v>
      </c>
      <c r="G91" s="41" t="s">
        <v>204</v>
      </c>
      <c r="H91" s="31" t="s">
        <v>114</v>
      </c>
      <c r="I91" s="39"/>
      <c r="J91" s="39"/>
      <c r="K91" s="39"/>
      <c r="L91" s="39"/>
      <c r="M91" s="39"/>
      <c r="N91" s="39"/>
      <c r="O91" s="57"/>
    </row>
    <row r="92" spans="1:15" s="7" customFormat="1" outlineLevel="1">
      <c r="A92" s="62" t="s">
        <v>85</v>
      </c>
      <c r="B92" s="31">
        <v>1</v>
      </c>
      <c r="C92" s="31" t="s">
        <v>175</v>
      </c>
      <c r="D92" s="31">
        <v>100</v>
      </c>
      <c r="E92" s="31" t="s">
        <v>168</v>
      </c>
      <c r="F92" s="63">
        <f>my_ph(B92,D92)</f>
        <v>9.1400377030210805E-4</v>
      </c>
      <c r="G92" s="41" t="s">
        <v>204</v>
      </c>
      <c r="H92" s="31" t="s">
        <v>115</v>
      </c>
      <c r="I92" s="39"/>
      <c r="J92" s="39"/>
      <c r="K92" s="39"/>
      <c r="L92" s="39"/>
      <c r="M92" s="39"/>
      <c r="N92" s="39"/>
      <c r="O92" s="57"/>
    </row>
    <row r="93" spans="1:15" s="7" customFormat="1" outlineLevel="1">
      <c r="A93" s="62" t="s">
        <v>86</v>
      </c>
      <c r="B93" s="31">
        <v>1</v>
      </c>
      <c r="C93" s="31" t="s">
        <v>175</v>
      </c>
      <c r="D93" s="31">
        <v>1</v>
      </c>
      <c r="E93" s="31" t="s">
        <v>170</v>
      </c>
      <c r="F93" s="63">
        <f>my_ps(B93,D93)</f>
        <v>3.8422186564756434E-4</v>
      </c>
      <c r="G93" s="41" t="s">
        <v>204</v>
      </c>
      <c r="H93" s="31" t="s">
        <v>116</v>
      </c>
      <c r="I93" s="39"/>
      <c r="J93" s="39"/>
      <c r="K93" s="39"/>
      <c r="L93" s="39"/>
      <c r="M93" s="39"/>
      <c r="N93" s="39"/>
      <c r="O93" s="57"/>
    </row>
    <row r="94" spans="1:15" ht="17.399999999999999">
      <c r="A94" s="64" t="s">
        <v>2</v>
      </c>
      <c r="B94" s="6"/>
      <c r="C94" s="6"/>
      <c r="D94" s="6"/>
      <c r="E94" s="6"/>
      <c r="F94" s="63"/>
      <c r="G94" s="41"/>
      <c r="H94" s="31"/>
      <c r="I94" s="6"/>
      <c r="J94" s="6"/>
      <c r="K94" s="6"/>
      <c r="L94" s="6"/>
      <c r="M94" s="6"/>
      <c r="N94" s="6"/>
      <c r="O94" s="44"/>
    </row>
    <row r="95" spans="1:15" outlineLevel="1">
      <c r="A95" s="56" t="s">
        <v>7</v>
      </c>
      <c r="B95" s="6"/>
      <c r="C95" s="6"/>
      <c r="D95" s="6"/>
      <c r="E95" s="6"/>
      <c r="F95" s="63"/>
      <c r="G95" s="41"/>
      <c r="H95" s="31"/>
      <c r="I95" s="6"/>
      <c r="J95" s="6"/>
      <c r="K95" s="6"/>
      <c r="L95" s="6"/>
      <c r="M95" s="6"/>
      <c r="N95" s="6"/>
      <c r="O95" s="44"/>
    </row>
    <row r="96" spans="1:15" outlineLevel="1">
      <c r="A96" s="62" t="s">
        <v>87</v>
      </c>
      <c r="B96" s="6">
        <v>1</v>
      </c>
      <c r="C96" s="6" t="s">
        <v>175</v>
      </c>
      <c r="D96" s="6">
        <v>200</v>
      </c>
      <c r="E96" s="6" t="s">
        <v>176</v>
      </c>
      <c r="F96" s="63">
        <f>pr_pT(B96,D96)</f>
        <v>0.95780821438588049</v>
      </c>
      <c r="G96" s="41" t="s">
        <v>10</v>
      </c>
      <c r="H96" s="31"/>
      <c r="I96" s="6"/>
      <c r="J96" s="6"/>
      <c r="K96" s="6"/>
      <c r="L96" s="6"/>
      <c r="M96" s="6"/>
      <c r="N96" s="6"/>
      <c r="O96" s="44"/>
    </row>
    <row r="97" spans="1:15" outlineLevel="1">
      <c r="A97" s="62" t="s">
        <v>88</v>
      </c>
      <c r="B97" s="6">
        <v>1</v>
      </c>
      <c r="C97" s="6" t="s">
        <v>175</v>
      </c>
      <c r="D97" s="6">
        <v>2875.4750649489024</v>
      </c>
      <c r="E97" s="6" t="s">
        <v>168</v>
      </c>
      <c r="F97" s="63">
        <f>pr_ph(B97,D97)</f>
        <v>0.95780826148355769</v>
      </c>
      <c r="G97" s="41" t="s">
        <v>10</v>
      </c>
      <c r="H97" s="31"/>
      <c r="I97" s="6"/>
      <c r="J97" s="6"/>
      <c r="K97" s="6"/>
      <c r="L97" s="6"/>
      <c r="M97" s="6"/>
      <c r="N97" s="6"/>
      <c r="O97" s="44"/>
    </row>
    <row r="98" spans="1:15" s="9" customFormat="1" ht="15.6">
      <c r="A98" s="59" t="s">
        <v>127</v>
      </c>
      <c r="B98" s="32"/>
      <c r="C98" s="32"/>
      <c r="D98" s="32"/>
      <c r="E98" s="32"/>
      <c r="F98" s="60"/>
      <c r="G98" s="60"/>
      <c r="H98" s="32"/>
      <c r="I98" s="32"/>
      <c r="J98" s="32"/>
      <c r="K98" s="32"/>
      <c r="L98" s="32"/>
      <c r="M98" s="32"/>
      <c r="N98" s="32"/>
      <c r="O98" s="61"/>
    </row>
    <row r="99" spans="1:15" s="7" customFormat="1" ht="10.199999999999999" outlineLevel="1">
      <c r="A99" s="56" t="s">
        <v>128</v>
      </c>
      <c r="B99" s="39"/>
      <c r="C99" s="39"/>
      <c r="D99" s="39"/>
      <c r="E99" s="39"/>
      <c r="F99" s="54"/>
      <c r="G99" s="54"/>
      <c r="H99" s="39"/>
      <c r="I99" s="39"/>
      <c r="J99" s="39"/>
      <c r="K99" s="39"/>
      <c r="L99" s="39"/>
      <c r="M99" s="39"/>
      <c r="N99" s="39"/>
      <c r="O99" s="57"/>
    </row>
    <row r="100" spans="1:15" s="7" customFormat="1" outlineLevel="1">
      <c r="A100" s="62" t="s">
        <v>89</v>
      </c>
      <c r="B100" s="31">
        <v>100</v>
      </c>
      <c r="C100" s="31" t="s">
        <v>175</v>
      </c>
      <c r="D100" s="31"/>
      <c r="E100" s="31"/>
      <c r="F100" s="41">
        <f>tcL_p(B100)</f>
        <v>0.52454019458257217</v>
      </c>
      <c r="G100" s="41" t="s">
        <v>129</v>
      </c>
      <c r="H100" s="31" t="s">
        <v>130</v>
      </c>
      <c r="I100" s="39"/>
      <c r="J100" s="39"/>
      <c r="K100" s="39"/>
      <c r="L100" s="39"/>
      <c r="M100" s="39"/>
      <c r="N100" s="39"/>
      <c r="O100" s="57"/>
    </row>
    <row r="101" spans="1:15" s="7" customFormat="1" outlineLevel="1">
      <c r="A101" s="62" t="s">
        <v>90</v>
      </c>
      <c r="B101" s="31">
        <v>1</v>
      </c>
      <c r="C101" s="31" t="s">
        <v>175</v>
      </c>
      <c r="D101" s="31"/>
      <c r="E101" s="31"/>
      <c r="F101" s="41">
        <f>tcV_p(B101)</f>
        <v>2.4753667592350453E-2</v>
      </c>
      <c r="G101" s="41" t="s">
        <v>129</v>
      </c>
      <c r="H101" s="31" t="s">
        <v>131</v>
      </c>
      <c r="I101" s="39"/>
      <c r="J101" s="39"/>
      <c r="K101" s="39"/>
      <c r="L101" s="39"/>
      <c r="M101" s="39"/>
      <c r="N101" s="39"/>
      <c r="O101" s="57"/>
    </row>
    <row r="102" spans="1:15" s="7" customFormat="1" outlineLevel="1">
      <c r="A102" s="62" t="s">
        <v>91</v>
      </c>
      <c r="B102" s="31">
        <v>100</v>
      </c>
      <c r="C102" s="31" t="s">
        <v>176</v>
      </c>
      <c r="D102" s="31"/>
      <c r="E102" s="31"/>
      <c r="F102" s="41">
        <f>tcL_T(B102)</f>
        <v>0.67775751158715036</v>
      </c>
      <c r="G102" s="41" t="s">
        <v>129</v>
      </c>
      <c r="H102" s="31" t="s">
        <v>130</v>
      </c>
      <c r="I102" s="39"/>
      <c r="J102" s="39"/>
      <c r="K102" s="39"/>
      <c r="L102" s="39"/>
      <c r="M102" s="39"/>
      <c r="N102" s="39"/>
      <c r="O102" s="57"/>
    </row>
    <row r="103" spans="1:15" s="7" customFormat="1" outlineLevel="1">
      <c r="A103" s="62" t="s">
        <v>92</v>
      </c>
      <c r="B103" s="31">
        <v>100</v>
      </c>
      <c r="C103" s="31" t="s">
        <v>176</v>
      </c>
      <c r="D103" s="31"/>
      <c r="E103" s="31"/>
      <c r="F103" s="41">
        <f>tcV_T(B103)</f>
        <v>2.4793871441017475E-2</v>
      </c>
      <c r="G103" s="41" t="s">
        <v>129</v>
      </c>
      <c r="H103" s="31" t="s">
        <v>131</v>
      </c>
      <c r="I103" s="39"/>
      <c r="J103" s="39"/>
      <c r="K103" s="39"/>
      <c r="L103" s="39"/>
      <c r="M103" s="39"/>
      <c r="N103" s="39"/>
      <c r="O103" s="57"/>
    </row>
    <row r="104" spans="1:15" s="7" customFormat="1" outlineLevel="1">
      <c r="A104" s="62" t="s">
        <v>93</v>
      </c>
      <c r="B104" s="31">
        <v>100</v>
      </c>
      <c r="C104" s="31" t="s">
        <v>175</v>
      </c>
      <c r="D104" s="31">
        <v>350</v>
      </c>
      <c r="E104" s="31" t="s">
        <v>176</v>
      </c>
      <c r="F104" s="41">
        <f>tc_pt(B104,D104)</f>
        <v>6.8545303752530942E-2</v>
      </c>
      <c r="G104" s="41" t="s">
        <v>129</v>
      </c>
      <c r="H104" s="31" t="s">
        <v>132</v>
      </c>
      <c r="I104" s="39"/>
      <c r="J104" s="39"/>
      <c r="K104" s="39"/>
      <c r="L104" s="39"/>
      <c r="M104" s="39"/>
      <c r="N104" s="39"/>
      <c r="O104" s="57"/>
    </row>
    <row r="105" spans="1:15" s="7" customFormat="1" outlineLevel="1">
      <c r="A105" s="62" t="s">
        <v>94</v>
      </c>
      <c r="B105" s="31">
        <v>1</v>
      </c>
      <c r="C105" s="31" t="s">
        <v>175</v>
      </c>
      <c r="D105" s="31">
        <v>350</v>
      </c>
      <c r="E105" s="31" t="s">
        <v>170</v>
      </c>
      <c r="F105" s="41">
        <f>tc_ph(B105,D105)</f>
        <v>0.66929633215745066</v>
      </c>
      <c r="G105" s="41" t="s">
        <v>129</v>
      </c>
      <c r="H105" s="31" t="s">
        <v>133</v>
      </c>
      <c r="I105" s="39"/>
      <c r="J105" s="39"/>
      <c r="K105" s="39"/>
      <c r="L105" s="39"/>
      <c r="M105" s="39"/>
      <c r="N105" s="39"/>
      <c r="O105" s="57"/>
    </row>
    <row r="106" spans="1:15" s="7" customFormat="1" outlineLevel="1">
      <c r="A106" s="62" t="s">
        <v>95</v>
      </c>
      <c r="B106" s="31">
        <v>100</v>
      </c>
      <c r="C106" s="31" t="s">
        <v>170</v>
      </c>
      <c r="D106" s="31">
        <v>0.34</v>
      </c>
      <c r="E106" s="31" t="s">
        <v>170</v>
      </c>
      <c r="F106" s="41">
        <f>tc_hs(B106,D106)</f>
        <v>0.60628312384891225</v>
      </c>
      <c r="G106" s="41" t="s">
        <v>129</v>
      </c>
      <c r="H106" s="31" t="s">
        <v>134</v>
      </c>
      <c r="I106" s="39"/>
      <c r="J106" s="39"/>
      <c r="K106" s="39"/>
      <c r="L106" s="39"/>
      <c r="M106" s="39"/>
      <c r="N106" s="39"/>
      <c r="O106" s="57"/>
    </row>
    <row r="107" spans="1:15" s="7" customFormat="1" ht="15.6">
      <c r="A107" s="59" t="s">
        <v>135</v>
      </c>
      <c r="B107" s="31"/>
      <c r="C107" s="31"/>
      <c r="D107" s="31"/>
      <c r="E107" s="31"/>
      <c r="F107" s="41"/>
      <c r="G107" s="41"/>
      <c r="H107" s="31"/>
      <c r="I107" s="39"/>
      <c r="J107" s="39"/>
      <c r="K107" s="39"/>
      <c r="L107" s="39"/>
      <c r="M107" s="39"/>
      <c r="N107" s="39"/>
      <c r="O107" s="57"/>
    </row>
    <row r="108" spans="1:15" s="7" customFormat="1" ht="10.199999999999999" outlineLevel="1">
      <c r="A108" s="56" t="s">
        <v>136</v>
      </c>
      <c r="B108" s="39"/>
      <c r="C108" s="39"/>
      <c r="D108" s="39"/>
      <c r="E108" s="39"/>
      <c r="F108" s="54"/>
      <c r="G108" s="54"/>
      <c r="H108" s="39"/>
      <c r="I108" s="39"/>
      <c r="J108" s="39"/>
      <c r="K108" s="39"/>
      <c r="L108" s="39"/>
      <c r="M108" s="39"/>
      <c r="N108" s="39"/>
      <c r="O108" s="57"/>
    </row>
    <row r="109" spans="1:15" s="7" customFormat="1" outlineLevel="1">
      <c r="A109" s="62" t="s">
        <v>96</v>
      </c>
      <c r="B109" s="31">
        <v>100</v>
      </c>
      <c r="C109" s="31" t="s">
        <v>176</v>
      </c>
      <c r="D109" s="31"/>
      <c r="E109" s="31"/>
      <c r="F109" s="41">
        <f>st_T(B110)</f>
        <v>7.5507661585837646E-2</v>
      </c>
      <c r="G109" s="41" t="s">
        <v>137</v>
      </c>
      <c r="H109" s="31" t="s">
        <v>139</v>
      </c>
      <c r="I109" s="39"/>
      <c r="J109" s="39"/>
      <c r="K109" s="39"/>
      <c r="L109" s="39"/>
      <c r="M109" s="39"/>
      <c r="N109" s="39"/>
      <c r="O109" s="57"/>
    </row>
    <row r="110" spans="1:15" s="7" customFormat="1" outlineLevel="1">
      <c r="A110" s="62" t="s">
        <v>97</v>
      </c>
      <c r="B110" s="31">
        <v>1</v>
      </c>
      <c r="C110" s="31" t="s">
        <v>175</v>
      </c>
      <c r="D110" s="31"/>
      <c r="E110" s="31"/>
      <c r="F110" s="41">
        <f>st_p(B110)</f>
        <v>5.8987784180859933E-2</v>
      </c>
      <c r="G110" s="41" t="s">
        <v>137</v>
      </c>
      <c r="H110" s="31" t="s">
        <v>139</v>
      </c>
      <c r="I110" s="39"/>
      <c r="J110" s="39"/>
      <c r="K110" s="39"/>
      <c r="L110" s="39"/>
      <c r="M110" s="39"/>
      <c r="N110" s="39"/>
      <c r="O110" s="57"/>
    </row>
    <row r="111" spans="1:15" s="9" customFormat="1" ht="15.6">
      <c r="A111" s="59" t="s">
        <v>203</v>
      </c>
      <c r="B111" s="32"/>
      <c r="C111" s="32"/>
      <c r="D111" s="32"/>
      <c r="E111" s="32"/>
      <c r="F111" s="60"/>
      <c r="G111" s="60"/>
      <c r="H111" s="32"/>
      <c r="I111" s="32"/>
      <c r="J111" s="32"/>
      <c r="K111" s="32"/>
      <c r="L111" s="32"/>
      <c r="M111" s="32"/>
      <c r="N111" s="32"/>
      <c r="O111" s="61"/>
    </row>
    <row r="112" spans="1:15" s="7" customFormat="1" outlineLevel="1">
      <c r="A112" s="62" t="s">
        <v>98</v>
      </c>
      <c r="B112" s="31">
        <v>1</v>
      </c>
      <c r="C112" s="31" t="s">
        <v>175</v>
      </c>
      <c r="D112" s="31">
        <v>1000</v>
      </c>
      <c r="E112" s="31" t="s">
        <v>168</v>
      </c>
      <c r="F112" s="41">
        <f>x_ph(B112,D112)</f>
        <v>0.25805542390279518</v>
      </c>
      <c r="G112" s="41"/>
      <c r="H112" s="31" t="s">
        <v>117</v>
      </c>
      <c r="I112" s="39"/>
      <c r="J112" s="39"/>
      <c r="K112" s="39"/>
      <c r="L112" s="39"/>
      <c r="M112" s="39"/>
      <c r="N112" s="39"/>
      <c r="O112" s="57"/>
    </row>
    <row r="113" spans="1:15" s="7" customFormat="1" outlineLevel="1">
      <c r="A113" s="62" t="s">
        <v>99</v>
      </c>
      <c r="B113" s="31">
        <v>1</v>
      </c>
      <c r="C113" s="31" t="s">
        <v>175</v>
      </c>
      <c r="D113" s="31">
        <v>4</v>
      </c>
      <c r="E113" s="31" t="s">
        <v>170</v>
      </c>
      <c r="F113" s="41">
        <f>x_ps(B113,D113)</f>
        <v>0.4453979607323203</v>
      </c>
      <c r="G113" s="41"/>
      <c r="H113" s="31" t="s">
        <v>118</v>
      </c>
      <c r="I113" s="39"/>
      <c r="J113" s="39"/>
      <c r="K113" s="39"/>
      <c r="L113" s="39"/>
      <c r="M113" s="39"/>
      <c r="N113" s="39"/>
      <c r="O113" s="57"/>
    </row>
    <row r="114" spans="1:15" s="9" customFormat="1" ht="15.6">
      <c r="A114" s="59" t="s">
        <v>125</v>
      </c>
      <c r="B114" s="32"/>
      <c r="C114" s="32"/>
      <c r="D114" s="32"/>
      <c r="E114" s="32"/>
      <c r="F114" s="60"/>
      <c r="G114" s="60"/>
      <c r="H114" s="32"/>
      <c r="I114" s="32"/>
      <c r="J114" s="32"/>
      <c r="K114" s="32"/>
      <c r="L114" s="32"/>
      <c r="M114" s="32"/>
      <c r="N114" s="32"/>
      <c r="O114" s="61"/>
    </row>
    <row r="115" spans="1:15" s="7" customFormat="1" ht="10.199999999999999" outlineLevel="1">
      <c r="A115" s="56" t="s">
        <v>213</v>
      </c>
      <c r="B115" s="39"/>
      <c r="C115" s="39"/>
      <c r="D115" s="39"/>
      <c r="E115" s="39"/>
      <c r="F115" s="54"/>
      <c r="G115" s="54"/>
      <c r="H115" s="39"/>
      <c r="I115" s="39"/>
      <c r="J115" s="39"/>
      <c r="K115" s="39"/>
      <c r="L115" s="39"/>
      <c r="M115" s="39"/>
      <c r="N115" s="39"/>
      <c r="O115" s="57"/>
    </row>
    <row r="116" spans="1:15" s="7" customFormat="1" ht="10.199999999999999" outlineLevel="1">
      <c r="A116" s="56" t="s">
        <v>206</v>
      </c>
      <c r="B116" s="39"/>
      <c r="C116" s="39"/>
      <c r="D116" s="39"/>
      <c r="E116" s="39"/>
      <c r="F116" s="54"/>
      <c r="G116" s="54"/>
      <c r="H116" s="39"/>
      <c r="I116" s="39"/>
      <c r="J116" s="39"/>
      <c r="K116" s="39"/>
      <c r="L116" s="39"/>
      <c r="M116" s="39"/>
      <c r="N116" s="39"/>
      <c r="O116" s="57"/>
    </row>
    <row r="117" spans="1:15" s="7" customFormat="1" outlineLevel="1">
      <c r="A117" s="62" t="s">
        <v>100</v>
      </c>
      <c r="B117" s="31">
        <v>1</v>
      </c>
      <c r="C117" s="31" t="s">
        <v>175</v>
      </c>
      <c r="D117" s="31">
        <v>418</v>
      </c>
      <c r="E117" s="31" t="s">
        <v>168</v>
      </c>
      <c r="F117" s="65">
        <f>vx_ph(B117,D117)</f>
        <v>0.28849309343706725</v>
      </c>
      <c r="G117" s="41"/>
      <c r="H117" s="31" t="s">
        <v>119</v>
      </c>
      <c r="I117" s="39"/>
      <c r="J117" s="39"/>
      <c r="K117" s="39"/>
      <c r="L117" s="39"/>
      <c r="M117" s="39"/>
      <c r="N117" s="39"/>
      <c r="O117" s="57"/>
    </row>
    <row r="118" spans="1:15" s="7" customFormat="1" outlineLevel="1">
      <c r="A118" s="62" t="s">
        <v>101</v>
      </c>
      <c r="B118" s="31">
        <v>1</v>
      </c>
      <c r="C118" s="31" t="s">
        <v>175</v>
      </c>
      <c r="D118" s="31">
        <v>4</v>
      </c>
      <c r="E118" s="31" t="s">
        <v>170</v>
      </c>
      <c r="F118" s="65">
        <f>vx_ps(B118,D118)</f>
        <v>0.99923382663888027</v>
      </c>
      <c r="G118" s="41"/>
      <c r="H118" s="31" t="s">
        <v>120</v>
      </c>
      <c r="I118" s="39"/>
      <c r="J118" s="39"/>
      <c r="K118" s="39"/>
      <c r="L118" s="39"/>
      <c r="M118" s="39"/>
      <c r="N118" s="39"/>
      <c r="O118" s="57"/>
    </row>
    <row r="119" spans="1:15" s="7" customFormat="1" ht="10.199999999999999">
      <c r="A119" s="56"/>
      <c r="B119" s="39"/>
      <c r="C119" s="39"/>
      <c r="D119" s="39"/>
      <c r="E119" s="39"/>
      <c r="F119" s="54"/>
      <c r="G119" s="54"/>
      <c r="H119" s="39"/>
      <c r="I119" s="39"/>
      <c r="J119" s="39"/>
      <c r="K119" s="39"/>
      <c r="L119" s="39"/>
      <c r="M119" s="39"/>
      <c r="N119" s="39"/>
      <c r="O119" s="57"/>
    </row>
    <row r="120" spans="1:15" ht="15.6">
      <c r="A120" s="59" t="s">
        <v>11</v>
      </c>
      <c r="B120" s="6"/>
      <c r="C120" s="6"/>
      <c r="D120" s="6"/>
      <c r="E120" s="6"/>
      <c r="F120" s="41"/>
      <c r="G120" s="41"/>
      <c r="H120" s="31"/>
      <c r="I120" s="6"/>
      <c r="J120" s="6"/>
      <c r="K120" s="6"/>
      <c r="L120" s="6"/>
      <c r="M120" s="6"/>
      <c r="N120" s="6"/>
      <c r="O120" s="44"/>
    </row>
    <row r="121" spans="1:15">
      <c r="A121" s="53" t="s">
        <v>112</v>
      </c>
      <c r="B121" s="6"/>
      <c r="C121" s="6"/>
      <c r="D121" s="6"/>
      <c r="E121" s="6"/>
      <c r="F121" s="41"/>
      <c r="G121" s="41"/>
      <c r="H121" s="31"/>
      <c r="I121" s="6"/>
      <c r="J121" s="6"/>
      <c r="K121" s="6"/>
      <c r="L121" s="6"/>
      <c r="M121" s="6"/>
      <c r="N121" s="6"/>
      <c r="O121" s="44"/>
    </row>
    <row r="122" spans="1:15">
      <c r="A122" s="56" t="s">
        <v>1</v>
      </c>
      <c r="B122" s="6"/>
      <c r="C122" s="6"/>
      <c r="D122" s="6"/>
      <c r="E122" s="6"/>
      <c r="F122" s="41"/>
      <c r="G122" s="41"/>
      <c r="H122" s="31"/>
      <c r="I122" s="6"/>
      <c r="J122" s="6"/>
      <c r="K122" s="6"/>
      <c r="L122" s="6"/>
      <c r="M122" s="6"/>
      <c r="N122" s="6"/>
      <c r="O122" s="44"/>
    </row>
    <row r="123" spans="1:15">
      <c r="A123" s="56" t="s">
        <v>111</v>
      </c>
      <c r="B123" s="6"/>
      <c r="C123" s="6"/>
      <c r="D123" s="6"/>
      <c r="E123" s="6"/>
      <c r="F123" s="41"/>
      <c r="G123" s="41"/>
      <c r="H123" s="31"/>
      <c r="I123" s="6"/>
      <c r="J123" s="6"/>
      <c r="K123" s="6"/>
      <c r="L123" s="6"/>
      <c r="M123" s="6"/>
      <c r="N123" s="6"/>
      <c r="O123" s="44"/>
    </row>
    <row r="124" spans="1:15">
      <c r="A124" s="53" t="s">
        <v>108</v>
      </c>
      <c r="B124" s="6"/>
      <c r="C124" s="6"/>
      <c r="D124" s="6"/>
      <c r="E124" s="6"/>
      <c r="F124" s="41"/>
      <c r="G124" s="41"/>
      <c r="H124" s="31"/>
      <c r="I124" s="6"/>
      <c r="J124" s="6"/>
      <c r="K124" s="6"/>
      <c r="L124" s="6"/>
      <c r="M124" s="6"/>
      <c r="N124" s="6"/>
      <c r="O124" s="44"/>
    </row>
    <row r="125" spans="1:15">
      <c r="A125" s="56" t="s">
        <v>110</v>
      </c>
      <c r="B125" s="6"/>
      <c r="C125" s="6"/>
      <c r="D125" s="6"/>
      <c r="E125" s="6"/>
      <c r="F125" s="41"/>
      <c r="G125" s="41"/>
      <c r="H125" s="31"/>
      <c r="I125" s="6"/>
      <c r="J125" s="6"/>
      <c r="K125" s="6"/>
      <c r="L125" s="6"/>
      <c r="M125" s="6"/>
      <c r="N125" s="6"/>
      <c r="O125" s="44"/>
    </row>
    <row r="126" spans="1:15">
      <c r="A126" s="56" t="s">
        <v>109</v>
      </c>
      <c r="B126" s="6"/>
      <c r="C126" s="6"/>
      <c r="D126" s="6"/>
      <c r="E126" s="6"/>
      <c r="F126" s="41"/>
      <c r="G126" s="41"/>
      <c r="H126" s="31"/>
      <c r="I126" s="6"/>
      <c r="J126" s="6"/>
      <c r="K126" s="6"/>
      <c r="L126" s="6"/>
      <c r="M126" s="6"/>
      <c r="N126" s="6"/>
      <c r="O126" s="44"/>
    </row>
    <row r="127" spans="1:15">
      <c r="A127" s="56" t="s">
        <v>107</v>
      </c>
      <c r="B127" s="6"/>
      <c r="C127" s="6"/>
      <c r="D127" s="6"/>
      <c r="E127" s="6"/>
      <c r="F127" s="41"/>
      <c r="G127" s="41"/>
      <c r="H127" s="31"/>
      <c r="I127" s="6"/>
      <c r="J127" s="6"/>
      <c r="K127" s="6"/>
      <c r="L127" s="6"/>
      <c r="M127" s="6"/>
      <c r="N127" s="6"/>
      <c r="O127" s="44"/>
    </row>
    <row r="128" spans="1:15">
      <c r="A128" s="53" t="s">
        <v>105</v>
      </c>
      <c r="B128" s="6"/>
      <c r="C128" s="6"/>
      <c r="D128" s="6"/>
      <c r="E128" s="6"/>
      <c r="F128" s="41"/>
      <c r="G128" s="41"/>
      <c r="H128" s="31"/>
      <c r="I128" s="6"/>
      <c r="J128" s="6"/>
      <c r="K128" s="6"/>
      <c r="L128" s="6"/>
      <c r="M128" s="6"/>
      <c r="N128" s="6"/>
      <c r="O128" s="44"/>
    </row>
    <row r="129" spans="1:15">
      <c r="A129" s="56" t="s">
        <v>106</v>
      </c>
      <c r="B129" s="6"/>
      <c r="C129" s="6"/>
      <c r="D129" s="6"/>
      <c r="E129" s="6"/>
      <c r="F129" s="41"/>
      <c r="G129" s="41"/>
      <c r="H129" s="31"/>
      <c r="I129" s="6"/>
      <c r="J129" s="6"/>
      <c r="K129" s="6"/>
      <c r="L129" s="6"/>
      <c r="M129" s="6"/>
      <c r="N129" s="6"/>
      <c r="O129" s="44"/>
    </row>
    <row r="130" spans="1:15">
      <c r="A130" s="53" t="s">
        <v>18</v>
      </c>
      <c r="B130" s="6"/>
      <c r="C130" s="6"/>
      <c r="D130" s="6"/>
      <c r="E130" s="6"/>
      <c r="F130" s="41"/>
      <c r="G130" s="41"/>
      <c r="H130" s="31"/>
      <c r="I130" s="6"/>
      <c r="J130" s="6"/>
      <c r="K130" s="6"/>
      <c r="L130" s="6"/>
      <c r="M130" s="6"/>
      <c r="N130" s="6"/>
      <c r="O130" s="44"/>
    </row>
    <row r="131" spans="1:15">
      <c r="A131" s="56" t="s">
        <v>104</v>
      </c>
      <c r="B131" s="6"/>
      <c r="C131" s="6"/>
      <c r="D131" s="6"/>
      <c r="E131" s="6"/>
      <c r="F131" s="41"/>
      <c r="G131" s="41"/>
      <c r="H131" s="31"/>
      <c r="I131" s="6"/>
      <c r="J131" s="6"/>
      <c r="K131" s="6"/>
      <c r="L131" s="6"/>
      <c r="M131" s="6"/>
      <c r="N131" s="6"/>
      <c r="O131" s="44"/>
    </row>
    <row r="132" spans="1:15">
      <c r="A132" s="56" t="s">
        <v>103</v>
      </c>
      <c r="B132" s="6"/>
      <c r="C132" s="6"/>
      <c r="D132" s="6"/>
      <c r="E132" s="6"/>
      <c r="F132" s="41"/>
      <c r="G132" s="41"/>
      <c r="H132" s="31"/>
      <c r="I132" s="6"/>
      <c r="J132" s="6"/>
      <c r="K132" s="6"/>
      <c r="L132" s="6"/>
      <c r="M132" s="6"/>
      <c r="N132" s="6"/>
      <c r="O132" s="44"/>
    </row>
    <row r="133" spans="1:15" ht="10.95" customHeight="1">
      <c r="A133" s="56" t="s">
        <v>102</v>
      </c>
      <c r="B133" s="6"/>
      <c r="C133" s="6"/>
      <c r="D133" s="6"/>
      <c r="E133" s="6"/>
      <c r="F133" s="41"/>
      <c r="G133" s="41"/>
      <c r="H133" s="31"/>
      <c r="I133" s="6"/>
      <c r="J133" s="6"/>
      <c r="K133" s="6"/>
      <c r="L133" s="6"/>
      <c r="M133" s="6"/>
      <c r="N133" s="6"/>
      <c r="O133" s="44"/>
    </row>
    <row r="134" spans="1:15" ht="11.4" customHeight="1">
      <c r="A134" s="56" t="s">
        <v>19</v>
      </c>
      <c r="B134" s="6"/>
      <c r="C134" s="6"/>
      <c r="D134" s="6"/>
      <c r="E134" s="6"/>
      <c r="F134" s="41"/>
      <c r="G134" s="41"/>
      <c r="H134" s="31"/>
      <c r="I134" s="6"/>
      <c r="J134" s="6"/>
      <c r="K134" s="6"/>
      <c r="L134" s="6"/>
      <c r="M134" s="6"/>
      <c r="N134" s="6"/>
      <c r="O134" s="44"/>
    </row>
    <row r="135" spans="1:15" ht="11.4" customHeight="1">
      <c r="A135" s="53" t="s">
        <v>13</v>
      </c>
      <c r="B135" s="6"/>
      <c r="C135" s="6"/>
      <c r="D135" s="6"/>
      <c r="E135" s="6"/>
      <c r="F135" s="41"/>
      <c r="G135" s="41"/>
      <c r="H135" s="31"/>
      <c r="I135" s="6"/>
      <c r="J135" s="6"/>
      <c r="K135" s="6"/>
      <c r="L135" s="6"/>
      <c r="M135" s="6"/>
      <c r="N135" s="6"/>
      <c r="O135" s="44"/>
    </row>
    <row r="136" spans="1:15">
      <c r="A136" s="56" t="s">
        <v>16</v>
      </c>
      <c r="B136" s="6"/>
      <c r="C136" s="6"/>
      <c r="D136" s="6"/>
      <c r="E136" s="6"/>
      <c r="F136" s="41"/>
      <c r="G136" s="41"/>
      <c r="H136" s="31"/>
      <c r="I136" s="6"/>
      <c r="J136" s="6"/>
      <c r="K136" s="6"/>
      <c r="L136" s="6"/>
      <c r="M136" s="6"/>
      <c r="N136" s="6"/>
      <c r="O136" s="44"/>
    </row>
    <row r="137" spans="1:15">
      <c r="A137" s="56" t="s">
        <v>9</v>
      </c>
      <c r="B137" s="6"/>
      <c r="C137" s="6"/>
      <c r="D137" s="6"/>
      <c r="E137" s="6"/>
      <c r="F137" s="41"/>
      <c r="G137" s="41"/>
      <c r="H137" s="31"/>
      <c r="I137" s="6"/>
      <c r="J137" s="6"/>
      <c r="K137" s="6"/>
      <c r="L137" s="6"/>
      <c r="M137" s="6"/>
      <c r="N137" s="6"/>
      <c r="O137" s="44"/>
    </row>
    <row r="138" spans="1:15">
      <c r="A138" s="56" t="s">
        <v>14</v>
      </c>
      <c r="B138" s="6"/>
      <c r="C138" s="6"/>
      <c r="D138" s="6"/>
      <c r="E138" s="6"/>
      <c r="F138" s="41"/>
      <c r="G138" s="41"/>
      <c r="H138" s="31"/>
      <c r="I138" s="6"/>
      <c r="J138" s="6"/>
      <c r="K138" s="6"/>
      <c r="L138" s="6"/>
      <c r="M138" s="6"/>
      <c r="N138" s="6"/>
      <c r="O138" s="44"/>
    </row>
    <row r="139" spans="1:15">
      <c r="A139" s="56" t="s">
        <v>15</v>
      </c>
      <c r="B139" s="6"/>
      <c r="C139" s="6"/>
      <c r="D139" s="6"/>
      <c r="E139" s="6"/>
      <c r="F139" s="41"/>
      <c r="G139" s="41"/>
      <c r="H139" s="31"/>
      <c r="I139" s="6"/>
      <c r="J139" s="6"/>
      <c r="K139" s="6"/>
      <c r="L139" s="6"/>
      <c r="M139" s="6"/>
      <c r="N139" s="6"/>
      <c r="O139" s="44"/>
    </row>
    <row r="140" spans="1:15">
      <c r="A140" s="56" t="s">
        <v>17</v>
      </c>
      <c r="B140" s="6"/>
      <c r="C140" s="6"/>
      <c r="D140" s="6"/>
      <c r="E140" s="6"/>
      <c r="F140" s="41"/>
      <c r="G140" s="41"/>
      <c r="H140" s="31"/>
      <c r="I140" s="6"/>
      <c r="J140" s="6"/>
      <c r="K140" s="6"/>
      <c r="L140" s="6"/>
      <c r="M140" s="6"/>
      <c r="N140" s="6"/>
      <c r="O140" s="44"/>
    </row>
    <row r="141" spans="1:15">
      <c r="A141" s="53" t="s">
        <v>3</v>
      </c>
      <c r="B141" s="6"/>
      <c r="C141" s="6"/>
      <c r="D141" s="6"/>
      <c r="E141" s="6"/>
      <c r="F141" s="41"/>
      <c r="G141" s="41"/>
      <c r="H141" s="31"/>
      <c r="I141" s="6"/>
      <c r="J141" s="6"/>
      <c r="K141" s="6"/>
      <c r="L141" s="6"/>
      <c r="M141" s="6"/>
      <c r="N141" s="6"/>
      <c r="O141" s="44"/>
    </row>
    <row r="142" spans="1:15">
      <c r="A142" s="56" t="s">
        <v>9</v>
      </c>
      <c r="B142" s="6"/>
      <c r="C142" s="6"/>
      <c r="D142" s="6"/>
      <c r="E142" s="6"/>
      <c r="F142" s="41"/>
      <c r="G142" s="41"/>
      <c r="H142" s="31"/>
      <c r="I142" s="6"/>
      <c r="J142" s="6"/>
      <c r="K142" s="6"/>
      <c r="L142" s="6"/>
      <c r="M142" s="6"/>
      <c r="N142" s="6"/>
      <c r="O142" s="44"/>
    </row>
    <row r="143" spans="1:15">
      <c r="A143" s="56" t="s">
        <v>5</v>
      </c>
      <c r="B143" s="6"/>
      <c r="C143" s="6"/>
      <c r="D143" s="6"/>
      <c r="E143" s="6"/>
      <c r="F143" s="41"/>
      <c r="G143" s="41"/>
      <c r="H143" s="31"/>
      <c r="I143" s="6"/>
      <c r="J143" s="6"/>
      <c r="K143" s="6"/>
      <c r="L143" s="6"/>
      <c r="M143" s="6"/>
      <c r="N143" s="6"/>
      <c r="O143" s="44"/>
    </row>
    <row r="144" spans="1:15">
      <c r="A144" s="56" t="s">
        <v>4</v>
      </c>
      <c r="B144" s="6"/>
      <c r="C144" s="6"/>
      <c r="D144" s="6"/>
      <c r="E144" s="6"/>
      <c r="F144" s="41"/>
      <c r="G144" s="41"/>
      <c r="H144" s="31"/>
      <c r="I144" s="6"/>
      <c r="J144" s="6"/>
      <c r="K144" s="6"/>
      <c r="L144" s="6"/>
      <c r="M144" s="6"/>
      <c r="N144" s="6"/>
      <c r="O144" s="44"/>
    </row>
    <row r="145" spans="1:15">
      <c r="A145" s="56" t="s">
        <v>12</v>
      </c>
      <c r="B145" s="6"/>
      <c r="C145" s="6"/>
      <c r="D145" s="6"/>
      <c r="E145" s="6"/>
      <c r="F145" s="41"/>
      <c r="G145" s="41"/>
      <c r="H145" s="31"/>
      <c r="I145" s="6"/>
      <c r="J145" s="6"/>
      <c r="K145" s="6"/>
      <c r="L145" s="6"/>
      <c r="M145" s="6"/>
      <c r="N145" s="6"/>
      <c r="O145" s="44"/>
    </row>
    <row r="146" spans="1:15">
      <c r="A146" s="56" t="s">
        <v>8</v>
      </c>
      <c r="B146" s="6"/>
      <c r="C146" s="6"/>
      <c r="D146" s="6"/>
      <c r="E146" s="6"/>
      <c r="F146" s="41"/>
      <c r="G146" s="41"/>
      <c r="H146" s="31"/>
      <c r="I146" s="6"/>
      <c r="J146" s="6"/>
      <c r="K146" s="6"/>
      <c r="L146" s="6"/>
      <c r="M146" s="6"/>
      <c r="N146" s="6"/>
      <c r="O146" s="44"/>
    </row>
    <row r="147" spans="1:15">
      <c r="A147" s="53" t="s">
        <v>167</v>
      </c>
      <c r="B147" s="6"/>
      <c r="C147" s="6"/>
      <c r="D147" s="6"/>
      <c r="E147" s="6"/>
      <c r="F147" s="41"/>
      <c r="G147" s="41"/>
      <c r="H147" s="31"/>
      <c r="I147" s="6"/>
      <c r="J147" s="6"/>
      <c r="K147" s="6"/>
      <c r="L147" s="6"/>
      <c r="M147" s="6"/>
      <c r="N147" s="6"/>
      <c r="O147" s="44"/>
    </row>
    <row r="148" spans="1:15">
      <c r="A148" s="56" t="s">
        <v>163</v>
      </c>
      <c r="B148" s="6"/>
      <c r="C148" s="6"/>
      <c r="D148" s="6"/>
      <c r="E148" s="6"/>
      <c r="F148" s="41"/>
      <c r="G148" s="41"/>
      <c r="H148" s="31"/>
      <c r="I148" s="6"/>
      <c r="J148" s="6"/>
      <c r="K148" s="6"/>
      <c r="L148" s="6"/>
      <c r="M148" s="6"/>
      <c r="N148" s="6"/>
      <c r="O148" s="44"/>
    </row>
    <row r="149" spans="1:15">
      <c r="A149" s="56" t="s">
        <v>164</v>
      </c>
      <c r="B149" s="6"/>
      <c r="C149" s="6"/>
      <c r="D149" s="6"/>
      <c r="E149" s="6"/>
      <c r="F149" s="41"/>
      <c r="G149" s="41"/>
      <c r="H149" s="31"/>
      <c r="I149" s="6"/>
      <c r="J149" s="6"/>
      <c r="K149" s="6"/>
      <c r="L149" s="6"/>
      <c r="M149" s="6"/>
      <c r="N149" s="6"/>
      <c r="O149" s="44"/>
    </row>
    <row r="150" spans="1:15">
      <c r="A150" s="56" t="s">
        <v>165</v>
      </c>
      <c r="B150" s="6"/>
      <c r="C150" s="6"/>
      <c r="D150" s="6"/>
      <c r="E150" s="6"/>
      <c r="F150" s="41"/>
      <c r="G150" s="41"/>
      <c r="H150" s="31"/>
      <c r="I150" s="6"/>
      <c r="J150" s="6"/>
      <c r="K150" s="6"/>
      <c r="L150" s="6"/>
      <c r="M150" s="6"/>
      <c r="N150" s="6"/>
      <c r="O150" s="44"/>
    </row>
    <row r="151" spans="1:15">
      <c r="A151" s="53" t="s">
        <v>166</v>
      </c>
      <c r="B151" s="6"/>
      <c r="C151" s="6"/>
      <c r="D151" s="6"/>
      <c r="E151" s="6"/>
      <c r="F151" s="41"/>
      <c r="G151" s="41"/>
      <c r="H151" s="31"/>
      <c r="I151" s="6"/>
      <c r="J151" s="6"/>
      <c r="K151" s="6"/>
      <c r="L151" s="6"/>
      <c r="M151" s="6"/>
      <c r="N151" s="6"/>
      <c r="O151" s="44"/>
    </row>
    <row r="152" spans="1:15">
      <c r="A152" s="56" t="s">
        <v>121</v>
      </c>
      <c r="B152" s="6"/>
      <c r="C152" s="6"/>
      <c r="D152" s="6"/>
      <c r="E152" s="6"/>
      <c r="F152" s="41"/>
      <c r="G152" s="41"/>
      <c r="H152" s="31"/>
      <c r="I152" s="6"/>
      <c r="J152" s="6"/>
      <c r="K152" s="6"/>
      <c r="L152" s="6"/>
      <c r="M152" s="6"/>
      <c r="N152" s="6"/>
      <c r="O152" s="44"/>
    </row>
    <row r="153" spans="1:15">
      <c r="A153" s="56" t="s">
        <v>138</v>
      </c>
      <c r="B153" s="6"/>
      <c r="C153" s="6"/>
      <c r="D153" s="6"/>
      <c r="E153" s="6"/>
      <c r="F153" s="41"/>
      <c r="G153" s="41"/>
      <c r="H153" s="31"/>
      <c r="I153" s="6"/>
      <c r="J153" s="6"/>
      <c r="K153" s="6"/>
      <c r="L153" s="6"/>
      <c r="M153" s="6"/>
      <c r="N153" s="6"/>
      <c r="O153" s="44"/>
    </row>
    <row r="154" spans="1:15">
      <c r="A154" s="56" t="s">
        <v>122</v>
      </c>
      <c r="B154" s="6"/>
      <c r="C154" s="6"/>
      <c r="D154" s="6"/>
      <c r="E154" s="6"/>
      <c r="F154" s="41"/>
      <c r="G154" s="41"/>
      <c r="H154" s="31"/>
      <c r="I154" s="6"/>
      <c r="J154" s="6"/>
      <c r="K154" s="6"/>
      <c r="L154" s="6"/>
      <c r="M154" s="6"/>
      <c r="N154" s="6"/>
      <c r="O154" s="44"/>
    </row>
    <row r="155" spans="1:15">
      <c r="A155" s="56" t="s">
        <v>123</v>
      </c>
      <c r="B155" s="6"/>
      <c r="C155" s="6"/>
      <c r="D155" s="6"/>
      <c r="E155" s="6"/>
      <c r="F155" s="41"/>
      <c r="G155" s="41"/>
      <c r="H155" s="31"/>
      <c r="I155" s="6"/>
      <c r="J155" s="6"/>
      <c r="K155" s="6"/>
      <c r="L155" s="6"/>
      <c r="M155" s="6"/>
      <c r="N155" s="6"/>
      <c r="O155" s="44"/>
    </row>
    <row r="156" spans="1:15">
      <c r="A156" s="56" t="s">
        <v>124</v>
      </c>
      <c r="B156" s="6"/>
      <c r="C156" s="6"/>
      <c r="D156" s="6"/>
      <c r="E156" s="6"/>
      <c r="F156" s="41"/>
      <c r="G156" s="41"/>
      <c r="H156" s="31"/>
      <c r="I156" s="6"/>
      <c r="J156" s="6"/>
      <c r="K156" s="6"/>
      <c r="L156" s="6"/>
      <c r="M156" s="6"/>
      <c r="N156" s="6"/>
      <c r="O156" s="44"/>
    </row>
    <row r="157" spans="1:15" ht="13.8" thickBot="1">
      <c r="A157" s="45"/>
      <c r="B157" s="46"/>
      <c r="C157" s="46"/>
      <c r="D157" s="46"/>
      <c r="E157" s="46"/>
      <c r="F157" s="66"/>
      <c r="G157" s="66"/>
      <c r="H157" s="67"/>
      <c r="I157" s="46"/>
      <c r="J157" s="46"/>
      <c r="K157" s="46"/>
      <c r="L157" s="46"/>
      <c r="M157" s="46"/>
      <c r="N157" s="46"/>
      <c r="O157" s="47"/>
    </row>
    <row r="158" spans="1:15" ht="13.8" thickTop="1"/>
  </sheetData>
  <mergeCells count="1">
    <mergeCell ref="A1:O6"/>
  </mergeCells>
  <phoneticPr fontId="0" type="noConversion"/>
  <hyperlinks>
    <hyperlink ref="E7" r:id="rId1"/>
    <hyperlink ref="F10" r:id="rId2"/>
    <hyperlink ref="A1:O6" r:id="rId3" display="http://joemusumeci.com/EngineeringTools.aspx"/>
  </hyperlinks>
  <pageMargins left="0.75" right="0.75" top="1" bottom="1" header="0.5" footer="0.5"/>
  <pageSetup scale="63" orientation="portrait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O203"/>
  <sheetViews>
    <sheetView tabSelected="1" topLeftCell="A178" zoomScale="115" zoomScaleNormal="115" zoomScaleSheetLayoutView="70" workbookViewId="0">
      <selection activeCell="C184" sqref="C184"/>
    </sheetView>
  </sheetViews>
  <sheetFormatPr defaultColWidth="11.5546875" defaultRowHeight="13.2"/>
  <cols>
    <col min="1" max="1" width="11.5546875" style="68"/>
    <col min="2" max="2" width="16.6640625" style="68" customWidth="1"/>
    <col min="3" max="3" width="28.33203125" style="68" customWidth="1"/>
    <col min="4" max="5" width="11.5546875" style="68"/>
    <col min="6" max="6" width="16.44140625" style="68" bestFit="1" customWidth="1"/>
    <col min="7" max="16384" width="11.5546875" style="68"/>
  </cols>
  <sheetData>
    <row r="1" spans="1:12">
      <c r="B1" s="68" t="s">
        <v>462</v>
      </c>
    </row>
    <row r="2" spans="1:12">
      <c r="A2" s="68" t="s">
        <v>461</v>
      </c>
    </row>
    <row r="3" spans="1:12">
      <c r="C3" s="68" t="s">
        <v>261</v>
      </c>
      <c r="D3" s="93">
        <v>1.5</v>
      </c>
      <c r="E3" s="68" t="s">
        <v>255</v>
      </c>
      <c r="F3" s="74">
        <f>D3*25.4</f>
        <v>38.099999999999994</v>
      </c>
      <c r="G3" s="68" t="s">
        <v>460</v>
      </c>
      <c r="H3" s="74">
        <f>D3*2.54</f>
        <v>3.81</v>
      </c>
      <c r="I3" s="68" t="s">
        <v>459</v>
      </c>
    </row>
    <row r="4" spans="1:12">
      <c r="C4" s="68" t="s">
        <v>256</v>
      </c>
      <c r="D4" s="93">
        <v>1.5</v>
      </c>
      <c r="E4" s="68" t="s">
        <v>255</v>
      </c>
      <c r="F4" s="74">
        <f>D4*25.4</f>
        <v>38.099999999999994</v>
      </c>
      <c r="G4" s="68" t="s">
        <v>460</v>
      </c>
      <c r="H4" s="74">
        <f>D4*2.54</f>
        <v>3.81</v>
      </c>
      <c r="I4" s="68" t="s">
        <v>459</v>
      </c>
    </row>
    <row r="5" spans="1:12">
      <c r="C5" s="68" t="s">
        <v>458</v>
      </c>
      <c r="D5" s="93">
        <v>0.2</v>
      </c>
      <c r="E5" s="68" t="s">
        <v>454</v>
      </c>
      <c r="F5" s="78">
        <f>D5*16387</f>
        <v>3277.4</v>
      </c>
      <c r="G5" s="68" t="s">
        <v>453</v>
      </c>
      <c r="H5" s="74">
        <f>D5*16.387</f>
        <v>3.2774000000000001</v>
      </c>
      <c r="I5" s="68" t="s">
        <v>352</v>
      </c>
      <c r="J5" s="79">
        <f>H5*0.000001</f>
        <v>3.2773999999999997E-6</v>
      </c>
      <c r="K5" s="68" t="s">
        <v>342</v>
      </c>
    </row>
    <row r="6" spans="1:12">
      <c r="C6" s="68" t="s">
        <v>457</v>
      </c>
      <c r="D6" s="90">
        <f>(PI()/4*D3^2)*D4</f>
        <v>2.6507188014663878</v>
      </c>
      <c r="E6" s="68" t="s">
        <v>454</v>
      </c>
      <c r="F6" s="78">
        <f>(PI()/4*F3^2)*F4</f>
        <v>43437.498645632979</v>
      </c>
      <c r="G6" s="68" t="s">
        <v>453</v>
      </c>
      <c r="H6" s="69">
        <f>(PI()/4*H3^2)*H4</f>
        <v>43.437498645632992</v>
      </c>
      <c r="I6" s="68" t="s">
        <v>352</v>
      </c>
      <c r="J6" s="79">
        <f>H6*0.000001</f>
        <v>4.3437498645632988E-5</v>
      </c>
      <c r="K6" s="68" t="s">
        <v>342</v>
      </c>
      <c r="L6" s="68" t="s">
        <v>456</v>
      </c>
    </row>
    <row r="7" spans="1:12">
      <c r="C7" s="68" t="s">
        <v>455</v>
      </c>
      <c r="D7" s="90">
        <f>D6+D5</f>
        <v>2.850718801466388</v>
      </c>
      <c r="E7" s="68" t="s">
        <v>454</v>
      </c>
      <c r="F7" s="78">
        <f>F6+F5</f>
        <v>46714.89864563298</v>
      </c>
      <c r="G7" s="68" t="s">
        <v>453</v>
      </c>
      <c r="H7" s="74">
        <f>H6+H5</f>
        <v>46.714898645632992</v>
      </c>
      <c r="I7" s="68" t="s">
        <v>352</v>
      </c>
      <c r="J7" s="79">
        <f>H7*0.000001</f>
        <v>4.6714898645632992E-5</v>
      </c>
      <c r="K7" s="68" t="s">
        <v>342</v>
      </c>
      <c r="L7" s="68" t="s">
        <v>452</v>
      </c>
    </row>
    <row r="10" spans="1:12">
      <c r="A10" s="68" t="s">
        <v>451</v>
      </c>
    </row>
    <row r="11" spans="1:12" ht="15.6">
      <c r="B11" s="68" t="s">
        <v>450</v>
      </c>
      <c r="C11" s="68" t="s">
        <v>449</v>
      </c>
      <c r="D11" s="75">
        <v>90</v>
      </c>
      <c r="E11" s="68" t="s">
        <v>436</v>
      </c>
      <c r="F11" s="78">
        <f>D11*6.894757</f>
        <v>620.52813000000003</v>
      </c>
      <c r="G11" s="68" t="s">
        <v>435</v>
      </c>
      <c r="H11" s="71">
        <f>F11/1000</f>
        <v>0.62052813000000007</v>
      </c>
      <c r="I11" s="68" t="s">
        <v>434</v>
      </c>
      <c r="J11" s="90">
        <f>D11*0.0689475729</f>
        <v>6.2052815610000005</v>
      </c>
      <c r="K11" s="68" t="s">
        <v>175</v>
      </c>
      <c r="L11" s="68" t="s">
        <v>448</v>
      </c>
    </row>
    <row r="12" spans="1:12" ht="15.6">
      <c r="B12" s="68" t="s">
        <v>447</v>
      </c>
      <c r="C12" s="68" t="s">
        <v>446</v>
      </c>
      <c r="D12" s="75">
        <v>400</v>
      </c>
      <c r="E12" s="92" t="s">
        <v>445</v>
      </c>
      <c r="F12" s="78">
        <f>(D12-32)*5/9</f>
        <v>204.44444444444446</v>
      </c>
      <c r="G12" s="68" t="s">
        <v>176</v>
      </c>
      <c r="H12" s="78">
        <f>F12+273.15</f>
        <v>477.59444444444443</v>
      </c>
      <c r="I12" s="68" t="s">
        <v>444</v>
      </c>
      <c r="J12" s="91"/>
      <c r="L12" s="68" t="s">
        <v>443</v>
      </c>
    </row>
    <row r="13" spans="1:12" ht="15.6">
      <c r="B13" s="68" t="s">
        <v>442</v>
      </c>
      <c r="C13" s="68" t="s">
        <v>329</v>
      </c>
      <c r="D13" s="91"/>
      <c r="F13" s="78">
        <f>h_pt(J11,F12)</f>
        <v>2859.3394202538484</v>
      </c>
      <c r="G13" s="68" t="s">
        <v>168</v>
      </c>
      <c r="H13" s="91"/>
      <c r="J13" s="91"/>
      <c r="L13" s="68" t="s">
        <v>441</v>
      </c>
    </row>
    <row r="14" spans="1:12" ht="15.6">
      <c r="B14" s="68" t="s">
        <v>440</v>
      </c>
      <c r="C14" s="68" t="s">
        <v>178</v>
      </c>
      <c r="D14" s="91"/>
      <c r="F14" s="72">
        <f>rho_pT(J11,F12)</f>
        <v>2.9092257929706107</v>
      </c>
      <c r="G14" s="68" t="s">
        <v>174</v>
      </c>
      <c r="H14" s="91"/>
      <c r="J14" s="91"/>
    </row>
    <row r="15" spans="1:12" ht="15.6">
      <c r="B15" s="68" t="s">
        <v>439</v>
      </c>
      <c r="C15" s="68" t="s">
        <v>333</v>
      </c>
      <c r="D15" s="91"/>
      <c r="F15" s="72">
        <f>s_pT(J11,F12)</f>
        <v>6.9715816858460418</v>
      </c>
      <c r="G15" s="68" t="s">
        <v>215</v>
      </c>
      <c r="H15" s="91"/>
      <c r="J15" s="91"/>
    </row>
    <row r="16" spans="1:12" ht="15.6">
      <c r="B16" s="68" t="s">
        <v>438</v>
      </c>
      <c r="C16" s="68" t="s">
        <v>437</v>
      </c>
      <c r="D16" s="75">
        <v>15</v>
      </c>
      <c r="E16" s="68" t="s">
        <v>436</v>
      </c>
      <c r="F16" s="74">
        <f>D16*6.894757</f>
        <v>103.42135500000001</v>
      </c>
      <c r="G16" s="68" t="s">
        <v>435</v>
      </c>
      <c r="H16" s="90">
        <f>F16/1000</f>
        <v>0.10342135500000001</v>
      </c>
      <c r="I16" s="68" t="s">
        <v>434</v>
      </c>
      <c r="J16" s="71">
        <f>D16*0.0689475729</f>
        <v>1.0342135935000001</v>
      </c>
      <c r="K16" s="68" t="s">
        <v>175</v>
      </c>
    </row>
    <row r="17" spans="1:9">
      <c r="C17" s="68" t="s">
        <v>433</v>
      </c>
      <c r="F17" s="94">
        <f>F12-Tsat_p(J11)</f>
        <v>44.29271460629343</v>
      </c>
      <c r="G17" s="68" t="str">
        <f>G12</f>
        <v>°C</v>
      </c>
      <c r="H17" s="94">
        <f>F17*9/5</f>
        <v>79.726886291328171</v>
      </c>
      <c r="I17" s="68" t="s">
        <v>466</v>
      </c>
    </row>
    <row r="21" spans="1:9" ht="15.6">
      <c r="A21" s="68" t="s">
        <v>432</v>
      </c>
      <c r="B21" s="68" t="s">
        <v>431</v>
      </c>
      <c r="C21" s="68" t="s">
        <v>338</v>
      </c>
      <c r="D21" s="81">
        <f>H5</f>
        <v>3.2774000000000001</v>
      </c>
      <c r="E21" s="70" t="s">
        <v>352</v>
      </c>
      <c r="F21" s="79">
        <f>J5</f>
        <v>3.2773999999999997E-6</v>
      </c>
      <c r="G21" s="70" t="s">
        <v>342</v>
      </c>
      <c r="H21" s="70"/>
    </row>
    <row r="22" spans="1:9" ht="15.6">
      <c r="B22" s="68" t="s">
        <v>430</v>
      </c>
      <c r="C22" s="68" t="s">
        <v>183</v>
      </c>
      <c r="D22" s="71">
        <f>J11</f>
        <v>6.2052815610000005</v>
      </c>
      <c r="E22" s="68" t="s">
        <v>175</v>
      </c>
      <c r="F22" s="69">
        <f>F33</f>
        <v>89.976582634500005</v>
      </c>
      <c r="G22" s="68" t="s">
        <v>331</v>
      </c>
    </row>
    <row r="23" spans="1:9" ht="15.6">
      <c r="B23" s="68" t="s">
        <v>429</v>
      </c>
      <c r="C23" s="68" t="s">
        <v>173</v>
      </c>
      <c r="D23" s="78">
        <f>F12</f>
        <v>204.44444444444446</v>
      </c>
      <c r="E23" s="68" t="str">
        <f>G12</f>
        <v>°C</v>
      </c>
    </row>
    <row r="24" spans="1:9" ht="15.6">
      <c r="B24" s="68" t="s">
        <v>428</v>
      </c>
      <c r="C24" s="68" t="s">
        <v>336</v>
      </c>
      <c r="D24" s="79">
        <f>F14*F21</f>
        <v>9.534696613881878E-6</v>
      </c>
      <c r="E24" s="68" t="s">
        <v>347</v>
      </c>
      <c r="F24" s="79">
        <f>D24*1000</f>
        <v>9.5346966138818781E-3</v>
      </c>
      <c r="G24" s="68" t="s">
        <v>281</v>
      </c>
    </row>
    <row r="25" spans="1:9" ht="15.6">
      <c r="B25" s="68" t="s">
        <v>427</v>
      </c>
      <c r="C25" s="68" t="s">
        <v>172</v>
      </c>
      <c r="D25" s="79">
        <f>F13*D24</f>
        <v>2.7262933888233341E-2</v>
      </c>
      <c r="E25" s="68" t="s">
        <v>327</v>
      </c>
      <c r="F25" s="94">
        <f>D25*1000</f>
        <v>27.262933888233341</v>
      </c>
      <c r="G25" s="68" t="s">
        <v>286</v>
      </c>
      <c r="H25" s="68" t="s">
        <v>414</v>
      </c>
    </row>
    <row r="26" spans="1:9" ht="15.6">
      <c r="B26" s="68" t="s">
        <v>426</v>
      </c>
      <c r="C26" s="68" t="s">
        <v>329</v>
      </c>
      <c r="D26" s="78">
        <f>F13</f>
        <v>2859.3394202538484</v>
      </c>
      <c r="E26" s="68" t="s">
        <v>168</v>
      </c>
      <c r="F26" s="78">
        <f>D26*1000</f>
        <v>2859339.4202538482</v>
      </c>
      <c r="G26" s="68" t="s">
        <v>425</v>
      </c>
    </row>
    <row r="27" spans="1:9" ht="15.6">
      <c r="B27" s="68" t="s">
        <v>424</v>
      </c>
      <c r="C27" s="68" t="s">
        <v>333</v>
      </c>
      <c r="D27" s="71">
        <f>F15</f>
        <v>6.9715816858460418</v>
      </c>
      <c r="E27" s="68" t="s">
        <v>215</v>
      </c>
      <c r="F27" s="88"/>
    </row>
    <row r="29" spans="1:9">
      <c r="C29" s="68" t="s">
        <v>423</v>
      </c>
      <c r="D29" s="75">
        <v>60</v>
      </c>
      <c r="E29" s="68" t="s">
        <v>205</v>
      </c>
    </row>
    <row r="30" spans="1:9">
      <c r="C30" s="68" t="s">
        <v>422</v>
      </c>
      <c r="D30" s="89">
        <v>10</v>
      </c>
      <c r="E30" s="68" t="s">
        <v>205</v>
      </c>
      <c r="F30" s="68" t="s">
        <v>421</v>
      </c>
    </row>
    <row r="32" spans="1:9" ht="15.6">
      <c r="A32" s="68" t="s">
        <v>420</v>
      </c>
      <c r="B32" s="68" t="s">
        <v>419</v>
      </c>
      <c r="C32" s="68" t="s">
        <v>338</v>
      </c>
      <c r="D32" s="74">
        <f>H5+(D29/100)*H6</f>
        <v>29.339899187379796</v>
      </c>
      <c r="E32" s="68" t="s">
        <v>352</v>
      </c>
      <c r="F32" s="79">
        <f>J5+(D29/100)*J6</f>
        <v>2.9339899187379792E-5</v>
      </c>
      <c r="G32" s="68" t="s">
        <v>342</v>
      </c>
    </row>
    <row r="33" spans="1:15" ht="15.6">
      <c r="B33" s="68" t="s">
        <v>418</v>
      </c>
      <c r="C33" s="68" t="str">
        <f>C22</f>
        <v>Pressure</v>
      </c>
      <c r="D33" s="71">
        <f>D22</f>
        <v>6.2052815610000005</v>
      </c>
      <c r="E33" s="68" t="s">
        <v>175</v>
      </c>
      <c r="F33" s="94">
        <f>D33*14.5</f>
        <v>89.976582634500005</v>
      </c>
      <c r="G33" s="68" t="s">
        <v>331</v>
      </c>
    </row>
    <row r="34" spans="1:15" ht="15.6">
      <c r="B34" s="68" t="s">
        <v>417</v>
      </c>
      <c r="C34" s="68" t="str">
        <f>C23</f>
        <v>Temperature</v>
      </c>
      <c r="D34" s="78">
        <f>D23</f>
        <v>204.44444444444446</v>
      </c>
      <c r="E34" s="68" t="str">
        <f>E23</f>
        <v>°C</v>
      </c>
    </row>
    <row r="35" spans="1:15" ht="15.6">
      <c r="B35" s="68" t="s">
        <v>416</v>
      </c>
      <c r="C35" s="68" t="s">
        <v>336</v>
      </c>
      <c r="D35" s="79">
        <f>F32*F14</f>
        <v>8.5356391479082753E-5</v>
      </c>
      <c r="E35" s="68" t="s">
        <v>347</v>
      </c>
      <c r="F35" s="79">
        <f>D35*1000</f>
        <v>8.5356391479082749E-2</v>
      </c>
      <c r="G35" s="68" t="s">
        <v>281</v>
      </c>
    </row>
    <row r="36" spans="1:15" ht="15.6">
      <c r="B36" s="68" t="s">
        <v>415</v>
      </c>
      <c r="C36" s="68" t="s">
        <v>172</v>
      </c>
      <c r="D36" s="79">
        <f>F13*D35</f>
        <v>0.244062894926761</v>
      </c>
      <c r="E36" s="68" t="s">
        <v>327</v>
      </c>
      <c r="F36" s="94">
        <f>D36*1000</f>
        <v>244.062894926761</v>
      </c>
      <c r="G36" s="68" t="s">
        <v>286</v>
      </c>
      <c r="H36" s="68" t="s">
        <v>414</v>
      </c>
    </row>
    <row r="37" spans="1:15" ht="15.6">
      <c r="B37" s="68" t="s">
        <v>413</v>
      </c>
      <c r="C37" s="68" t="s">
        <v>333</v>
      </c>
      <c r="D37" s="71">
        <f>D27</f>
        <v>6.9715816858460418</v>
      </c>
      <c r="E37" s="68" t="s">
        <v>215</v>
      </c>
      <c r="F37" s="88"/>
    </row>
    <row r="38" spans="1:15" ht="15.6">
      <c r="B38" s="68" t="s">
        <v>412</v>
      </c>
      <c r="C38" s="68" t="s">
        <v>329</v>
      </c>
      <c r="D38" s="78">
        <f>F13</f>
        <v>2859.3394202538484</v>
      </c>
      <c r="E38" s="88" t="str">
        <f>G13</f>
        <v>kJ/kg</v>
      </c>
      <c r="F38" s="88"/>
    </row>
    <row r="39" spans="1:15" ht="15.6">
      <c r="B39" s="68" t="s">
        <v>411</v>
      </c>
      <c r="C39" s="68" t="s">
        <v>410</v>
      </c>
      <c r="D39" s="71">
        <f>Cp_ps(D33,D37)</f>
        <v>2.1909446235255969</v>
      </c>
      <c r="E39" s="88" t="s">
        <v>407</v>
      </c>
      <c r="F39" s="88"/>
      <c r="H39" s="68" t="s">
        <v>406</v>
      </c>
    </row>
    <row r="40" spans="1:15" ht="15.6">
      <c r="B40" s="68" t="s">
        <v>409</v>
      </c>
      <c r="C40" s="68" t="s">
        <v>408</v>
      </c>
      <c r="D40" s="71">
        <f>Cv_ps(D33,D37)</f>
        <v>1.6218810891210029</v>
      </c>
      <c r="E40" s="88" t="s">
        <v>407</v>
      </c>
      <c r="F40" s="88"/>
      <c r="H40" s="68" t="s">
        <v>406</v>
      </c>
      <c r="N40" s="68" t="s">
        <v>405</v>
      </c>
      <c r="O40" s="68" t="s">
        <v>404</v>
      </c>
    </row>
    <row r="41" spans="1:15">
      <c r="C41" s="68" t="s">
        <v>367</v>
      </c>
      <c r="D41" s="82">
        <f>x_ph(D33,D38)</f>
        <v>1</v>
      </c>
      <c r="E41" s="88"/>
      <c r="F41" s="88"/>
      <c r="M41" s="68" t="s">
        <v>391</v>
      </c>
      <c r="N41" s="68">
        <f>D21</f>
        <v>3.2774000000000001</v>
      </c>
      <c r="O41" s="68">
        <f>F22</f>
        <v>89.976582634500005</v>
      </c>
    </row>
    <row r="42" spans="1:15">
      <c r="M42" s="68" t="s">
        <v>403</v>
      </c>
      <c r="N42" s="68">
        <f>D32</f>
        <v>29.339899187379796</v>
      </c>
      <c r="O42" s="68">
        <f>F33</f>
        <v>89.976582634500005</v>
      </c>
    </row>
    <row r="43" spans="1:15">
      <c r="A43" s="68" t="s">
        <v>305</v>
      </c>
      <c r="C43" s="68" t="s">
        <v>402</v>
      </c>
      <c r="D43" s="71">
        <f>D32-D21</f>
        <v>26.062499187379796</v>
      </c>
      <c r="E43" s="68" t="str">
        <f>E32</f>
        <v>cm3</v>
      </c>
      <c r="F43" s="79">
        <f>F32-F21</f>
        <v>2.6062499187379792E-5</v>
      </c>
      <c r="G43" s="68" t="str">
        <f>G32</f>
        <v>m3</v>
      </c>
      <c r="H43" s="68" t="s">
        <v>401</v>
      </c>
      <c r="M43" s="68" t="s">
        <v>400</v>
      </c>
      <c r="N43" s="68">
        <f>D61</f>
        <v>46.714898645632992</v>
      </c>
      <c r="O43" s="68">
        <f>F66</f>
        <v>48.993024324135682</v>
      </c>
    </row>
    <row r="44" spans="1:15">
      <c r="C44" s="68" t="s">
        <v>183</v>
      </c>
      <c r="D44" s="71">
        <f>D22</f>
        <v>6.2052815610000005</v>
      </c>
      <c r="E44" s="68" t="s">
        <v>175</v>
      </c>
      <c r="F44" s="78">
        <f>D44*100000</f>
        <v>620528.15610000002</v>
      </c>
      <c r="G44" s="68" t="s">
        <v>399</v>
      </c>
      <c r="M44" s="68" t="s">
        <v>398</v>
      </c>
      <c r="N44" s="68">
        <f>D78</f>
        <v>46.714898645632992</v>
      </c>
      <c r="O44" s="68">
        <f>H79</f>
        <v>14.996097105750001</v>
      </c>
    </row>
    <row r="45" spans="1:15" ht="15.6">
      <c r="B45" s="68" t="s">
        <v>397</v>
      </c>
      <c r="C45" s="68" t="s">
        <v>313</v>
      </c>
      <c r="D45" s="94">
        <f>F44*F43</f>
        <v>16.172514564102531</v>
      </c>
      <c r="E45" s="68" t="s">
        <v>286</v>
      </c>
      <c r="H45" s="68" t="s">
        <v>396</v>
      </c>
      <c r="M45" s="68" t="s">
        <v>395</v>
      </c>
      <c r="N45" s="68">
        <f>F92</f>
        <v>7.6211498645632982</v>
      </c>
      <c r="O45" s="68">
        <f>F93</f>
        <v>14.996097105750001</v>
      </c>
    </row>
    <row r="46" spans="1:15">
      <c r="M46" s="68" t="s">
        <v>394</v>
      </c>
      <c r="N46" s="68">
        <f>H104</f>
        <v>3.2774000000000001</v>
      </c>
      <c r="O46" s="68">
        <f>F108</f>
        <v>45.328903441523188</v>
      </c>
    </row>
    <row r="47" spans="1:15">
      <c r="A47" s="68" t="s">
        <v>310</v>
      </c>
      <c r="C47" s="68" t="s">
        <v>393</v>
      </c>
      <c r="D47" s="71">
        <f>D39/D40</f>
        <v>1.3508663725236507</v>
      </c>
      <c r="H47" s="68" t="s">
        <v>392</v>
      </c>
      <c r="M47" s="68" t="s">
        <v>391</v>
      </c>
      <c r="N47" s="68">
        <f>N41</f>
        <v>3.2774000000000001</v>
      </c>
      <c r="O47" s="68">
        <f>O41</f>
        <v>89.976582634500005</v>
      </c>
    </row>
    <row r="48" spans="1:15" ht="15.6">
      <c r="C48" s="68" t="s">
        <v>390</v>
      </c>
      <c r="D48" s="71">
        <f>D33*(F32/F61)^D47</f>
        <v>3.3104788394915414</v>
      </c>
      <c r="E48" s="68" t="s">
        <v>175</v>
      </c>
      <c r="H48" s="68" t="s">
        <v>389</v>
      </c>
    </row>
    <row r="49" spans="1:8">
      <c r="C49" s="68" t="s">
        <v>388</v>
      </c>
      <c r="D49" s="74">
        <f>h_ps(D48,D37)</f>
        <v>2734.7277164745519</v>
      </c>
      <c r="E49" s="68" t="s">
        <v>168</v>
      </c>
      <c r="H49" s="68" t="s">
        <v>385</v>
      </c>
    </row>
    <row r="50" spans="1:8" ht="15.6">
      <c r="C50" s="68" t="s">
        <v>387</v>
      </c>
      <c r="D50" s="71">
        <f>p_hrho(D49,D62)</f>
        <v>3.3634739976027426</v>
      </c>
      <c r="E50" s="68" t="s">
        <v>175</v>
      </c>
      <c r="H50" s="68" t="s">
        <v>383</v>
      </c>
    </row>
    <row r="51" spans="1:8">
      <c r="C51" s="68" t="s">
        <v>386</v>
      </c>
      <c r="D51" s="78">
        <f>h_ps(D50,D37)</f>
        <v>2737.6556102029654</v>
      </c>
      <c r="E51" s="68" t="s">
        <v>168</v>
      </c>
      <c r="H51" s="68" t="s">
        <v>385</v>
      </c>
    </row>
    <row r="52" spans="1:8" ht="15.6">
      <c r="C52" s="68" t="s">
        <v>384</v>
      </c>
      <c r="D52" s="71">
        <f>p_hrho(D51,D62)</f>
        <v>3.3759257638158271</v>
      </c>
      <c r="E52" s="68" t="s">
        <v>175</v>
      </c>
      <c r="H52" s="68" t="s">
        <v>383</v>
      </c>
    </row>
    <row r="53" spans="1:8">
      <c r="C53" s="68" t="s">
        <v>382</v>
      </c>
      <c r="D53" s="78">
        <f>h_ps(D52,D37)</f>
        <v>2738.3383873393586</v>
      </c>
      <c r="E53" s="68" t="s">
        <v>168</v>
      </c>
      <c r="H53" s="68" t="str">
        <f>H51</f>
        <v>Based on pressure and entropy</v>
      </c>
    </row>
    <row r="54" spans="1:8" ht="15.6">
      <c r="C54" s="68" t="s">
        <v>381</v>
      </c>
      <c r="D54" s="71">
        <f>p_hrho(D53,D62)</f>
        <v>3.3788292637334951</v>
      </c>
      <c r="E54" s="68" t="s">
        <v>175</v>
      </c>
      <c r="H54" s="68" t="str">
        <f>H52</f>
        <v>Based on enthalpy and density</v>
      </c>
    </row>
    <row r="55" spans="1:8">
      <c r="D55" s="70"/>
    </row>
    <row r="56" spans="1:8" ht="15.6">
      <c r="B56" s="68" t="s">
        <v>380</v>
      </c>
      <c r="C56" s="68" t="s">
        <v>313</v>
      </c>
      <c r="D56" s="73">
        <f>F36-F68</f>
        <v>10.328211534822543</v>
      </c>
      <c r="E56" s="68" t="s">
        <v>286</v>
      </c>
    </row>
    <row r="61" spans="1:8" ht="15.6">
      <c r="A61" s="68" t="s">
        <v>379</v>
      </c>
      <c r="B61" s="68" t="s">
        <v>378</v>
      </c>
      <c r="C61" s="68" t="s">
        <v>338</v>
      </c>
      <c r="D61" s="74">
        <f>H7</f>
        <v>46.714898645632992</v>
      </c>
      <c r="E61" s="68" t="str">
        <f>I7</f>
        <v>cm3</v>
      </c>
      <c r="F61" s="79">
        <f>J7</f>
        <v>4.6714898645632992E-5</v>
      </c>
      <c r="G61" s="68" t="str">
        <f>K7</f>
        <v>m3</v>
      </c>
    </row>
    <row r="62" spans="1:8" ht="15.6">
      <c r="B62" s="68" t="s">
        <v>377</v>
      </c>
      <c r="C62" s="68" t="s">
        <v>178</v>
      </c>
      <c r="D62" s="87">
        <f>(F14*F32)/F61</f>
        <v>1.827177066712143</v>
      </c>
      <c r="E62" s="68" t="s">
        <v>174</v>
      </c>
    </row>
    <row r="63" spans="1:8" ht="15.6">
      <c r="B63" s="68" t="s">
        <v>376</v>
      </c>
      <c r="C63" s="68" t="s">
        <v>375</v>
      </c>
      <c r="D63" s="71">
        <f>D62^-1</f>
        <v>0.54729233319429682</v>
      </c>
      <c r="E63" s="68" t="s">
        <v>169</v>
      </c>
    </row>
    <row r="64" spans="1:8" ht="15.6">
      <c r="B64" s="68" t="s">
        <v>374</v>
      </c>
      <c r="C64" s="68" t="s">
        <v>150</v>
      </c>
      <c r="D64" s="71">
        <f>D37</f>
        <v>6.9715816858460418</v>
      </c>
      <c r="E64" s="68" t="str">
        <f>E37</f>
        <v>kJ/kgK</v>
      </c>
      <c r="H64" s="68" t="s">
        <v>373</v>
      </c>
    </row>
    <row r="65" spans="1:9" ht="15.6">
      <c r="B65" s="68" t="s">
        <v>372</v>
      </c>
      <c r="C65" s="68" t="str">
        <f>C35</f>
        <v>Mass of Steam</v>
      </c>
      <c r="D65" s="79">
        <f>D35</f>
        <v>8.5356391479082753E-5</v>
      </c>
      <c r="E65" s="68" t="str">
        <f>E35</f>
        <v>kg</v>
      </c>
      <c r="F65" s="79">
        <f>F35</f>
        <v>8.5356391479082749E-2</v>
      </c>
      <c r="G65" s="68" t="str">
        <f>G35</f>
        <v>g</v>
      </c>
    </row>
    <row r="66" spans="1:9" ht="15.6">
      <c r="B66" s="68" t="s">
        <v>371</v>
      </c>
      <c r="C66" s="68" t="s">
        <v>183</v>
      </c>
      <c r="D66" s="71">
        <f>D54</f>
        <v>3.3788292637334951</v>
      </c>
      <c r="E66" s="68" t="s">
        <v>175</v>
      </c>
      <c r="F66" s="94">
        <f>D66*14.5</f>
        <v>48.993024324135682</v>
      </c>
      <c r="G66" s="68" t="s">
        <v>331</v>
      </c>
    </row>
    <row r="67" spans="1:9" ht="15.6">
      <c r="B67" s="68" t="s">
        <v>370</v>
      </c>
      <c r="C67" s="68" t="s">
        <v>329</v>
      </c>
      <c r="D67" s="78">
        <f>D53</f>
        <v>2738.3383873393586</v>
      </c>
      <c r="E67" s="68" t="s">
        <v>168</v>
      </c>
    </row>
    <row r="68" spans="1:9" ht="15.6">
      <c r="B68" s="68" t="s">
        <v>369</v>
      </c>
      <c r="C68" s="68" t="s">
        <v>172</v>
      </c>
      <c r="D68" s="81">
        <f>D67*D65</f>
        <v>0.23373468339193845</v>
      </c>
      <c r="E68" s="68" t="s">
        <v>327</v>
      </c>
      <c r="F68" s="94">
        <f>D68*1000</f>
        <v>233.73468339193846</v>
      </c>
      <c r="G68" s="68" t="s">
        <v>286</v>
      </c>
    </row>
    <row r="69" spans="1:9" ht="15.6">
      <c r="B69" s="68" t="s">
        <v>368</v>
      </c>
      <c r="C69" s="68" t="s">
        <v>173</v>
      </c>
      <c r="D69" s="74">
        <f>T_ph(D66,D67)</f>
        <v>141.13760255535198</v>
      </c>
      <c r="E69" s="68" t="str">
        <f>E34</f>
        <v>°C</v>
      </c>
      <c r="H69" s="85"/>
    </row>
    <row r="70" spans="1:9">
      <c r="C70" s="68" t="s">
        <v>367</v>
      </c>
      <c r="D70" s="86">
        <f>x_ph(D66,D67)</f>
        <v>1</v>
      </c>
    </row>
    <row r="71" spans="1:9" ht="15.6">
      <c r="B71" s="68" t="s">
        <v>411</v>
      </c>
      <c r="C71" s="68" t="s">
        <v>410</v>
      </c>
      <c r="D71" s="98">
        <f>IFERROR(Cp_ph(D66,D67),CpV_p(D66))</f>
        <v>2.2580658093048935</v>
      </c>
      <c r="E71" s="88" t="s">
        <v>407</v>
      </c>
      <c r="H71" s="68" t="s">
        <v>463</v>
      </c>
    </row>
    <row r="72" spans="1:9" ht="15.6">
      <c r="B72" s="68" t="s">
        <v>409</v>
      </c>
      <c r="C72" s="68" t="s">
        <v>408</v>
      </c>
      <c r="D72" s="98">
        <f>IFERROR(Cv_ph(D66,D67),CvV_p(D66))</f>
        <v>1.6655907684849343</v>
      </c>
      <c r="E72" s="88" t="s">
        <v>407</v>
      </c>
    </row>
    <row r="78" spans="1:9" ht="15.6">
      <c r="A78" s="68" t="s">
        <v>366</v>
      </c>
      <c r="B78" s="68" t="s">
        <v>365</v>
      </c>
      <c r="C78" s="68" t="s">
        <v>338</v>
      </c>
      <c r="D78" s="74">
        <f>D61</f>
        <v>46.714898645632992</v>
      </c>
      <c r="E78" s="68" t="str">
        <f>E61</f>
        <v>cm3</v>
      </c>
      <c r="F78" s="79">
        <f>F61</f>
        <v>4.6714898645632992E-5</v>
      </c>
      <c r="G78" s="68" t="str">
        <f>G61</f>
        <v>m3</v>
      </c>
    </row>
    <row r="79" spans="1:9" ht="15.6">
      <c r="B79" s="68" t="s">
        <v>364</v>
      </c>
      <c r="C79" s="68" t="s">
        <v>183</v>
      </c>
      <c r="D79" s="71">
        <f>J16</f>
        <v>1.0342135935000001</v>
      </c>
      <c r="E79" s="68" t="s">
        <v>175</v>
      </c>
      <c r="F79" s="97">
        <f>D79*100000</f>
        <v>103421.35935000001</v>
      </c>
      <c r="G79" s="68" t="s">
        <v>363</v>
      </c>
      <c r="H79" s="94">
        <f>D79*14.5</f>
        <v>14.996097105750001</v>
      </c>
      <c r="I79" s="68" t="s">
        <v>331</v>
      </c>
    </row>
    <row r="80" spans="1:9" ht="15.6">
      <c r="B80" s="68" t="s">
        <v>362</v>
      </c>
      <c r="C80" s="68" t="s">
        <v>329</v>
      </c>
      <c r="D80" s="78">
        <f>D67</f>
        <v>2738.3383873393586</v>
      </c>
      <c r="E80" s="68" t="str">
        <f>E67</f>
        <v>kJ/kg</v>
      </c>
    </row>
    <row r="81" spans="1:7" ht="15.6">
      <c r="B81" s="68" t="s">
        <v>361</v>
      </c>
      <c r="C81" s="68" t="s">
        <v>173</v>
      </c>
      <c r="D81" s="74">
        <f>T_ph(D79,D80)</f>
        <v>130.95991054453538</v>
      </c>
      <c r="E81" s="68" t="str">
        <f>E69</f>
        <v>°C</v>
      </c>
    </row>
    <row r="82" spans="1:7" ht="15.6">
      <c r="B82" s="68" t="s">
        <v>360</v>
      </c>
      <c r="C82" s="68" t="s">
        <v>178</v>
      </c>
      <c r="D82" s="81">
        <f>rho_ph(D79,D80)</f>
        <v>0.56047486991759043</v>
      </c>
      <c r="E82" s="68" t="str">
        <f>E62</f>
        <v>kg/m3</v>
      </c>
    </row>
    <row r="83" spans="1:7" ht="15.6">
      <c r="B83" s="68" t="s">
        <v>359</v>
      </c>
      <c r="C83" s="68" t="s">
        <v>336</v>
      </c>
      <c r="D83" s="79">
        <f>D82*F78</f>
        <v>2.6182526741624572E-5</v>
      </c>
      <c r="E83" s="68" t="s">
        <v>347</v>
      </c>
      <c r="F83" s="96">
        <f>D83*1000</f>
        <v>2.6182526741624572E-2</v>
      </c>
      <c r="G83" s="68" t="s">
        <v>281</v>
      </c>
    </row>
    <row r="84" spans="1:7" ht="15.6">
      <c r="B84" s="68" t="s">
        <v>358</v>
      </c>
      <c r="C84" s="68" t="s">
        <v>333</v>
      </c>
      <c r="D84" s="71">
        <f>s_ph(D79,D80)</f>
        <v>7.5067707774341335</v>
      </c>
      <c r="E84" s="68" t="str">
        <f>E98</f>
        <v>kJ/kgK</v>
      </c>
    </row>
    <row r="85" spans="1:7" ht="15.6">
      <c r="B85" s="68" t="s">
        <v>357</v>
      </c>
      <c r="C85" s="68" t="s">
        <v>172</v>
      </c>
      <c r="D85" s="81">
        <f>D80*D83</f>
        <v>7.1696618054129857E-2</v>
      </c>
      <c r="E85" s="68" t="s">
        <v>327</v>
      </c>
      <c r="F85" s="84">
        <f>D85*1000</f>
        <v>71.696618054129857</v>
      </c>
      <c r="G85" s="68" t="s">
        <v>286</v>
      </c>
    </row>
    <row r="86" spans="1:7">
      <c r="C86" s="68" t="s">
        <v>367</v>
      </c>
      <c r="D86" s="99">
        <f>x_ph(D79,D80)</f>
        <v>1</v>
      </c>
    </row>
    <row r="88" spans="1:7" ht="15.6">
      <c r="A88" s="68" t="s">
        <v>301</v>
      </c>
      <c r="B88" s="68" t="s">
        <v>356</v>
      </c>
      <c r="C88" s="68" t="s">
        <v>355</v>
      </c>
      <c r="D88" s="84">
        <f>F68-F85</f>
        <v>162.0380653378086</v>
      </c>
      <c r="E88" s="68" t="s">
        <v>286</v>
      </c>
    </row>
    <row r="92" spans="1:7" ht="15.6">
      <c r="A92" s="68" t="s">
        <v>354</v>
      </c>
      <c r="B92" s="68" t="s">
        <v>353</v>
      </c>
      <c r="C92" s="68" t="s">
        <v>338</v>
      </c>
      <c r="D92" s="79">
        <f>J5+J6*D30/100</f>
        <v>7.6211498645632983E-6</v>
      </c>
      <c r="E92" s="68" t="s">
        <v>342</v>
      </c>
      <c r="F92" s="95">
        <f>D92*1000000</f>
        <v>7.6211498645632982</v>
      </c>
      <c r="G92" s="68" t="s">
        <v>352</v>
      </c>
    </row>
    <row r="93" spans="1:7" ht="15.6">
      <c r="B93" s="68" t="s">
        <v>351</v>
      </c>
      <c r="C93" s="68" t="s">
        <v>183</v>
      </c>
      <c r="D93" s="71">
        <f>D79</f>
        <v>1.0342135935000001</v>
      </c>
      <c r="E93" s="68" t="s">
        <v>175</v>
      </c>
      <c r="F93" s="94">
        <f>D93*14.5</f>
        <v>14.996097105750001</v>
      </c>
      <c r="G93" s="68" t="s">
        <v>331</v>
      </c>
    </row>
    <row r="94" spans="1:7" ht="15.6">
      <c r="B94" s="68" t="s">
        <v>350</v>
      </c>
      <c r="C94" s="68" t="s">
        <v>173</v>
      </c>
      <c r="D94" s="74">
        <f>D81</f>
        <v>130.95991054453538</v>
      </c>
      <c r="E94" s="68" t="str">
        <f>E81</f>
        <v>°C</v>
      </c>
    </row>
    <row r="95" spans="1:7" ht="15.6">
      <c r="B95" s="68" t="s">
        <v>349</v>
      </c>
      <c r="C95" s="68" t="s">
        <v>178</v>
      </c>
      <c r="D95" s="81">
        <f>D82</f>
        <v>0.56047486991759043</v>
      </c>
      <c r="E95" s="68" t="str">
        <f>E82</f>
        <v>kg/m3</v>
      </c>
    </row>
    <row r="96" spans="1:7" ht="15.6">
      <c r="B96" s="68" t="s">
        <v>348</v>
      </c>
      <c r="C96" s="68" t="s">
        <v>336</v>
      </c>
      <c r="D96" s="79">
        <f>D95*D92</f>
        <v>4.2714629789635769E-6</v>
      </c>
      <c r="E96" s="68" t="s">
        <v>347</v>
      </c>
      <c r="F96" s="96">
        <f>D96*1000</f>
        <v>4.271462978963577E-3</v>
      </c>
      <c r="G96" s="68" t="s">
        <v>281</v>
      </c>
    </row>
    <row r="97" spans="1:11" ht="15.6">
      <c r="B97" s="68" t="s">
        <v>346</v>
      </c>
      <c r="C97" s="68" t="s">
        <v>329</v>
      </c>
      <c r="D97" s="78">
        <f>h_prho(D93,D95)</f>
        <v>2738.3301294643557</v>
      </c>
      <c r="E97" s="68" t="str">
        <f>E80</f>
        <v>kJ/kg</v>
      </c>
    </row>
    <row r="98" spans="1:11" ht="15.6">
      <c r="B98" s="68" t="s">
        <v>345</v>
      </c>
      <c r="C98" s="68" t="s">
        <v>333</v>
      </c>
      <c r="D98" s="71">
        <f>s_ph(D93,D97)</f>
        <v>7.506750334951473</v>
      </c>
      <c r="E98" s="68" t="str">
        <f>E64</f>
        <v>kJ/kgK</v>
      </c>
    </row>
    <row r="99" spans="1:11" ht="15.6">
      <c r="B99" s="68" t="s">
        <v>344</v>
      </c>
      <c r="C99" s="68" t="s">
        <v>172</v>
      </c>
      <c r="D99" s="81">
        <f>D97*D96</f>
        <v>1.1696675772187535E-2</v>
      </c>
      <c r="E99" s="68" t="s">
        <v>327</v>
      </c>
      <c r="F99" s="84">
        <f>D99*1000</f>
        <v>11.696675772187534</v>
      </c>
      <c r="G99" s="68" t="s">
        <v>286</v>
      </c>
    </row>
    <row r="101" spans="1:11">
      <c r="A101" s="68" t="s">
        <v>300</v>
      </c>
      <c r="C101" s="68" t="s">
        <v>343</v>
      </c>
      <c r="D101" s="79">
        <f>D92-F78</f>
        <v>-3.9093748781069693E-5</v>
      </c>
      <c r="E101" s="68" t="s">
        <v>342</v>
      </c>
    </row>
    <row r="102" spans="1:11" ht="15.6">
      <c r="B102" s="68" t="s">
        <v>341</v>
      </c>
      <c r="C102" s="68" t="s">
        <v>313</v>
      </c>
      <c r="D102" s="84">
        <f>D101*F79</f>
        <v>-4.0431286410256337</v>
      </c>
      <c r="E102" s="68" t="s">
        <v>286</v>
      </c>
    </row>
    <row r="104" spans="1:11" ht="15.6">
      <c r="A104" s="68" t="s">
        <v>340</v>
      </c>
      <c r="B104" s="68" t="s">
        <v>339</v>
      </c>
      <c r="C104" s="68" t="s">
        <v>338</v>
      </c>
      <c r="D104" s="81">
        <f t="shared" ref="D104:K104" si="0">D5</f>
        <v>0.2</v>
      </c>
      <c r="E104" s="68" t="str">
        <f t="shared" si="0"/>
        <v>in3</v>
      </c>
      <c r="F104" s="78">
        <f t="shared" si="0"/>
        <v>3277.4</v>
      </c>
      <c r="G104" s="68" t="str">
        <f t="shared" si="0"/>
        <v>mm3</v>
      </c>
      <c r="H104" s="74">
        <f t="shared" si="0"/>
        <v>3.2774000000000001</v>
      </c>
      <c r="I104" s="68" t="str">
        <f t="shared" si="0"/>
        <v>cm3</v>
      </c>
      <c r="J104" s="79">
        <f t="shared" si="0"/>
        <v>3.2773999999999997E-6</v>
      </c>
      <c r="K104" s="68" t="str">
        <f t="shared" si="0"/>
        <v>m3</v>
      </c>
    </row>
    <row r="105" spans="1:11" ht="15.6">
      <c r="B105" s="68" t="s">
        <v>337</v>
      </c>
      <c r="C105" s="68" t="s">
        <v>336</v>
      </c>
      <c r="D105" s="79">
        <f>D96</f>
        <v>4.2714629789635769E-6</v>
      </c>
      <c r="E105" s="68" t="str">
        <f>E96</f>
        <v>kg</v>
      </c>
      <c r="F105" s="79">
        <f>F96</f>
        <v>4.271462978963577E-3</v>
      </c>
      <c r="G105" s="68" t="str">
        <f>G96</f>
        <v>g</v>
      </c>
    </row>
    <row r="106" spans="1:11" ht="15.6">
      <c r="B106" s="68" t="s">
        <v>335</v>
      </c>
      <c r="C106" s="68" t="s">
        <v>178</v>
      </c>
      <c r="D106" s="72">
        <f>D105/J104</f>
        <v>1.3033084087885449</v>
      </c>
      <c r="E106" s="68" t="str">
        <f>E95</f>
        <v>kg/m3</v>
      </c>
    </row>
    <row r="107" spans="1:11" ht="15.6">
      <c r="B107" s="68" t="s">
        <v>334</v>
      </c>
      <c r="C107" s="68" t="s">
        <v>333</v>
      </c>
      <c r="D107" s="71">
        <f>D98</f>
        <v>7.506750334951473</v>
      </c>
      <c r="E107" s="68" t="str">
        <f>E98</f>
        <v>kJ/kgK</v>
      </c>
    </row>
    <row r="108" spans="1:11" ht="15.6">
      <c r="B108" s="68" t="s">
        <v>332</v>
      </c>
      <c r="C108" s="68" t="s">
        <v>183</v>
      </c>
      <c r="D108" s="71">
        <f>D121</f>
        <v>3.1261312718291854</v>
      </c>
      <c r="E108" s="68" t="s">
        <v>175</v>
      </c>
      <c r="F108" s="69">
        <f>D108*14.5</f>
        <v>45.328903441523188</v>
      </c>
      <c r="G108" s="68" t="s">
        <v>331</v>
      </c>
    </row>
    <row r="109" spans="1:11" ht="15.6">
      <c r="B109" s="68" t="s">
        <v>330</v>
      </c>
      <c r="C109" s="68" t="s">
        <v>329</v>
      </c>
      <c r="D109" s="78">
        <f>D122</f>
        <v>2971.8444219191479</v>
      </c>
      <c r="E109" s="68" t="s">
        <v>168</v>
      </c>
    </row>
    <row r="110" spans="1:11" ht="15.6">
      <c r="B110" s="68" t="s">
        <v>328</v>
      </c>
      <c r="C110" s="68" t="s">
        <v>172</v>
      </c>
      <c r="D110" s="79">
        <f>D109*D105</f>
        <v>1.2694123427467053E-2</v>
      </c>
      <c r="E110" s="68" t="s">
        <v>327</v>
      </c>
      <c r="F110" s="84">
        <f>D110*1000</f>
        <v>12.694123427467053</v>
      </c>
      <c r="G110" s="68" t="s">
        <v>286</v>
      </c>
    </row>
    <row r="112" spans="1:11">
      <c r="A112" s="68" t="s">
        <v>309</v>
      </c>
      <c r="C112" s="68" t="s">
        <v>326</v>
      </c>
      <c r="D112" s="71">
        <f>D47</f>
        <v>1.3508663725236507</v>
      </c>
      <c r="G112" s="68" t="s">
        <v>325</v>
      </c>
    </row>
    <row r="113" spans="1:5">
      <c r="C113" s="68" t="s">
        <v>324</v>
      </c>
      <c r="D113" s="71">
        <f>D93*(D92/J104)^D112</f>
        <v>3.2336326429240949</v>
      </c>
      <c r="E113" s="68" t="s">
        <v>175</v>
      </c>
    </row>
    <row r="114" spans="1:5">
      <c r="C114" s="68" t="s">
        <v>323</v>
      </c>
      <c r="D114" s="78">
        <f>h_ps(D113,D107)</f>
        <v>2979.9852488679926</v>
      </c>
      <c r="E114" s="68" t="str">
        <f>E97</f>
        <v>kJ/kg</v>
      </c>
    </row>
    <row r="115" spans="1:5">
      <c r="C115" s="68" t="s">
        <v>322</v>
      </c>
      <c r="D115" s="71">
        <f>p_hrho(D114,D106)</f>
        <v>3.1506961960796964</v>
      </c>
      <c r="E115" s="68" t="s">
        <v>175</v>
      </c>
    </row>
    <row r="116" spans="1:5">
      <c r="C116" s="68" t="s">
        <v>321</v>
      </c>
      <c r="D116" s="78">
        <f>h_ps(D115,D107)</f>
        <v>2973.723368069614</v>
      </c>
      <c r="E116" s="68" t="s">
        <v>168</v>
      </c>
    </row>
    <row r="117" spans="1:5">
      <c r="C117" s="68" t="s">
        <v>320</v>
      </c>
      <c r="D117" s="71">
        <f>p_hrho(D116,D106)</f>
        <v>3.1316048785762778</v>
      </c>
      <c r="E117" s="68" t="s">
        <v>175</v>
      </c>
    </row>
    <row r="118" spans="1:5">
      <c r="C118" s="68" t="s">
        <v>319</v>
      </c>
      <c r="D118" s="78">
        <f>h_ps(D117,D107)</f>
        <v>2972.2640700397151</v>
      </c>
      <c r="E118" s="68" t="s">
        <v>168</v>
      </c>
    </row>
    <row r="119" spans="1:5">
      <c r="C119" s="68" t="s">
        <v>318</v>
      </c>
      <c r="D119" s="71">
        <f>p_hrho(D118,D106)</f>
        <v>3.1271687017182996</v>
      </c>
      <c r="E119" s="68" t="s">
        <v>175</v>
      </c>
    </row>
    <row r="120" spans="1:5">
      <c r="C120" s="68" t="s">
        <v>317</v>
      </c>
      <c r="D120" s="78">
        <f>h_ps(D119,D107)</f>
        <v>2971.9240023854964</v>
      </c>
      <c r="E120" s="68" t="s">
        <v>168</v>
      </c>
    </row>
    <row r="121" spans="1:5">
      <c r="C121" s="68" t="s">
        <v>316</v>
      </c>
      <c r="D121" s="71">
        <f>p_hrho(D120,D106)</f>
        <v>3.1261312718291854</v>
      </c>
      <c r="E121" s="68" t="s">
        <v>175</v>
      </c>
    </row>
    <row r="122" spans="1:5">
      <c r="C122" s="68" t="s">
        <v>315</v>
      </c>
      <c r="D122" s="78">
        <f>h_ps(D121,D107)</f>
        <v>2971.8444219191479</v>
      </c>
      <c r="E122" s="68" t="s">
        <v>168</v>
      </c>
    </row>
    <row r="124" spans="1:5" ht="15.6">
      <c r="B124" s="68" t="s">
        <v>314</v>
      </c>
      <c r="C124" s="68" t="s">
        <v>313</v>
      </c>
      <c r="D124" s="84">
        <f>F99-F110</f>
        <v>-0.99744765527951884</v>
      </c>
      <c r="E124" s="68" t="s">
        <v>286</v>
      </c>
    </row>
    <row r="126" spans="1:5" ht="15.6">
      <c r="A126" s="68" t="s">
        <v>306</v>
      </c>
      <c r="B126" s="68" t="s">
        <v>312</v>
      </c>
      <c r="C126" s="68" t="s">
        <v>307</v>
      </c>
      <c r="D126" s="84">
        <f>F25-F110</f>
        <v>14.568810460766288</v>
      </c>
      <c r="E126" s="68" t="s">
        <v>286</v>
      </c>
    </row>
    <row r="129" spans="1:8">
      <c r="A129" s="68" t="s">
        <v>311</v>
      </c>
      <c r="C129" s="68" t="s">
        <v>305</v>
      </c>
      <c r="D129" s="71">
        <f>D45</f>
        <v>16.172514564102531</v>
      </c>
      <c r="E129" s="68" t="s">
        <v>286</v>
      </c>
    </row>
    <row r="130" spans="1:8">
      <c r="C130" s="68" t="s">
        <v>310</v>
      </c>
      <c r="D130" s="71">
        <f>D56</f>
        <v>10.328211534822543</v>
      </c>
      <c r="E130" s="68" t="s">
        <v>286</v>
      </c>
    </row>
    <row r="131" spans="1:8">
      <c r="C131" s="68" t="s">
        <v>300</v>
      </c>
      <c r="D131" s="71">
        <f>D102</f>
        <v>-4.0431286410256337</v>
      </c>
      <c r="E131" s="68" t="s">
        <v>286</v>
      </c>
    </row>
    <row r="132" spans="1:8">
      <c r="C132" s="68" t="s">
        <v>309</v>
      </c>
      <c r="D132" s="71">
        <f>D124</f>
        <v>-0.99744765527951884</v>
      </c>
      <c r="E132" s="68" t="s">
        <v>286</v>
      </c>
    </row>
    <row r="134" spans="1:8">
      <c r="C134" s="68" t="s">
        <v>308</v>
      </c>
      <c r="D134" s="76">
        <f>SUM(D129:D132)</f>
        <v>21.46014980261992</v>
      </c>
      <c r="E134" s="68" t="s">
        <v>286</v>
      </c>
    </row>
    <row r="136" spans="1:8">
      <c r="A136" s="68" t="s">
        <v>307</v>
      </c>
      <c r="C136" s="68" t="s">
        <v>306</v>
      </c>
      <c r="D136" s="71">
        <f>D126</f>
        <v>14.568810460766288</v>
      </c>
      <c r="E136" s="68" t="s">
        <v>286</v>
      </c>
    </row>
    <row r="137" spans="1:8">
      <c r="C137" s="68" t="s">
        <v>305</v>
      </c>
      <c r="D137" s="71">
        <f>F36-F25+D45</f>
        <v>232.9724756026302</v>
      </c>
      <c r="E137" s="68" t="s">
        <v>286</v>
      </c>
      <c r="H137" s="68" t="s">
        <v>304</v>
      </c>
    </row>
    <row r="139" spans="1:8">
      <c r="C139" s="68" t="s">
        <v>303</v>
      </c>
      <c r="D139" s="84">
        <f>D137+D136</f>
        <v>247.54128606339648</v>
      </c>
      <c r="E139" s="68" t="s">
        <v>286</v>
      </c>
    </row>
    <row r="141" spans="1:8">
      <c r="A141" s="68" t="s">
        <v>302</v>
      </c>
      <c r="C141" s="68" t="s">
        <v>301</v>
      </c>
      <c r="D141" s="71">
        <f>D88</f>
        <v>162.0380653378086</v>
      </c>
      <c r="E141" s="68" t="s">
        <v>286</v>
      </c>
    </row>
    <row r="142" spans="1:8">
      <c r="C142" s="68" t="s">
        <v>300</v>
      </c>
      <c r="D142" s="71">
        <f>F85-F99-D102</f>
        <v>64.043070922967956</v>
      </c>
      <c r="E142" s="68" t="s">
        <v>286</v>
      </c>
      <c r="H142" s="68" t="s">
        <v>299</v>
      </c>
    </row>
    <row r="144" spans="1:8">
      <c r="C144" s="68" t="s">
        <v>298</v>
      </c>
      <c r="D144" s="76">
        <f>D141+D142</f>
        <v>226.08113626077656</v>
      </c>
      <c r="E144" s="68" t="s">
        <v>286</v>
      </c>
    </row>
    <row r="147" spans="1:8">
      <c r="C147" s="68" t="s">
        <v>297</v>
      </c>
      <c r="D147" s="83">
        <f>D134/D139</f>
        <v>8.6693214468974988E-2</v>
      </c>
      <c r="H147" s="68" t="s">
        <v>296</v>
      </c>
    </row>
    <row r="148" spans="1:8" ht="15.6">
      <c r="C148" s="68" t="s">
        <v>295</v>
      </c>
      <c r="D148" s="83">
        <f>1-(Tsat_p(J16)+273.15)/H12</f>
        <v>0.21753890540829635</v>
      </c>
      <c r="H148" s="68" t="s">
        <v>294</v>
      </c>
    </row>
    <row r="149" spans="1:8">
      <c r="C149" s="68" t="s">
        <v>293</v>
      </c>
      <c r="D149" s="82">
        <f>D147/D148</f>
        <v>0.39851820669163274</v>
      </c>
      <c r="H149" s="68" t="s">
        <v>292</v>
      </c>
    </row>
    <row r="151" spans="1:8">
      <c r="A151" s="68" t="s">
        <v>291</v>
      </c>
      <c r="C151" s="68" t="s">
        <v>247</v>
      </c>
      <c r="D151" s="75">
        <v>300</v>
      </c>
      <c r="E151" s="68" t="s">
        <v>247</v>
      </c>
      <c r="F151" s="74">
        <f>D151/60</f>
        <v>5</v>
      </c>
      <c r="G151" s="68" t="s">
        <v>290</v>
      </c>
    </row>
    <row r="152" spans="1:8">
      <c r="C152" s="68" t="s">
        <v>289</v>
      </c>
      <c r="D152" s="75">
        <v>4</v>
      </c>
      <c r="H152" s="68" t="s">
        <v>288</v>
      </c>
    </row>
    <row r="154" spans="1:8">
      <c r="C154" s="68" t="s">
        <v>287</v>
      </c>
      <c r="D154" s="71">
        <f>D134*D152</f>
        <v>85.840599210479681</v>
      </c>
      <c r="E154" s="68" t="s">
        <v>286</v>
      </c>
    </row>
    <row r="155" spans="1:8">
      <c r="C155" s="68" t="s">
        <v>285</v>
      </c>
      <c r="D155" s="69">
        <f>D154*F151</f>
        <v>429.20299605239842</v>
      </c>
      <c r="E155" s="68" t="s">
        <v>284</v>
      </c>
    </row>
    <row r="157" spans="1:8">
      <c r="C157" s="68" t="s">
        <v>283</v>
      </c>
      <c r="D157" s="76">
        <f>D155*0.00134102209</f>
        <v>0.57557069880044909</v>
      </c>
      <c r="E157" s="68" t="s">
        <v>266</v>
      </c>
    </row>
    <row r="159" spans="1:8">
      <c r="C159" s="68" t="s">
        <v>282</v>
      </c>
      <c r="D159" s="81">
        <f>F35-F105</f>
        <v>8.1084928500119169E-2</v>
      </c>
      <c r="E159" s="68" t="s">
        <v>281</v>
      </c>
      <c r="F159" s="79">
        <f>D159*0.00220462262941</f>
        <v>1.7876166827545458E-4</v>
      </c>
      <c r="G159" s="68" t="s">
        <v>280</v>
      </c>
    </row>
    <row r="160" spans="1:8">
      <c r="C160" s="68" t="s">
        <v>279</v>
      </c>
      <c r="D160" s="80">
        <f>D159*F151</f>
        <v>0.40542464250059584</v>
      </c>
      <c r="E160" s="68" t="s">
        <v>278</v>
      </c>
      <c r="F160" s="79">
        <f>F159*F151</f>
        <v>8.9380834137727286E-4</v>
      </c>
      <c r="G160" s="68" t="s">
        <v>277</v>
      </c>
    </row>
    <row r="161" spans="1:9">
      <c r="C161" s="68" t="s">
        <v>276</v>
      </c>
      <c r="D161" s="78">
        <f>D160*3600</f>
        <v>1459.528713002145</v>
      </c>
      <c r="E161" s="68" t="s">
        <v>275</v>
      </c>
      <c r="F161" s="76">
        <f>F160*3600</f>
        <v>3.2177100289581824</v>
      </c>
      <c r="G161" s="68" t="s">
        <v>274</v>
      </c>
      <c r="H161" s="101">
        <f>F161/8.34</f>
        <v>0.38581655023479405</v>
      </c>
      <c r="I161" s="68" t="s">
        <v>533</v>
      </c>
    </row>
    <row r="163" spans="1:9">
      <c r="C163" s="68" t="s">
        <v>273</v>
      </c>
      <c r="D163" s="76">
        <f>F161/D157</f>
        <v>5.5904687915215874</v>
      </c>
      <c r="E163" s="68" t="s">
        <v>272</v>
      </c>
    </row>
    <row r="165" spans="1:9">
      <c r="C165" s="68" t="s">
        <v>271</v>
      </c>
      <c r="D165" s="78">
        <f>D139*D152*F151*3600/1000</f>
        <v>17822.972596564545</v>
      </c>
      <c r="E165" s="68" t="s">
        <v>269</v>
      </c>
      <c r="F165" s="76">
        <f>D165/3600</f>
        <v>4.950825721267929</v>
      </c>
      <c r="G165" s="68" t="s">
        <v>464</v>
      </c>
      <c r="H165" s="100">
        <f>F165*3412.14</f>
        <v>16892.910476567151</v>
      </c>
      <c r="I165" s="68" t="s">
        <v>465</v>
      </c>
    </row>
    <row r="167" spans="1:9">
      <c r="C167" s="68" t="s">
        <v>270</v>
      </c>
      <c r="D167" s="78">
        <f>D144*D152*F151*3600/1000</f>
        <v>16277.841810775913</v>
      </c>
      <c r="E167" s="68" t="s">
        <v>269</v>
      </c>
      <c r="F167" s="76">
        <f>D167/3600</f>
        <v>4.5216227252155319</v>
      </c>
      <c r="G167" s="68" t="s">
        <v>464</v>
      </c>
    </row>
    <row r="169" spans="1:9">
      <c r="A169" s="68" t="s">
        <v>534</v>
      </c>
    </row>
    <row r="170" spans="1:9">
      <c r="C170" s="68" t="s">
        <v>268</v>
      </c>
      <c r="D170" s="77">
        <v>0.7</v>
      </c>
    </row>
    <row r="171" spans="1:9">
      <c r="C171" s="68" t="s">
        <v>467</v>
      </c>
      <c r="D171" s="77">
        <v>0.4</v>
      </c>
    </row>
    <row r="172" spans="1:9">
      <c r="C172" s="68" t="s">
        <v>267</v>
      </c>
      <c r="D172" s="84">
        <f>D157*D170</f>
        <v>0.40289948916031432</v>
      </c>
      <c r="E172" s="68" t="s">
        <v>266</v>
      </c>
      <c r="F172" s="94">
        <f>D155*D170</f>
        <v>300.44209723667888</v>
      </c>
      <c r="G172" s="68" t="s">
        <v>265</v>
      </c>
    </row>
    <row r="173" spans="1:9">
      <c r="C173" s="68" t="s">
        <v>264</v>
      </c>
      <c r="D173" s="69">
        <f>F161/D172/D171</f>
        <v>19.965959969719957</v>
      </c>
      <c r="E173" s="68" t="s">
        <v>263</v>
      </c>
    </row>
    <row r="174" spans="1:9">
      <c r="D174" s="101">
        <f>D173*D172</f>
        <v>8.0442750723954557</v>
      </c>
      <c r="E174" s="68" t="s">
        <v>468</v>
      </c>
      <c r="F174" s="101">
        <v>0.4329836034138887</v>
      </c>
      <c r="G174" s="68" t="s">
        <v>533</v>
      </c>
    </row>
    <row r="175" spans="1:9">
      <c r="C175" s="68" t="s">
        <v>474</v>
      </c>
      <c r="D175" s="101">
        <f>F165/D171</f>
        <v>12.377064303169822</v>
      </c>
      <c r="E175" s="68" t="s">
        <v>464</v>
      </c>
      <c r="F175" s="100">
        <f>D175*3412.14</f>
        <v>42232.276191417877</v>
      </c>
      <c r="G175" s="68" t="s">
        <v>465</v>
      </c>
    </row>
    <row r="176" spans="1:9">
      <c r="D176" s="103"/>
      <c r="E176" s="70"/>
      <c r="F176" s="136"/>
    </row>
    <row r="177" spans="1:9">
      <c r="A177" s="68" t="s">
        <v>548</v>
      </c>
      <c r="C177" s="68" t="s">
        <v>549</v>
      </c>
      <c r="D177" s="132">
        <v>70</v>
      </c>
      <c r="E177" s="92" t="s">
        <v>445</v>
      </c>
      <c r="F177" s="78">
        <f>(D177-32)*5/9</f>
        <v>21.111111111111111</v>
      </c>
      <c r="G177" s="68" t="s">
        <v>176</v>
      </c>
      <c r="H177" s="78">
        <f>F177+273.15</f>
        <v>294.26111111111106</v>
      </c>
      <c r="I177" s="68" t="s">
        <v>444</v>
      </c>
    </row>
    <row r="178" spans="1:9">
      <c r="C178" s="68" t="s">
        <v>550</v>
      </c>
      <c r="D178" s="133">
        <f>u_pT(J16,F177)</f>
        <v>88.560741643705555</v>
      </c>
      <c r="E178" s="70" t="s">
        <v>168</v>
      </c>
      <c r="F178" s="136"/>
    </row>
    <row r="179" spans="1:9">
      <c r="D179" s="103"/>
      <c r="E179" s="70"/>
      <c r="F179" s="136"/>
    </row>
    <row r="180" spans="1:9">
      <c r="C180" s="68" t="s">
        <v>551</v>
      </c>
      <c r="D180" s="97">
        <f>F13</f>
        <v>2859.3394202538484</v>
      </c>
      <c r="E180" s="70" t="s">
        <v>168</v>
      </c>
      <c r="F180" s="136"/>
    </row>
    <row r="181" spans="1:9">
      <c r="C181" s="68" t="s">
        <v>552</v>
      </c>
      <c r="D181" s="97">
        <f>D80</f>
        <v>2738.3383873393586</v>
      </c>
      <c r="E181" s="70" t="s">
        <v>168</v>
      </c>
      <c r="F181" s="136"/>
    </row>
    <row r="182" spans="1:9">
      <c r="D182" s="103"/>
      <c r="E182" s="70"/>
      <c r="F182" s="136"/>
    </row>
    <row r="183" spans="1:9">
      <c r="D183" s="103"/>
      <c r="E183" s="70"/>
      <c r="F183" s="136"/>
    </row>
    <row r="184" spans="1:9">
      <c r="D184" s="103"/>
      <c r="E184" s="70"/>
      <c r="F184" s="136"/>
    </row>
    <row r="185" spans="1:9">
      <c r="D185" s="103"/>
      <c r="E185" s="70"/>
      <c r="F185" s="136"/>
    </row>
    <row r="186" spans="1:9">
      <c r="D186" s="103"/>
      <c r="E186" s="70"/>
      <c r="F186" s="136"/>
    </row>
    <row r="187" spans="1:9">
      <c r="D187" s="103"/>
    </row>
    <row r="189" spans="1:9">
      <c r="A189" s="68" t="s">
        <v>537</v>
      </c>
      <c r="C189" s="68" t="s">
        <v>539</v>
      </c>
      <c r="D189" s="133">
        <f>D175</f>
        <v>12.377064303169822</v>
      </c>
      <c r="E189" s="68" t="s">
        <v>464</v>
      </c>
      <c r="F189" s="97">
        <f>F175</f>
        <v>42232.276191417877</v>
      </c>
      <c r="G189" s="68" t="s">
        <v>465</v>
      </c>
    </row>
    <row r="190" spans="1:9">
      <c r="C190" s="68" t="s">
        <v>538</v>
      </c>
      <c r="D190" s="131">
        <v>60</v>
      </c>
      <c r="E190" s="68" t="s">
        <v>205</v>
      </c>
    </row>
    <row r="191" spans="1:9">
      <c r="C191" s="68" t="s">
        <v>474</v>
      </c>
      <c r="D191" s="101">
        <f>D189/(D190/100)</f>
        <v>20.628440505283038</v>
      </c>
      <c r="E191" s="68" t="s">
        <v>464</v>
      </c>
      <c r="F191" s="100">
        <f>ROUNDUP(F189/(D190/100),-2)</f>
        <v>70400</v>
      </c>
      <c r="G191" s="68" t="s">
        <v>465</v>
      </c>
    </row>
    <row r="193" spans="3:7">
      <c r="C193" s="68" t="s">
        <v>540</v>
      </c>
      <c r="D193" s="135">
        <v>8000</v>
      </c>
      <c r="E193" s="68" t="s">
        <v>541</v>
      </c>
      <c r="F193" s="95">
        <f>D193/1548</f>
        <v>5.1679586563307494</v>
      </c>
      <c r="G193" s="68" t="s">
        <v>544</v>
      </c>
    </row>
    <row r="194" spans="3:7">
      <c r="C194" s="68" t="s">
        <v>542</v>
      </c>
      <c r="D194" s="135">
        <v>40</v>
      </c>
      <c r="E194" s="68" t="s">
        <v>543</v>
      </c>
    </row>
    <row r="196" spans="3:7">
      <c r="C196" s="68" t="s">
        <v>545</v>
      </c>
      <c r="D196" s="134">
        <f>F191/D193</f>
        <v>8.8000000000000007</v>
      </c>
      <c r="E196" s="68" t="s">
        <v>546</v>
      </c>
      <c r="F196" s="134">
        <f>D196/2.205</f>
        <v>3.9909297052154198</v>
      </c>
      <c r="G196" s="68" t="s">
        <v>547</v>
      </c>
    </row>
    <row r="197" spans="3:7">
      <c r="D197" s="134">
        <f>(D196/D194)*119.7/60</f>
        <v>0.43890000000000007</v>
      </c>
      <c r="E197" s="68" t="s">
        <v>553</v>
      </c>
    </row>
    <row r="199" spans="3:7">
      <c r="C199" s="68" t="s">
        <v>554</v>
      </c>
      <c r="D199" s="135">
        <v>12000</v>
      </c>
      <c r="E199" s="68" t="s">
        <v>541</v>
      </c>
      <c r="F199" s="95">
        <f>D199/1548</f>
        <v>7.7519379844961236</v>
      </c>
      <c r="G199" s="68" t="s">
        <v>544</v>
      </c>
    </row>
    <row r="200" spans="3:7">
      <c r="C200" s="68" t="s">
        <v>555</v>
      </c>
      <c r="D200" s="135">
        <v>52</v>
      </c>
      <c r="E200" s="68" t="s">
        <v>543</v>
      </c>
    </row>
    <row r="202" spans="3:7">
      <c r="C202" s="68" t="s">
        <v>556</v>
      </c>
      <c r="D202" s="134">
        <f>F191/D199</f>
        <v>5.8666666666666663</v>
      </c>
      <c r="E202" s="68" t="s">
        <v>546</v>
      </c>
      <c r="F202" s="134">
        <f>D202/2.205</f>
        <v>2.6606198034769459</v>
      </c>
      <c r="G202" s="68" t="s">
        <v>547</v>
      </c>
    </row>
    <row r="203" spans="3:7">
      <c r="D203" s="134">
        <f>(D202/D200)*119.7/60</f>
        <v>0.22507692307692306</v>
      </c>
      <c r="E203" s="68" t="s">
        <v>553</v>
      </c>
    </row>
  </sheetData>
  <sheetProtection selectLockedCells="1" selectUnlockedCells="1"/>
  <pageMargins left="0.78749999999999998" right="0.78749999999999998" top="1.5" bottom="1.5" header="0.51180555555555551" footer="0.51180555555555551"/>
  <pageSetup scale="75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G18"/>
  <sheetViews>
    <sheetView workbookViewId="0">
      <selection activeCell="I12" sqref="I12"/>
    </sheetView>
  </sheetViews>
  <sheetFormatPr defaultRowHeight="13.2"/>
  <cols>
    <col min="4" max="4" width="17.77734375" bestFit="1" customWidth="1"/>
    <col min="6" max="6" width="14.44140625" bestFit="1" customWidth="1"/>
    <col min="7" max="7" width="11.77734375" bestFit="1" customWidth="1"/>
  </cols>
  <sheetData>
    <row r="3" spans="4:7">
      <c r="D3" s="2" t="s">
        <v>469</v>
      </c>
    </row>
    <row r="4" spans="4:7">
      <c r="D4" s="2" t="s">
        <v>470</v>
      </c>
      <c r="E4" s="2" t="s">
        <v>471</v>
      </c>
      <c r="F4" s="2" t="s">
        <v>472</v>
      </c>
      <c r="G4" s="2" t="s">
        <v>473</v>
      </c>
    </row>
    <row r="5" spans="4:7">
      <c r="D5">
        <v>5</v>
      </c>
      <c r="E5" s="102">
        <v>8</v>
      </c>
      <c r="F5">
        <v>8</v>
      </c>
      <c r="G5">
        <v>2.0059999999999998</v>
      </c>
    </row>
    <row r="6" spans="4:7">
      <c r="D6">
        <v>8</v>
      </c>
      <c r="E6">
        <v>11</v>
      </c>
      <c r="F6">
        <v>11.074999999999999</v>
      </c>
      <c r="G6">
        <v>2.0110000000000001</v>
      </c>
    </row>
    <row r="15" spans="4:7">
      <c r="D15" t="s">
        <v>482</v>
      </c>
    </row>
    <row r="16" spans="4:7">
      <c r="D16" t="s">
        <v>483</v>
      </c>
      <c r="E16" t="s">
        <v>471</v>
      </c>
      <c r="F16" t="s">
        <v>472</v>
      </c>
      <c r="G16" t="s">
        <v>473</v>
      </c>
    </row>
    <row r="17" spans="4:7">
      <c r="D17">
        <v>20.638000000000002</v>
      </c>
      <c r="E17">
        <v>114</v>
      </c>
      <c r="F17">
        <v>15.922000000000001</v>
      </c>
      <c r="G17">
        <v>2.8460000000000001</v>
      </c>
    </row>
    <row r="18" spans="4:7">
      <c r="D18">
        <v>31.75</v>
      </c>
      <c r="E18">
        <v>214</v>
      </c>
      <c r="F18">
        <v>25.396000000000001</v>
      </c>
      <c r="G18">
        <v>3.85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H24"/>
  <sheetViews>
    <sheetView workbookViewId="0">
      <selection activeCell="D18" sqref="D18"/>
    </sheetView>
  </sheetViews>
  <sheetFormatPr defaultRowHeight="13.2"/>
  <cols>
    <col min="2" max="2" width="18" customWidth="1"/>
    <col min="3" max="3" width="12.77734375" bestFit="1" customWidth="1"/>
    <col min="4" max="4" width="8" bestFit="1" customWidth="1"/>
    <col min="5" max="5" width="7.88671875" bestFit="1" customWidth="1"/>
    <col min="6" max="6" width="15.44140625" bestFit="1" customWidth="1"/>
    <col min="7" max="7" width="15.88671875" bestFit="1" customWidth="1"/>
    <col min="8" max="8" width="10" bestFit="1" customWidth="1"/>
  </cols>
  <sheetData>
    <row r="3" spans="2:8">
      <c r="C3" t="s">
        <v>478</v>
      </c>
      <c r="D3" t="s">
        <v>479</v>
      </c>
      <c r="E3" t="s">
        <v>476</v>
      </c>
      <c r="F3" t="s">
        <v>480</v>
      </c>
      <c r="G3" t="s">
        <v>531</v>
      </c>
      <c r="H3" t="s">
        <v>477</v>
      </c>
    </row>
    <row r="4" spans="2:8">
      <c r="C4">
        <v>0.25</v>
      </c>
      <c r="D4">
        <v>20</v>
      </c>
      <c r="E4" s="104">
        <v>12.02</v>
      </c>
      <c r="F4" s="106">
        <f>PI()*(C4/12)*D4</f>
        <v>1.308996938995747</v>
      </c>
      <c r="G4" s="102">
        <f>F4*12*12</f>
        <v>188.49555921538757</v>
      </c>
      <c r="H4" s="107">
        <f>E4/F4</f>
        <v>9.1826035966299937</v>
      </c>
    </row>
    <row r="5" spans="2:8">
      <c r="B5" t="s">
        <v>535</v>
      </c>
      <c r="C5">
        <v>0.25</v>
      </c>
      <c r="D5">
        <v>25</v>
      </c>
      <c r="E5" s="104">
        <v>11.89</v>
      </c>
      <c r="F5" s="106">
        <f>PI()*(C5/12)*D5</f>
        <v>1.6362461737446838</v>
      </c>
      <c r="G5" s="102">
        <f t="shared" ref="G5:G11" si="0">F5*12*12</f>
        <v>235.61944901923445</v>
      </c>
      <c r="H5" s="107">
        <f>E5/F5</f>
        <v>7.2666327297125211</v>
      </c>
    </row>
    <row r="6" spans="2:8">
      <c r="C6" s="105">
        <f>3/8</f>
        <v>0.375</v>
      </c>
      <c r="D6">
        <v>10</v>
      </c>
      <c r="E6" s="104">
        <v>14.48</v>
      </c>
      <c r="F6" s="106">
        <f t="shared" ref="F6:F11" si="1">PI()*(C6/12)*D6</f>
        <v>0.98174770424681035</v>
      </c>
      <c r="G6" s="102">
        <f t="shared" si="0"/>
        <v>141.37166941154067</v>
      </c>
      <c r="H6" s="107">
        <f t="shared" ref="H6:H11" si="2">E6/F6</f>
        <v>14.749206886212125</v>
      </c>
    </row>
    <row r="7" spans="2:8">
      <c r="C7">
        <v>0.375</v>
      </c>
      <c r="D7">
        <v>20</v>
      </c>
      <c r="E7" s="104">
        <v>27.48</v>
      </c>
      <c r="F7" s="106">
        <f t="shared" si="1"/>
        <v>1.9634954084936207</v>
      </c>
      <c r="G7" s="102">
        <f t="shared" si="0"/>
        <v>282.74333882308133</v>
      </c>
      <c r="H7" s="107">
        <f t="shared" si="2"/>
        <v>13.995449075728908</v>
      </c>
    </row>
    <row r="8" spans="2:8">
      <c r="B8" t="s">
        <v>536</v>
      </c>
      <c r="C8">
        <v>0.375</v>
      </c>
      <c r="D8">
        <v>25</v>
      </c>
      <c r="E8" s="104">
        <v>20.69</v>
      </c>
      <c r="F8" s="106">
        <f t="shared" si="1"/>
        <v>2.454369260617026</v>
      </c>
      <c r="G8" s="102">
        <f t="shared" si="0"/>
        <v>353.42917352885172</v>
      </c>
      <c r="H8" s="107">
        <f t="shared" si="2"/>
        <v>8.4298643777825664</v>
      </c>
    </row>
    <row r="9" spans="2:8">
      <c r="C9">
        <v>0.5</v>
      </c>
      <c r="D9">
        <v>20</v>
      </c>
      <c r="E9" s="104">
        <v>31.99</v>
      </c>
      <c r="F9" s="106">
        <f t="shared" si="1"/>
        <v>2.617993877991494</v>
      </c>
      <c r="G9" s="102">
        <f t="shared" si="0"/>
        <v>376.99111843077515</v>
      </c>
      <c r="H9" s="107">
        <f t="shared" si="2"/>
        <v>12.219279910823358</v>
      </c>
    </row>
    <row r="10" spans="2:8">
      <c r="C10">
        <v>0.625</v>
      </c>
      <c r="D10">
        <v>10</v>
      </c>
      <c r="E10" s="104">
        <v>19.989999999999998</v>
      </c>
      <c r="F10" s="106">
        <f t="shared" si="1"/>
        <v>1.6362461737446841</v>
      </c>
      <c r="G10" s="102">
        <f t="shared" si="0"/>
        <v>235.61944901923448</v>
      </c>
      <c r="H10" s="107">
        <f t="shared" si="2"/>
        <v>12.216988079642832</v>
      </c>
    </row>
    <row r="11" spans="2:8">
      <c r="B11" s="108" t="s">
        <v>481</v>
      </c>
      <c r="C11">
        <v>0.625</v>
      </c>
      <c r="D11">
        <v>10</v>
      </c>
      <c r="E11" s="104">
        <v>18.32</v>
      </c>
      <c r="F11" s="106">
        <f t="shared" si="1"/>
        <v>1.6362461737446841</v>
      </c>
      <c r="G11" s="102">
        <f t="shared" si="0"/>
        <v>235.61944901923448</v>
      </c>
      <c r="H11" s="107">
        <f t="shared" si="2"/>
        <v>11.196359260583126</v>
      </c>
    </row>
    <row r="12" spans="2:8">
      <c r="F12" s="106"/>
      <c r="G12" s="106"/>
      <c r="H12" s="107"/>
    </row>
    <row r="13" spans="2:8">
      <c r="F13" s="106"/>
      <c r="G13" s="106"/>
      <c r="H13" s="107"/>
    </row>
    <row r="14" spans="2:8">
      <c r="F14" s="106"/>
      <c r="G14" s="106"/>
      <c r="H14" s="107"/>
    </row>
    <row r="15" spans="2:8">
      <c r="F15" s="106"/>
      <c r="G15" s="106"/>
      <c r="H15" s="107"/>
    </row>
    <row r="16" spans="2:8">
      <c r="F16" s="106"/>
      <c r="G16" s="106"/>
      <c r="H16" s="107"/>
    </row>
    <row r="17" spans="6:8">
      <c r="F17" s="106"/>
      <c r="G17" s="106"/>
      <c r="H17" s="107"/>
    </row>
    <row r="18" spans="6:8">
      <c r="F18" s="106"/>
      <c r="G18" s="106"/>
      <c r="H18" s="107"/>
    </row>
    <row r="19" spans="6:8">
      <c r="F19" s="106"/>
      <c r="G19" s="106"/>
      <c r="H19" s="107"/>
    </row>
    <row r="20" spans="6:8">
      <c r="F20" s="106"/>
      <c r="G20" s="106"/>
      <c r="H20" s="107"/>
    </row>
    <row r="21" spans="6:8">
      <c r="F21" s="106"/>
      <c r="G21" s="106"/>
      <c r="H21" s="107"/>
    </row>
    <row r="22" spans="6:8">
      <c r="F22" s="106"/>
      <c r="G22" s="106"/>
      <c r="H22" s="107"/>
    </row>
    <row r="23" spans="6:8">
      <c r="F23" s="106"/>
      <c r="G23" s="106"/>
      <c r="H23" s="107"/>
    </row>
    <row r="24" spans="6:8">
      <c r="F24" s="106"/>
      <c r="G24" s="106"/>
      <c r="H24" s="10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9:J43"/>
  <sheetViews>
    <sheetView topLeftCell="A7" workbookViewId="0">
      <selection activeCell="M16" sqref="M16"/>
    </sheetView>
  </sheetViews>
  <sheetFormatPr defaultRowHeight="13.2"/>
  <cols>
    <col min="4" max="4" width="21.5546875" bestFit="1" customWidth="1"/>
    <col min="13" max="13" width="19.6640625" bestFit="1" customWidth="1"/>
  </cols>
  <sheetData>
    <row r="9" spans="4:10">
      <c r="D9" t="s">
        <v>484</v>
      </c>
      <c r="E9" s="111">
        <v>595</v>
      </c>
      <c r="F9" t="s">
        <v>265</v>
      </c>
    </row>
    <row r="10" spans="4:10">
      <c r="D10" s="109" t="s">
        <v>485</v>
      </c>
      <c r="E10" s="111">
        <v>400</v>
      </c>
      <c r="F10" t="s">
        <v>247</v>
      </c>
    </row>
    <row r="12" spans="4:10">
      <c r="D12" t="s">
        <v>486</v>
      </c>
      <c r="E12" s="114">
        <f>E9/E10*9.5488</f>
        <v>14.20384</v>
      </c>
      <c r="F12" t="s">
        <v>487</v>
      </c>
      <c r="G12" s="115">
        <f>E12*0.7376</f>
        <v>10.476752384000001</v>
      </c>
      <c r="H12" t="s">
        <v>488</v>
      </c>
      <c r="I12" s="117">
        <f>G12*12</f>
        <v>125.72102860800001</v>
      </c>
      <c r="J12" t="s">
        <v>489</v>
      </c>
    </row>
    <row r="14" spans="4:10">
      <c r="D14" s="2" t="s">
        <v>507</v>
      </c>
      <c r="E14" s="111">
        <v>0.5</v>
      </c>
      <c r="F14" s="2" t="s">
        <v>255</v>
      </c>
    </row>
    <row r="16" spans="4:10">
      <c r="D16" t="s">
        <v>490</v>
      </c>
      <c r="E16" s="111">
        <v>13</v>
      </c>
      <c r="F16" t="s">
        <v>491</v>
      </c>
    </row>
    <row r="17" spans="4:10">
      <c r="D17" s="2" t="s">
        <v>508</v>
      </c>
      <c r="E17" s="113">
        <f>$E$14/SIN(RADIANS(180/E16))</f>
        <v>2.0892907344301883</v>
      </c>
      <c r="F17" s="2" t="s">
        <v>255</v>
      </c>
    </row>
    <row r="19" spans="4:10">
      <c r="D19" s="1" t="s">
        <v>494</v>
      </c>
    </row>
    <row r="20" spans="4:10">
      <c r="D20" t="s">
        <v>492</v>
      </c>
      <c r="E20" s="111">
        <v>30</v>
      </c>
      <c r="F20" s="2" t="s">
        <v>491</v>
      </c>
    </row>
    <row r="21" spans="4:10">
      <c r="D21" s="2" t="s">
        <v>508</v>
      </c>
      <c r="E21" s="113">
        <f>$E$14/SIN(RADIANS(180/E20))</f>
        <v>4.7833861167528129</v>
      </c>
      <c r="F21" s="2" t="s">
        <v>255</v>
      </c>
    </row>
    <row r="22" spans="4:10">
      <c r="D22" s="2" t="s">
        <v>497</v>
      </c>
      <c r="E22" s="115">
        <f>E20/E16</f>
        <v>2.3076923076923075</v>
      </c>
      <c r="F22" s="2"/>
    </row>
    <row r="23" spans="4:10">
      <c r="D23" s="2" t="s">
        <v>509</v>
      </c>
      <c r="E23" s="117">
        <f>I26/(E21/2)</f>
        <v>121.30547003836558</v>
      </c>
      <c r="F23" s="2" t="s">
        <v>506</v>
      </c>
      <c r="G23" s="121">
        <f>E23*4.448</f>
        <v>539.56673073065019</v>
      </c>
      <c r="H23" s="2" t="s">
        <v>502</v>
      </c>
    </row>
    <row r="24" spans="4:10">
      <c r="D24" t="s">
        <v>493</v>
      </c>
      <c r="E24" s="111">
        <v>10</v>
      </c>
      <c r="F24" s="2" t="s">
        <v>491</v>
      </c>
    </row>
    <row r="25" spans="4:10">
      <c r="D25" s="2" t="s">
        <v>508</v>
      </c>
      <c r="E25" s="113">
        <f>$E$14/SIN(RADIANS(180/E24))</f>
        <v>1.6180339887498949</v>
      </c>
      <c r="F25" s="2" t="s">
        <v>255</v>
      </c>
    </row>
    <row r="26" spans="4:10">
      <c r="D26" s="2" t="s">
        <v>498</v>
      </c>
      <c r="E26" s="114">
        <f>E22*E12</f>
        <v>32.778092307692305</v>
      </c>
      <c r="F26" t="s">
        <v>487</v>
      </c>
      <c r="G26" s="116">
        <f>E26*0.7376</f>
        <v>24.177120886153844</v>
      </c>
      <c r="H26" t="s">
        <v>488</v>
      </c>
      <c r="I26" s="117">
        <f>G26*12</f>
        <v>290.12545063384613</v>
      </c>
      <c r="J26" t="s">
        <v>489</v>
      </c>
    </row>
    <row r="27" spans="4:10">
      <c r="D27" s="2" t="s">
        <v>499</v>
      </c>
      <c r="E27" s="116">
        <f>E10/E22</f>
        <v>173.33333333333334</v>
      </c>
      <c r="F27" s="2" t="s">
        <v>247</v>
      </c>
      <c r="G27" s="118"/>
      <c r="I27" s="119"/>
    </row>
    <row r="29" spans="4:10">
      <c r="D29" s="1" t="s">
        <v>495</v>
      </c>
    </row>
    <row r="30" spans="4:10">
      <c r="D30" s="2" t="s">
        <v>492</v>
      </c>
      <c r="E30" s="111">
        <v>23</v>
      </c>
      <c r="F30" s="2" t="s">
        <v>491</v>
      </c>
    </row>
    <row r="31" spans="4:10">
      <c r="D31" s="2" t="s">
        <v>508</v>
      </c>
      <c r="E31" s="113">
        <f>$E$14/SIN(RADIANS(180/E30))</f>
        <v>3.671971098051956</v>
      </c>
      <c r="F31" s="2" t="s">
        <v>255</v>
      </c>
    </row>
    <row r="32" spans="4:10">
      <c r="D32" s="2" t="s">
        <v>496</v>
      </c>
      <c r="E32" s="111">
        <v>18</v>
      </c>
      <c r="F32" s="2" t="s">
        <v>255</v>
      </c>
    </row>
    <row r="33" spans="4:10">
      <c r="D33" s="2" t="s">
        <v>497</v>
      </c>
      <c r="E33" s="112">
        <f>E30/E24</f>
        <v>2.2999999999999998</v>
      </c>
    </row>
    <row r="34" spans="4:10">
      <c r="D34" s="2"/>
      <c r="E34" s="110"/>
    </row>
    <row r="35" spans="4:10">
      <c r="D35" s="2" t="s">
        <v>498</v>
      </c>
      <c r="E35" s="114">
        <f>E26*E33</f>
        <v>75.389612307692289</v>
      </c>
      <c r="F35" t="s">
        <v>487</v>
      </c>
      <c r="G35" s="114">
        <f>E35*0.7376</f>
        <v>55.607378038153833</v>
      </c>
      <c r="H35" t="s">
        <v>488</v>
      </c>
      <c r="I35" s="117">
        <f>G35*12</f>
        <v>667.28853645784602</v>
      </c>
      <c r="J35" t="s">
        <v>489</v>
      </c>
    </row>
    <row r="36" spans="4:10">
      <c r="D36" s="2" t="s">
        <v>499</v>
      </c>
      <c r="E36" s="116">
        <f>E27/E33</f>
        <v>75.362318840579718</v>
      </c>
      <c r="F36" s="2" t="s">
        <v>247</v>
      </c>
    </row>
    <row r="37" spans="4:10">
      <c r="D37" s="2" t="s">
        <v>510</v>
      </c>
      <c r="E37" s="117">
        <f>I35/(E31/2)</f>
        <v>363.44977595921392</v>
      </c>
      <c r="F37" s="2" t="s">
        <v>506</v>
      </c>
      <c r="G37" s="121">
        <f>E37*4.448</f>
        <v>1616.6246034665837</v>
      </c>
      <c r="H37" s="2" t="s">
        <v>502</v>
      </c>
    </row>
    <row r="38" spans="4:10">
      <c r="D38" s="2" t="s">
        <v>500</v>
      </c>
      <c r="E38" s="117">
        <f>I35/(E32/2)</f>
        <v>74.143170717538453</v>
      </c>
      <c r="F38" s="2" t="s">
        <v>501</v>
      </c>
      <c r="G38" s="121">
        <f>E38*4.448</f>
        <v>329.78882335161109</v>
      </c>
      <c r="H38" s="2" t="s">
        <v>502</v>
      </c>
    </row>
    <row r="39" spans="4:10">
      <c r="D39" s="2" t="s">
        <v>503</v>
      </c>
      <c r="E39" s="120">
        <f>E36*E32*PI()*60/63360</f>
        <v>4.0356427368248342</v>
      </c>
      <c r="F39" s="2" t="s">
        <v>504</v>
      </c>
    </row>
    <row r="41" spans="4:10">
      <c r="D41" s="2" t="s">
        <v>505</v>
      </c>
      <c r="E41" s="111">
        <v>400</v>
      </c>
      <c r="F41" s="2" t="s">
        <v>506</v>
      </c>
      <c r="G41" s="121">
        <f>E41*0.453592</f>
        <v>181.43680000000001</v>
      </c>
      <c r="H41" s="2" t="s">
        <v>347</v>
      </c>
    </row>
    <row r="43" spans="4:10">
      <c r="D43" s="2" t="s">
        <v>513</v>
      </c>
      <c r="E43" s="115">
        <f>DEGREES(ASIN(G38/(G41*9.81)))</f>
        <v>10.677780965008269</v>
      </c>
      <c r="F43" s="2" t="s">
        <v>511</v>
      </c>
      <c r="G43" s="117">
        <f>TAN(RADIANS(E43))*100</f>
        <v>18.855035028009755</v>
      </c>
      <c r="H43" s="2" t="s">
        <v>512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E15"/>
  <sheetViews>
    <sheetView workbookViewId="0">
      <selection activeCell="D15" sqref="D15"/>
    </sheetView>
  </sheetViews>
  <sheetFormatPr defaultRowHeight="13.2"/>
  <cols>
    <col min="4" max="4" width="68.21875" customWidth="1"/>
    <col min="5" max="5" width="67" customWidth="1"/>
  </cols>
  <sheetData>
    <row r="3" spans="4:5">
      <c r="D3" t="s">
        <v>514</v>
      </c>
    </row>
    <row r="5" spans="4:5">
      <c r="D5" t="s">
        <v>515</v>
      </c>
      <c r="E5" t="s">
        <v>521</v>
      </c>
    </row>
    <row r="6" spans="4:5">
      <c r="D6" t="s">
        <v>516</v>
      </c>
      <c r="E6" t="s">
        <v>522</v>
      </c>
    </row>
    <row r="7" spans="4:5">
      <c r="D7" t="s">
        <v>517</v>
      </c>
      <c r="E7" t="s">
        <v>523</v>
      </c>
    </row>
    <row r="8" spans="4:5">
      <c r="D8" t="s">
        <v>532</v>
      </c>
      <c r="E8" t="s">
        <v>524</v>
      </c>
    </row>
    <row r="9" spans="4:5">
      <c r="E9" t="s">
        <v>525</v>
      </c>
    </row>
    <row r="10" spans="4:5">
      <c r="D10" t="s">
        <v>518</v>
      </c>
    </row>
    <row r="11" spans="4:5">
      <c r="D11" t="s">
        <v>516</v>
      </c>
      <c r="E11" t="s">
        <v>526</v>
      </c>
    </row>
    <row r="12" spans="4:5">
      <c r="D12" t="s">
        <v>519</v>
      </c>
      <c r="E12" t="s">
        <v>527</v>
      </c>
    </row>
    <row r="13" spans="4:5">
      <c r="D13" t="s">
        <v>520</v>
      </c>
      <c r="E13" t="s">
        <v>528</v>
      </c>
    </row>
    <row r="14" spans="4:5">
      <c r="E14" t="s">
        <v>529</v>
      </c>
    </row>
    <row r="15" spans="4:5">
      <c r="E15" t="s">
        <v>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5:J26"/>
  <sheetViews>
    <sheetView workbookViewId="0">
      <selection activeCell="G16" sqref="G16"/>
    </sheetView>
  </sheetViews>
  <sheetFormatPr defaultRowHeight="13.2"/>
  <sheetData>
    <row r="5" spans="3:10">
      <c r="C5" s="68" t="s">
        <v>475</v>
      </c>
      <c r="D5" s="68"/>
      <c r="E5" s="68"/>
      <c r="F5" s="68"/>
      <c r="G5" s="68"/>
      <c r="H5" s="68"/>
      <c r="I5" s="68"/>
      <c r="J5" s="68"/>
    </row>
    <row r="6" spans="3:10">
      <c r="C6" s="68"/>
      <c r="D6" s="68"/>
      <c r="E6" s="68" t="s">
        <v>262</v>
      </c>
      <c r="F6" s="75">
        <v>4.9000000000000002E-2</v>
      </c>
      <c r="G6" s="68" t="s">
        <v>251</v>
      </c>
      <c r="H6" s="68"/>
      <c r="I6" s="68"/>
      <c r="J6" s="68"/>
    </row>
    <row r="7" spans="3:10">
      <c r="C7" s="68"/>
      <c r="D7" s="68"/>
      <c r="E7" s="68" t="s">
        <v>261</v>
      </c>
      <c r="F7" s="75">
        <v>1.5</v>
      </c>
      <c r="G7" s="68" t="s">
        <v>255</v>
      </c>
      <c r="H7" s="68"/>
      <c r="I7" s="68"/>
      <c r="J7" s="68"/>
    </row>
    <row r="8" spans="3:10">
      <c r="C8" s="68"/>
      <c r="D8" s="68"/>
      <c r="E8" s="68" t="s">
        <v>260</v>
      </c>
      <c r="F8" s="71">
        <f>PI()/4*F7^2</f>
        <v>1.7671458676442586</v>
      </c>
      <c r="G8" s="68" t="s">
        <v>251</v>
      </c>
      <c r="H8" s="68"/>
      <c r="I8" s="68"/>
      <c r="J8" s="68"/>
    </row>
    <row r="9" spans="3:10">
      <c r="C9" s="68"/>
      <c r="D9" s="68"/>
      <c r="E9" s="68" t="s">
        <v>259</v>
      </c>
      <c r="F9" s="75">
        <v>9000</v>
      </c>
      <c r="G9" s="68" t="s">
        <v>249</v>
      </c>
      <c r="H9" s="68"/>
      <c r="I9" s="68"/>
      <c r="J9" s="68" t="s">
        <v>258</v>
      </c>
    </row>
    <row r="10" spans="3:10">
      <c r="C10" s="68"/>
      <c r="D10" s="68"/>
      <c r="E10" s="68"/>
      <c r="F10" s="68"/>
      <c r="G10" s="68"/>
      <c r="H10" s="68"/>
      <c r="I10" s="68"/>
      <c r="J10" s="68"/>
    </row>
    <row r="11" spans="3:10">
      <c r="C11" s="68"/>
      <c r="D11" s="68"/>
      <c r="E11" s="68"/>
      <c r="F11" s="68"/>
      <c r="G11" s="68"/>
      <c r="H11" s="68"/>
      <c r="I11" s="68"/>
      <c r="J11" s="68"/>
    </row>
    <row r="12" spans="3:10">
      <c r="C12" s="68"/>
      <c r="D12" s="68" t="s">
        <v>257</v>
      </c>
      <c r="E12" s="68"/>
      <c r="F12" s="68"/>
      <c r="G12" s="68"/>
      <c r="H12" s="68"/>
      <c r="I12" s="68"/>
      <c r="J12" s="68"/>
    </row>
    <row r="13" spans="3:10">
      <c r="C13" s="68"/>
      <c r="D13" s="68"/>
      <c r="E13" s="68" t="s">
        <v>247</v>
      </c>
      <c r="F13" s="75">
        <v>500</v>
      </c>
      <c r="G13" s="68" t="s">
        <v>247</v>
      </c>
      <c r="H13" s="68"/>
      <c r="I13" s="68"/>
      <c r="J13" s="68"/>
    </row>
    <row r="14" spans="3:10">
      <c r="C14" s="68"/>
      <c r="D14" s="68"/>
      <c r="E14" s="68" t="s">
        <v>256</v>
      </c>
      <c r="F14" s="75">
        <v>1.8</v>
      </c>
      <c r="G14" s="68" t="s">
        <v>255</v>
      </c>
      <c r="H14" s="68"/>
      <c r="I14" s="68"/>
      <c r="J14" s="68"/>
    </row>
    <row r="15" spans="3:10">
      <c r="C15" s="68"/>
      <c r="D15" s="68"/>
      <c r="E15" s="68" t="s">
        <v>250</v>
      </c>
      <c r="F15" s="74">
        <f>(F13)*(F14/6)</f>
        <v>150</v>
      </c>
      <c r="G15" s="68" t="s">
        <v>249</v>
      </c>
      <c r="H15" s="68"/>
      <c r="I15" s="68"/>
      <c r="J15" s="68"/>
    </row>
    <row r="16" spans="3:10">
      <c r="C16" s="68"/>
      <c r="D16" s="68"/>
      <c r="E16" s="68"/>
      <c r="F16" s="68"/>
      <c r="G16" s="68"/>
      <c r="H16" s="68"/>
      <c r="I16" s="68"/>
      <c r="J16" s="68"/>
    </row>
    <row r="17" spans="3:10">
      <c r="C17" s="68"/>
      <c r="D17" s="68"/>
      <c r="E17" s="68" t="s">
        <v>254</v>
      </c>
      <c r="F17" s="73">
        <f>F8*F15/F9</f>
        <v>2.9452431127404314E-2</v>
      </c>
      <c r="G17" s="68" t="s">
        <v>251</v>
      </c>
      <c r="H17" s="68"/>
      <c r="I17" s="68"/>
      <c r="J17" s="68"/>
    </row>
    <row r="18" spans="3:10">
      <c r="C18" s="68"/>
      <c r="D18" s="68"/>
      <c r="E18" s="68"/>
      <c r="F18" s="68"/>
      <c r="G18" s="68"/>
      <c r="H18" s="68"/>
      <c r="I18" s="68"/>
      <c r="J18" s="68"/>
    </row>
    <row r="19" spans="3:10">
      <c r="C19" s="68"/>
      <c r="D19" s="68" t="s">
        <v>253</v>
      </c>
      <c r="E19" s="68"/>
      <c r="F19" s="68"/>
      <c r="G19" s="68"/>
      <c r="H19" s="68"/>
      <c r="I19" s="68"/>
      <c r="J19" s="68"/>
    </row>
    <row r="20" spans="3:10">
      <c r="C20" s="68"/>
      <c r="D20" s="68"/>
      <c r="E20" s="68" t="s">
        <v>252</v>
      </c>
      <c r="F20" s="72">
        <f>F6</f>
        <v>4.9000000000000002E-2</v>
      </c>
      <c r="G20" s="68" t="s">
        <v>251</v>
      </c>
      <c r="H20" s="68"/>
      <c r="I20" s="68"/>
      <c r="J20" s="68"/>
    </row>
    <row r="21" spans="3:10">
      <c r="C21" s="68"/>
      <c r="D21" s="68"/>
      <c r="E21" s="68" t="s">
        <v>250</v>
      </c>
      <c r="F21" s="71">
        <f>F20*F9/F8</f>
        <v>249.55495076809189</v>
      </c>
      <c r="G21" s="68" t="s">
        <v>249</v>
      </c>
      <c r="H21" s="68"/>
      <c r="I21" s="68"/>
      <c r="J21" s="68"/>
    </row>
    <row r="22" spans="3:10">
      <c r="C22" s="68"/>
      <c r="D22" s="68"/>
      <c r="E22" s="68"/>
      <c r="F22" s="70"/>
      <c r="G22" s="68"/>
      <c r="H22" s="68"/>
      <c r="I22" s="68"/>
      <c r="J22" s="68"/>
    </row>
    <row r="23" spans="3:10">
      <c r="C23" s="68"/>
      <c r="D23" s="68"/>
      <c r="E23" s="68" t="s">
        <v>248</v>
      </c>
      <c r="F23" s="69">
        <f>F21*6</f>
        <v>1497.3297046085513</v>
      </c>
      <c r="G23" s="68" t="s">
        <v>247</v>
      </c>
      <c r="H23" s="68"/>
      <c r="I23" s="68"/>
      <c r="J23" s="68"/>
    </row>
    <row r="24" spans="3:10">
      <c r="C24" s="68"/>
      <c r="D24" s="68"/>
      <c r="E24" s="68"/>
      <c r="F24" s="68"/>
      <c r="G24" s="68"/>
      <c r="H24" s="68"/>
      <c r="I24" s="68"/>
      <c r="J24" s="68"/>
    </row>
    <row r="25" spans="3:10">
      <c r="C25" s="68"/>
      <c r="D25" s="68"/>
      <c r="E25" s="68"/>
      <c r="F25" s="68"/>
      <c r="G25" s="68"/>
      <c r="H25" s="68"/>
      <c r="I25" s="68"/>
      <c r="J25" s="68"/>
    </row>
    <row r="26" spans="3:10">
      <c r="C26" s="68"/>
      <c r="D26" s="68"/>
      <c r="E26" s="68"/>
      <c r="F26" s="68"/>
      <c r="G26" s="68"/>
      <c r="H26" s="68"/>
      <c r="I26" s="68"/>
      <c r="J26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Properties</vt:lpstr>
      <vt:lpstr>Functions</vt:lpstr>
      <vt:lpstr>Engine</vt:lpstr>
      <vt:lpstr>O-ring table</vt:lpstr>
      <vt:lpstr>copper tubing</vt:lpstr>
      <vt:lpstr>Drivetrain</vt:lpstr>
      <vt:lpstr>NPT threads</vt:lpstr>
      <vt:lpstr>valve passage calculation</vt:lpstr>
      <vt:lpstr>Functions!Print_Area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rlanting</cp:lastModifiedBy>
  <cp:lastPrinted>2018-01-05T20:56:58Z</cp:lastPrinted>
  <dcterms:created xsi:type="dcterms:W3CDTF">1996-10-14T23:33:28Z</dcterms:created>
  <dcterms:modified xsi:type="dcterms:W3CDTF">2024-09-26T19:33:19Z</dcterms:modified>
</cp:coreProperties>
</file>