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defaultThemeVersion="124226"/>
  <xr:revisionPtr revIDLastSave="0" documentId="8_{5F2FF52A-A195-4180-BFB6-4DCC7C19D9C3}" xr6:coauthVersionLast="47" xr6:coauthVersionMax="47" xr10:uidLastSave="{00000000-0000-0000-0000-000000000000}"/>
  <bookViews>
    <workbookView xWindow="-110" yWindow="-110" windowWidth="19420" windowHeight="11500" xr2:uid="{00000000-000D-0000-FFFF-FFFF00000000}"/>
  </bookViews>
  <sheets>
    <sheet name="Feuil1" sheetId="1" r:id="rId1"/>
    <sheet name="Améliorations1" sheetId="2" r:id="rId2"/>
    <sheet name="Améliorations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 i="3" l="1"/>
  <c r="G79" i="3"/>
  <c r="F79" i="3"/>
  <c r="E79" i="3"/>
  <c r="H76" i="3"/>
  <c r="F76" i="3"/>
  <c r="H56" i="3"/>
  <c r="G56" i="3"/>
  <c r="F56" i="3"/>
  <c r="E56" i="3"/>
  <c r="G52" i="3"/>
  <c r="E52" i="3"/>
  <c r="G51" i="3"/>
  <c r="E51" i="3"/>
  <c r="G50" i="3"/>
  <c r="E50" i="3"/>
  <c r="G49" i="3"/>
  <c r="E49" i="3"/>
  <c r="G46" i="3"/>
  <c r="E46" i="3"/>
  <c r="H43" i="3"/>
  <c r="H50" i="3" s="1"/>
  <c r="F43" i="3"/>
  <c r="F51" i="3" s="1"/>
  <c r="I35" i="3"/>
  <c r="H35" i="3"/>
  <c r="G35" i="3"/>
  <c r="F35" i="3"/>
  <c r="E47" i="3" s="1"/>
  <c r="F47" i="3" s="1"/>
  <c r="G47" i="3" s="1"/>
  <c r="H47" i="3" s="1"/>
  <c r="I24" i="3"/>
  <c r="G24" i="3"/>
  <c r="E22" i="3"/>
  <c r="I27" i="3" s="1"/>
  <c r="M9" i="3"/>
  <c r="F32" i="3" s="1"/>
  <c r="G32" i="3" s="1"/>
  <c r="H32" i="3" s="1"/>
  <c r="I32" i="3" s="1"/>
  <c r="H79" i="2"/>
  <c r="G79" i="2"/>
  <c r="F79" i="2"/>
  <c r="E79" i="2"/>
  <c r="H76" i="2"/>
  <c r="F76" i="2"/>
  <c r="H56" i="2"/>
  <c r="G56" i="2"/>
  <c r="F56" i="2"/>
  <c r="E56" i="2"/>
  <c r="G52" i="2"/>
  <c r="E52" i="2"/>
  <c r="H51" i="2"/>
  <c r="G51" i="2"/>
  <c r="F51" i="2"/>
  <c r="E51" i="2"/>
  <c r="G50" i="2"/>
  <c r="E50" i="2"/>
  <c r="G49" i="2"/>
  <c r="F49" i="2"/>
  <c r="E49" i="2"/>
  <c r="H46" i="2"/>
  <c r="G46" i="2"/>
  <c r="E46" i="2"/>
  <c r="H43" i="2"/>
  <c r="H52" i="2" s="1"/>
  <c r="F43" i="2"/>
  <c r="F52" i="2" s="1"/>
  <c r="I35" i="2"/>
  <c r="H35" i="2"/>
  <c r="G35" i="2"/>
  <c r="F35" i="2"/>
  <c r="E47" i="2" s="1"/>
  <c r="F47" i="2" s="1"/>
  <c r="G47" i="2" s="1"/>
  <c r="H47" i="2" s="1"/>
  <c r="I24" i="2"/>
  <c r="G24" i="2"/>
  <c r="E22" i="2"/>
  <c r="I22" i="2" s="1"/>
  <c r="H27" i="2" s="1"/>
  <c r="M9" i="2"/>
  <c r="F32" i="2" s="1"/>
  <c r="G32" i="2" s="1"/>
  <c r="H32" i="2" s="1"/>
  <c r="I32" i="2" s="1"/>
  <c r="F56" i="1"/>
  <c r="G56" i="1"/>
  <c r="H56" i="1"/>
  <c r="E56" i="1"/>
  <c r="G52" i="1"/>
  <c r="E52" i="1"/>
  <c r="G35" i="1"/>
  <c r="H35" i="1"/>
  <c r="I35" i="1"/>
  <c r="F35" i="1"/>
  <c r="G49" i="1"/>
  <c r="E49" i="1"/>
  <c r="G51" i="1"/>
  <c r="E51" i="1"/>
  <c r="G50" i="1"/>
  <c r="E50" i="1"/>
  <c r="F79" i="1"/>
  <c r="G79" i="1"/>
  <c r="H79" i="1"/>
  <c r="G46" i="1"/>
  <c r="E46" i="1"/>
  <c r="E79" i="1"/>
  <c r="G32" i="1"/>
  <c r="H32" i="1" s="1"/>
  <c r="I32" i="1" s="1"/>
  <c r="M9" i="1"/>
  <c r="F32" i="1" s="1"/>
  <c r="H49" i="2" l="1"/>
  <c r="G54" i="3"/>
  <c r="E54" i="2"/>
  <c r="E54" i="3"/>
  <c r="F27" i="2"/>
  <c r="F28" i="2" s="1"/>
  <c r="F29" i="2" s="1"/>
  <c r="F46" i="2"/>
  <c r="F54" i="2" s="1"/>
  <c r="F58" i="2" s="1"/>
  <c r="G58" i="3"/>
  <c r="H37" i="3" s="1"/>
  <c r="E58" i="3"/>
  <c r="F37" i="3" s="1"/>
  <c r="I30" i="3"/>
  <c r="I33" i="3" s="1"/>
  <c r="I28" i="3"/>
  <c r="I29" i="3" s="1"/>
  <c r="I31" i="3"/>
  <c r="I22" i="3"/>
  <c r="H27" i="3" s="1"/>
  <c r="H52" i="3"/>
  <c r="F27" i="3"/>
  <c r="H46" i="3"/>
  <c r="H49" i="3"/>
  <c r="H51" i="3"/>
  <c r="F50" i="3"/>
  <c r="F52" i="3"/>
  <c r="F46" i="3"/>
  <c r="F49" i="3"/>
  <c r="E58" i="2"/>
  <c r="F39" i="2" s="1"/>
  <c r="G54" i="2"/>
  <c r="G58" i="2" s="1"/>
  <c r="H30" i="2"/>
  <c r="H33" i="2" s="1"/>
  <c r="H28" i="2"/>
  <c r="H29" i="2" s="1"/>
  <c r="H31" i="2"/>
  <c r="I27" i="2"/>
  <c r="G27" i="2"/>
  <c r="F50" i="2"/>
  <c r="H50" i="2"/>
  <c r="H54" i="2" s="1"/>
  <c r="H58" i="2" s="1"/>
  <c r="E47" i="1"/>
  <c r="E54" i="1" s="1"/>
  <c r="E58" i="1" s="1"/>
  <c r="F39" i="1" s="1"/>
  <c r="F39" i="3" l="1"/>
  <c r="F30" i="2"/>
  <c r="F33" i="2" s="1"/>
  <c r="F31" i="2"/>
  <c r="H39" i="3"/>
  <c r="H54" i="3"/>
  <c r="H58" i="3" s="1"/>
  <c r="F54" i="3"/>
  <c r="F58" i="3" s="1"/>
  <c r="H31" i="3"/>
  <c r="H30" i="3"/>
  <c r="H33" i="3" s="1"/>
  <c r="H28" i="3"/>
  <c r="H29" i="3" s="1"/>
  <c r="I34" i="3"/>
  <c r="H63" i="3"/>
  <c r="H64" i="3"/>
  <c r="H65" i="3"/>
  <c r="F28" i="3"/>
  <c r="F29" i="3" s="1"/>
  <c r="G27" i="3"/>
  <c r="F31" i="3"/>
  <c r="F30" i="3"/>
  <c r="F33" i="3" s="1"/>
  <c r="F37" i="2"/>
  <c r="E64" i="2"/>
  <c r="F34" i="2"/>
  <c r="E65" i="2"/>
  <c r="E63" i="2"/>
  <c r="G39" i="2"/>
  <c r="G37" i="2"/>
  <c r="I30" i="2"/>
  <c r="I33" i="2" s="1"/>
  <c r="I28" i="2"/>
  <c r="I29" i="2" s="1"/>
  <c r="I31" i="2"/>
  <c r="G30" i="2"/>
  <c r="G33" i="2" s="1"/>
  <c r="G28" i="2"/>
  <c r="G29" i="2" s="1"/>
  <c r="G31" i="2"/>
  <c r="H34" i="2"/>
  <c r="G65" i="2"/>
  <c r="G63" i="2"/>
  <c r="G64" i="2"/>
  <c r="I39" i="2"/>
  <c r="I37" i="2"/>
  <c r="H39" i="2"/>
  <c r="H37" i="2"/>
  <c r="F37" i="1"/>
  <c r="G65" i="3" l="1"/>
  <c r="G63" i="3"/>
  <c r="G64" i="3"/>
  <c r="H34" i="3"/>
  <c r="E64" i="3"/>
  <c r="E65" i="3"/>
  <c r="E63" i="3"/>
  <c r="F34" i="3"/>
  <c r="I36" i="3"/>
  <c r="G30" i="3"/>
  <c r="G33" i="3" s="1"/>
  <c r="G28" i="3"/>
  <c r="G29" i="3" s="1"/>
  <c r="G31" i="3"/>
  <c r="G39" i="3"/>
  <c r="G37" i="3"/>
  <c r="I39" i="3"/>
  <c r="I37" i="3"/>
  <c r="H65" i="2"/>
  <c r="H63" i="2"/>
  <c r="H64" i="2"/>
  <c r="I34" i="2"/>
  <c r="F36" i="2"/>
  <c r="F38" i="2" s="1"/>
  <c r="H36" i="2"/>
  <c r="H38" i="2" s="1"/>
  <c r="G34" i="2"/>
  <c r="F65" i="2"/>
  <c r="F63" i="2"/>
  <c r="F64" i="2"/>
  <c r="I38" i="3" l="1"/>
  <c r="H91" i="3" s="1"/>
  <c r="H93" i="3" s="1"/>
  <c r="F36" i="3"/>
  <c r="F38" i="3" s="1"/>
  <c r="F64" i="3"/>
  <c r="F65" i="3"/>
  <c r="F63" i="3"/>
  <c r="G34" i="3"/>
  <c r="H36" i="3"/>
  <c r="H38" i="3" s="1"/>
  <c r="G62" i="2"/>
  <c r="G61" i="2"/>
  <c r="G91" i="2"/>
  <c r="G93" i="2" s="1"/>
  <c r="E91" i="2"/>
  <c r="E93" i="2" s="1"/>
  <c r="E62" i="2"/>
  <c r="E61" i="2"/>
  <c r="I36" i="2"/>
  <c r="I38" i="2"/>
  <c r="G36" i="2"/>
  <c r="G38" i="2" s="1"/>
  <c r="H62" i="3" l="1"/>
  <c r="H61" i="3"/>
  <c r="H87" i="3" s="1"/>
  <c r="G91" i="3"/>
  <c r="G93" i="3" s="1"/>
  <c r="G62" i="3"/>
  <c r="G61" i="3"/>
  <c r="E62" i="3"/>
  <c r="E61" i="3"/>
  <c r="E91" i="3"/>
  <c r="E93" i="3" s="1"/>
  <c r="G36" i="3"/>
  <c r="G38" i="3" s="1"/>
  <c r="F91" i="2"/>
  <c r="F93" i="2" s="1"/>
  <c r="F62" i="2"/>
  <c r="F61" i="2"/>
  <c r="E87" i="2"/>
  <c r="E67" i="2"/>
  <c r="E69" i="2" s="1"/>
  <c r="E71" i="2" s="1"/>
  <c r="H61" i="2"/>
  <c r="H62" i="2"/>
  <c r="H91" i="2"/>
  <c r="H93" i="2" s="1"/>
  <c r="G67" i="2"/>
  <c r="G69" i="2" s="1"/>
  <c r="G71" i="2" s="1"/>
  <c r="G87" i="2"/>
  <c r="H67" i="3" l="1"/>
  <c r="H69" i="3" s="1"/>
  <c r="H71" i="3" s="1"/>
  <c r="F62" i="3"/>
  <c r="F91" i="3"/>
  <c r="F93" i="3" s="1"/>
  <c r="F61" i="3"/>
  <c r="H81" i="3"/>
  <c r="H83" i="3"/>
  <c r="H85" i="3" s="1"/>
  <c r="H89" i="3" s="1"/>
  <c r="H95" i="3" s="1"/>
  <c r="E67" i="3"/>
  <c r="E69" i="3" s="1"/>
  <c r="E71" i="3" s="1"/>
  <c r="E87" i="3"/>
  <c r="G87" i="3"/>
  <c r="G67" i="3"/>
  <c r="G69" i="3" s="1"/>
  <c r="G71" i="3" s="1"/>
  <c r="E81" i="2"/>
  <c r="E83" i="2"/>
  <c r="H87" i="2"/>
  <c r="H67" i="2"/>
  <c r="H69" i="2" s="1"/>
  <c r="H71" i="2" s="1"/>
  <c r="G81" i="2"/>
  <c r="G83" i="2"/>
  <c r="G85" i="2" s="1"/>
  <c r="G89" i="2" s="1"/>
  <c r="G95" i="2" s="1"/>
  <c r="F87" i="2"/>
  <c r="F67" i="2"/>
  <c r="F69" i="2" s="1"/>
  <c r="F71" i="2" s="1"/>
  <c r="E81" i="3" l="1"/>
  <c r="E83" i="3"/>
  <c r="E85" i="3" s="1"/>
  <c r="E89" i="3" s="1"/>
  <c r="E95" i="3" s="1"/>
  <c r="G81" i="3"/>
  <c r="G83" i="3"/>
  <c r="G85" i="3" s="1"/>
  <c r="G89" i="3" s="1"/>
  <c r="G95" i="3" s="1"/>
  <c r="F67" i="3"/>
  <c r="F69" i="3" s="1"/>
  <c r="F71" i="3" s="1"/>
  <c r="F87" i="3"/>
  <c r="F81" i="2"/>
  <c r="F83" i="2"/>
  <c r="F85" i="2" s="1"/>
  <c r="F89" i="2" s="1"/>
  <c r="F95" i="2" s="1"/>
  <c r="H81" i="2"/>
  <c r="H83" i="2"/>
  <c r="H85" i="2" s="1"/>
  <c r="H89" i="2" s="1"/>
  <c r="H95" i="2" s="1"/>
  <c r="E85" i="2"/>
  <c r="E89" i="2" s="1"/>
  <c r="E95" i="2" s="1"/>
  <c r="F81" i="3" l="1"/>
  <c r="F83" i="3"/>
  <c r="F85" i="3" s="1"/>
  <c r="F89" i="3" s="1"/>
  <c r="F95" i="3" s="1"/>
  <c r="H76" i="1" l="1"/>
  <c r="F76" i="1"/>
  <c r="H43" i="1"/>
  <c r="F43" i="1"/>
  <c r="I24" i="1"/>
  <c r="G24" i="1"/>
  <c r="F51" i="1" l="1"/>
  <c r="F46" i="1"/>
  <c r="F52" i="1"/>
  <c r="F49" i="1"/>
  <c r="F50" i="1"/>
  <c r="H46" i="1"/>
  <c r="H51" i="1"/>
  <c r="H52" i="1"/>
  <c r="H49" i="1"/>
  <c r="H50" i="1"/>
  <c r="E22" i="1"/>
  <c r="F47" i="1"/>
  <c r="I27" i="1" l="1"/>
  <c r="I22" i="1"/>
  <c r="H27" i="1" s="1"/>
  <c r="G47" i="1"/>
  <c r="F54" i="1"/>
  <c r="F58" i="1" s="1"/>
  <c r="G37" i="1" s="1"/>
  <c r="F27" i="1"/>
  <c r="G27" i="1" l="1"/>
  <c r="F30" i="1"/>
  <c r="F33" i="1" s="1"/>
  <c r="F28" i="1"/>
  <c r="F29" i="1" s="1"/>
  <c r="F31" i="1"/>
  <c r="G39" i="1"/>
  <c r="H28" i="1"/>
  <c r="H29" i="1" s="1"/>
  <c r="H30" i="1"/>
  <c r="H33" i="1" s="1"/>
  <c r="H31" i="1"/>
  <c r="I31" i="1"/>
  <c r="I28" i="1"/>
  <c r="I29" i="1" s="1"/>
  <c r="I30" i="1"/>
  <c r="I33" i="1" s="1"/>
  <c r="H47" i="1"/>
  <c r="H54" i="1" s="1"/>
  <c r="H58" i="1" s="1"/>
  <c r="G54" i="1"/>
  <c r="G58" i="1" s="1"/>
  <c r="G64" i="1" l="1"/>
  <c r="G63" i="1"/>
  <c r="G65" i="1"/>
  <c r="H34" i="1"/>
  <c r="H36" i="1" s="1"/>
  <c r="I34" i="1"/>
  <c r="I36" i="1" s="1"/>
  <c r="H65" i="1"/>
  <c r="H63" i="1"/>
  <c r="H64" i="1"/>
  <c r="F34" i="1"/>
  <c r="E65" i="1"/>
  <c r="E64" i="1"/>
  <c r="E63" i="1"/>
  <c r="G30" i="1"/>
  <c r="G33" i="1" s="1"/>
  <c r="G28" i="1"/>
  <c r="G29" i="1" s="1"/>
  <c r="G31" i="1"/>
  <c r="H37" i="1"/>
  <c r="H38" i="1" s="1"/>
  <c r="H39" i="1"/>
  <c r="I37" i="1"/>
  <c r="I39" i="1"/>
  <c r="F36" i="1"/>
  <c r="F38" i="1" s="1"/>
  <c r="F65" i="1" l="1"/>
  <c r="F63" i="1"/>
  <c r="G34" i="1"/>
  <c r="F64" i="1"/>
  <c r="I38" i="1"/>
  <c r="H62" i="1" s="1"/>
  <c r="H91" i="1"/>
  <c r="H93" i="1" s="1"/>
  <c r="H61" i="1"/>
  <c r="G61" i="1"/>
  <c r="G62" i="1"/>
  <c r="E62" i="1"/>
  <c r="E61" i="1"/>
  <c r="E87" i="1" s="1"/>
  <c r="E91" i="1"/>
  <c r="E93" i="1" s="1"/>
  <c r="G91" i="1"/>
  <c r="G93" i="1" s="1"/>
  <c r="G36" i="1" l="1"/>
  <c r="G38" i="1" s="1"/>
  <c r="G67" i="1"/>
  <c r="G69" i="1" s="1"/>
  <c r="G71" i="1" s="1"/>
  <c r="G87" i="1"/>
  <c r="H87" i="1"/>
  <c r="H67" i="1"/>
  <c r="H69" i="1" s="1"/>
  <c r="H71" i="1" s="1"/>
  <c r="E67" i="1"/>
  <c r="E69" i="1" s="1"/>
  <c r="E71" i="1" s="1"/>
  <c r="E81" i="1" s="1"/>
  <c r="F91" i="1" l="1"/>
  <c r="F93" i="1" s="1"/>
  <c r="F62" i="1"/>
  <c r="F61" i="1"/>
  <c r="H81" i="1"/>
  <c r="H83" i="1"/>
  <c r="G81" i="1"/>
  <c r="G83" i="1"/>
  <c r="E83" i="1"/>
  <c r="E85" i="1" l="1"/>
  <c r="N39" i="1"/>
  <c r="F67" i="1"/>
  <c r="F69" i="1" s="1"/>
  <c r="F71" i="1" s="1"/>
  <c r="F87" i="1"/>
  <c r="G85" i="1"/>
  <c r="G89" i="1" s="1"/>
  <c r="G95" i="1" s="1"/>
  <c r="H85" i="1"/>
  <c r="H89" i="1" s="1"/>
  <c r="H95" i="1" s="1"/>
  <c r="F83" i="1" l="1"/>
  <c r="F85" i="1" s="1"/>
  <c r="F89" i="1" s="1"/>
  <c r="F95" i="1" s="1"/>
  <c r="F81" i="1"/>
  <c r="E89" i="1"/>
  <c r="E95" i="1" s="1"/>
</calcChain>
</file>

<file path=xl/sharedStrings.xml><?xml version="1.0" encoding="utf-8"?>
<sst xmlns="http://schemas.openxmlformats.org/spreadsheetml/2006/main" count="279" uniqueCount="97">
  <si>
    <t xml:space="preserve">                 Services généraux et stockage</t>
  </si>
  <si>
    <t>engineering</t>
  </si>
  <si>
    <t>redevances</t>
  </si>
  <si>
    <t>livre de procédés</t>
  </si>
  <si>
    <t>interets intercalaires</t>
  </si>
  <si>
    <t>frais de demarrage</t>
  </si>
  <si>
    <t>Capital fixe</t>
  </si>
  <si>
    <t>Capital amortissable</t>
  </si>
  <si>
    <t>fonds de roulement</t>
  </si>
  <si>
    <t>capacité ( T de B/an)</t>
  </si>
  <si>
    <t xml:space="preserve">        -matière première</t>
  </si>
  <si>
    <t xml:space="preserve">       -utilités :</t>
  </si>
  <si>
    <t xml:space="preserve">                 vapeur produite</t>
  </si>
  <si>
    <t xml:space="preserve">                 electricité</t>
  </si>
  <si>
    <t xml:space="preserve">                 eau de refroidissement</t>
  </si>
  <si>
    <t xml:space="preserve">                 eau de chaudière</t>
  </si>
  <si>
    <t xml:space="preserve">      </t>
  </si>
  <si>
    <t>Total charges variables</t>
  </si>
  <si>
    <t>main d'œuvre:</t>
  </si>
  <si>
    <t>Frais opératoires</t>
  </si>
  <si>
    <t>Charges fixes:</t>
  </si>
  <si>
    <t xml:space="preserve">          -Amortissement</t>
  </si>
  <si>
    <t xml:space="preserve">          -Intérets</t>
  </si>
  <si>
    <t xml:space="preserve">          -Entretien</t>
  </si>
  <si>
    <t xml:space="preserve">         -Taxes et assurances</t>
  </si>
  <si>
    <t xml:space="preserve">         -Frais généraux et de siège</t>
  </si>
  <si>
    <t>total charges fixes</t>
  </si>
  <si>
    <t>Capacité (T de B/an)</t>
  </si>
  <si>
    <t>taux de charge (%)</t>
  </si>
  <si>
    <t>prix de vente de B (Dh/T)</t>
  </si>
  <si>
    <t>prix de revient de B (Dh/T)</t>
  </si>
  <si>
    <t>bénéfices Bruts (DH/T)</t>
  </si>
  <si>
    <t>Bénéfices Nets (DH/T)</t>
  </si>
  <si>
    <t>Amortissement (Dh/T)</t>
  </si>
  <si>
    <t>Cash Flow (Dh/T)</t>
  </si>
  <si>
    <t>Capital amortissable (DH)</t>
  </si>
  <si>
    <t>Capital amortissable (Dh/T)</t>
  </si>
  <si>
    <t>taux de chagre</t>
  </si>
  <si>
    <t>Investissement</t>
  </si>
  <si>
    <t>Prix de revient de B en Dh/an</t>
  </si>
  <si>
    <t>charge variables Dh/an</t>
  </si>
  <si>
    <t>(DH/Tproduite)</t>
  </si>
  <si>
    <t>???</t>
  </si>
  <si>
    <t>????</t>
  </si>
  <si>
    <t xml:space="preserve">Amortissement (années): </t>
  </si>
  <si>
    <t>capacité (T de produit  B/an)</t>
  </si>
  <si>
    <t>Electricité (DH/KWh)</t>
  </si>
  <si>
    <t>Eau Refroid. (DH/m3)</t>
  </si>
  <si>
    <t>Eau chaudière (DH/m3)</t>
  </si>
  <si>
    <t>Vap. Produite (DH/T)</t>
  </si>
  <si>
    <t>Prix vente (DH/T)</t>
  </si>
  <si>
    <t>Interets interc. (% CF)</t>
  </si>
  <si>
    <t>FR (mois F. op)</t>
  </si>
  <si>
    <t>Frais démarrage (mois F.Op)</t>
  </si>
  <si>
    <t>Livre Proc. (DH)</t>
  </si>
  <si>
    <t>Main ouevre (Dh/an/pers)</t>
  </si>
  <si>
    <t>Entretien (% IC)</t>
  </si>
  <si>
    <t>Taxes et assurances (% IC)</t>
  </si>
  <si>
    <t>Frais G et de siège (%IC)</t>
  </si>
  <si>
    <t>Temps de remboursement (ans)</t>
  </si>
  <si>
    <t>Mat. Première (DH/T)</t>
  </si>
  <si>
    <t xml:space="preserve">       -consommables (c. i.)</t>
  </si>
  <si>
    <t xml:space="preserve">                 inv. en limite des unités de fabrication (I)</t>
  </si>
  <si>
    <t>Interets (%CA et %FR)</t>
  </si>
  <si>
    <t>investissement de construction (IC)</t>
  </si>
  <si>
    <t>TOTAL (IC)</t>
  </si>
  <si>
    <t>Charge initiale* pour C1</t>
  </si>
  <si>
    <t>Bénéfice et temps de remboursement</t>
  </si>
  <si>
    <t>charge initiale (catalyseur, …)</t>
  </si>
  <si>
    <t>Rmq: On suppose que la production d'une tonne de B</t>
  </si>
  <si>
    <t>nécessite une tonne de matière première (A)</t>
  </si>
  <si>
    <t>fac. Extrapolation , n</t>
  </si>
  <si>
    <t>Simulation 1</t>
  </si>
  <si>
    <t xml:space="preserve">     Améliorations possibles</t>
  </si>
  <si>
    <t>(*)=catalyseur par exemple: à changer chaque année.</t>
  </si>
  <si>
    <t>prix de revient(cout opératoire): Dh/an</t>
  </si>
  <si>
    <t>prix de revient(cout opératoire) :</t>
  </si>
  <si>
    <t>Simulation 2</t>
  </si>
  <si>
    <t>SG et Stockage (% I)</t>
  </si>
  <si>
    <t>Engineering (% I)</t>
  </si>
  <si>
    <t>Redevances (% I)</t>
  </si>
  <si>
    <t>Electricité (KWh/T)</t>
  </si>
  <si>
    <t>Eau de refroidissemnt (m^3/T)</t>
  </si>
  <si>
    <t>Eau de chaudière ( m^3/T)</t>
  </si>
  <si>
    <t>Main d’œuvre (Opérateur/poste)</t>
  </si>
  <si>
    <t>Imposition %</t>
  </si>
  <si>
    <t>Production  vapeur T/T de produit</t>
  </si>
  <si>
    <t>Charges intitiales(T/an)</t>
  </si>
  <si>
    <t>Stock de pièces de rech.</t>
  </si>
  <si>
    <t>Stock de pièces de rech</t>
  </si>
  <si>
    <t>Frais Engg/2</t>
  </si>
  <si>
    <t>I(1996) de C1 (en DH)</t>
  </si>
  <si>
    <t>A-M&amp;S(1996)</t>
  </si>
  <si>
    <t>A-M&amp;S(2024)</t>
  </si>
  <si>
    <t>I (cap simple: C1) en 2024</t>
  </si>
  <si>
    <t xml:space="preserve"> I (cap double: C2) en 2024</t>
  </si>
  <si>
    <t xml:space="preserve">Evaluation Economique Du Projet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</si>
</sst>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4"/>
      <color indexed="8"/>
      <name val="Calibri"/>
      <family val="2"/>
    </font>
    <font>
      <sz val="8"/>
      <name val="Calibri"/>
      <family val="2"/>
    </font>
    <font>
      <b/>
      <sz val="11"/>
      <color indexed="8"/>
      <name val="Calibri"/>
      <family val="2"/>
    </font>
    <font>
      <u/>
      <sz val="11"/>
      <color indexed="8"/>
      <name val="Calibri"/>
      <family val="2"/>
    </font>
    <font>
      <b/>
      <sz val="11"/>
      <color indexed="8"/>
      <name val="Calibri"/>
      <family val="2"/>
    </font>
    <font>
      <b/>
      <sz val="14"/>
      <color theme="1"/>
      <name val="Calibri"/>
      <family val="2"/>
      <scheme val="minor"/>
    </font>
    <font>
      <b/>
      <sz val="11"/>
      <color theme="1"/>
      <name val="Calibri"/>
      <family val="2"/>
      <scheme val="minor"/>
    </font>
    <font>
      <b/>
      <u/>
      <sz val="14"/>
      <color theme="1"/>
      <name val="Calibri"/>
      <family val="2"/>
      <scheme val="minor"/>
    </font>
    <font>
      <b/>
      <sz val="11"/>
      <color rgb="FFFF0000"/>
      <name val="Calibri"/>
      <family val="2"/>
      <scheme val="minor"/>
    </font>
    <font>
      <sz val="11"/>
      <color rgb="FFFF0000"/>
      <name val="Calibri"/>
      <family val="2"/>
      <scheme val="minor"/>
    </font>
    <font>
      <b/>
      <u/>
      <sz val="12"/>
      <color rgb="FF00B050"/>
      <name val="Calibri"/>
      <family val="2"/>
      <scheme val="minor"/>
    </font>
    <font>
      <b/>
      <u/>
      <sz val="11"/>
      <color rgb="FFFF0000"/>
      <name val="Calibri"/>
      <family val="2"/>
      <scheme val="minor"/>
    </font>
    <font>
      <sz val="28"/>
      <color rgb="FF0070C0"/>
      <name val="Calibri"/>
      <family val="2"/>
      <scheme val="minor"/>
    </font>
    <font>
      <b/>
      <sz val="14"/>
      <color rgb="FFC00000"/>
      <name val="Calibri"/>
      <family val="2"/>
      <scheme val="minor"/>
    </font>
    <font>
      <b/>
      <sz val="12"/>
      <color rgb="FFFF0000"/>
      <name val="Calibri"/>
      <family val="2"/>
      <scheme val="minor"/>
    </font>
    <font>
      <b/>
      <sz val="11"/>
      <color theme="5"/>
      <name val="Calibri"/>
      <family val="2"/>
      <scheme val="minor"/>
    </font>
    <font>
      <sz val="11"/>
      <color theme="9" tint="-0.499984740745262"/>
      <name val="Calibri"/>
      <family val="2"/>
      <scheme val="minor"/>
    </font>
    <font>
      <b/>
      <sz val="15"/>
      <color theme="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s>
  <cellStyleXfs count="2">
    <xf numFmtId="0" fontId="0" fillId="0" borderId="0"/>
    <xf numFmtId="0" fontId="18" fillId="0" borderId="15" applyNumberFormat="0" applyFill="0" applyAlignment="0" applyProtection="0"/>
  </cellStyleXfs>
  <cellXfs count="83">
    <xf numFmtId="0" fontId="0" fillId="0" borderId="0" xfId="0"/>
    <xf numFmtId="0" fontId="0" fillId="0" borderId="1" xfId="0" applyBorder="1"/>
    <xf numFmtId="0" fontId="4" fillId="0" borderId="0" xfId="0" applyFont="1"/>
    <xf numFmtId="0" fontId="5" fillId="0" borderId="0" xfId="0" applyFont="1"/>
    <xf numFmtId="0" fontId="3" fillId="0" borderId="0" xfId="0" applyFont="1"/>
    <xf numFmtId="164" fontId="0" fillId="0" borderId="0" xfId="0" applyNumberFormat="1"/>
    <xf numFmtId="0" fontId="6" fillId="0" borderId="0" xfId="0" applyFont="1"/>
    <xf numFmtId="0" fontId="8" fillId="0" borderId="0" xfId="0" applyFont="1"/>
    <xf numFmtId="0" fontId="7" fillId="0" borderId="0" xfId="0" applyFont="1"/>
    <xf numFmtId="0" fontId="0" fillId="0" borderId="1" xfId="0" applyBorder="1" applyAlignment="1">
      <alignment horizontal="center"/>
    </xf>
    <xf numFmtId="0" fontId="0" fillId="0" borderId="14" xfId="0" applyBorder="1"/>
    <xf numFmtId="0" fontId="9" fillId="0" borderId="0" xfId="0" applyFont="1"/>
    <xf numFmtId="0" fontId="0" fillId="0" borderId="0" xfId="0" applyAlignment="1">
      <alignment horizontal="center"/>
    </xf>
    <xf numFmtId="0" fontId="10" fillId="0" borderId="0" xfId="0" applyFont="1"/>
    <xf numFmtId="0" fontId="10" fillId="2" borderId="0" xfId="0" applyFont="1" applyFill="1"/>
    <xf numFmtId="0" fontId="10" fillId="2" borderId="0" xfId="0" applyFont="1" applyFill="1" applyAlignment="1">
      <alignment horizontal="center"/>
    </xf>
    <xf numFmtId="0" fontId="7" fillId="0" borderId="0" xfId="0" applyFont="1" applyAlignment="1">
      <alignment horizontal="center"/>
    </xf>
    <xf numFmtId="0" fontId="11" fillId="2" borderId="0" xfId="0" applyFont="1" applyFill="1"/>
    <xf numFmtId="0" fontId="13" fillId="0" borderId="0" xfId="0" applyFont="1"/>
    <xf numFmtId="0" fontId="1" fillId="3" borderId="0" xfId="0" applyFont="1" applyFill="1"/>
    <xf numFmtId="0" fontId="1" fillId="3" borderId="0" xfId="0" applyFont="1" applyFill="1" applyAlignment="1">
      <alignment horizontal="center"/>
    </xf>
    <xf numFmtId="0" fontId="0" fillId="3" borderId="0" xfId="0" applyFill="1"/>
    <xf numFmtId="0" fontId="0" fillId="4" borderId="1" xfId="0" applyFill="1" applyBorder="1" applyAlignment="1">
      <alignment horizontal="center"/>
    </xf>
    <xf numFmtId="0" fontId="7" fillId="4" borderId="1" xfId="0" applyFont="1" applyFill="1" applyBorder="1"/>
    <xf numFmtId="9" fontId="7" fillId="4" borderId="1" xfId="0" applyNumberFormat="1" applyFont="1" applyFill="1" applyBorder="1"/>
    <xf numFmtId="0" fontId="0" fillId="4" borderId="3" xfId="0" applyFill="1" applyBorder="1"/>
    <xf numFmtId="0" fontId="0" fillId="4" borderId="1" xfId="0" applyFill="1" applyBorder="1"/>
    <xf numFmtId="0" fontId="7" fillId="4" borderId="4" xfId="0" applyFont="1" applyFill="1" applyBorder="1" applyAlignment="1">
      <alignment horizontal="center"/>
    </xf>
    <xf numFmtId="9" fontId="7" fillId="4" borderId="7" xfId="0" applyNumberFormat="1" applyFont="1" applyFill="1" applyBorder="1" applyAlignment="1">
      <alignment horizontal="center"/>
    </xf>
    <xf numFmtId="0" fontId="0" fillId="4" borderId="3" xfId="0" applyFill="1" applyBorder="1" applyAlignment="1">
      <alignment horizontal="center"/>
    </xf>
    <xf numFmtId="0" fontId="0" fillId="4" borderId="0" xfId="0" applyFill="1" applyAlignment="1">
      <alignment horizontal="center"/>
    </xf>
    <xf numFmtId="0" fontId="0" fillId="4" borderId="8"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10" xfId="0" applyFill="1" applyBorder="1" applyAlignment="1">
      <alignment horizontal="center"/>
    </xf>
    <xf numFmtId="0" fontId="0" fillId="4" borderId="2" xfId="0" applyFill="1" applyBorder="1" applyAlignment="1">
      <alignment horizontal="center"/>
    </xf>
    <xf numFmtId="0" fontId="0" fillId="4" borderId="11" xfId="0" applyFill="1" applyBorder="1" applyAlignment="1">
      <alignment horizontal="center"/>
    </xf>
    <xf numFmtId="0" fontId="7" fillId="4" borderId="1" xfId="0" applyFont="1" applyFill="1" applyBorder="1" applyAlignment="1">
      <alignment horizontal="center"/>
    </xf>
    <xf numFmtId="9" fontId="7" fillId="4" borderId="1" xfId="0" applyNumberFormat="1" applyFont="1" applyFill="1" applyBorder="1" applyAlignment="1">
      <alignment horizontal="center"/>
    </xf>
    <xf numFmtId="0" fontId="14" fillId="0" borderId="0" xfId="0" applyFont="1"/>
    <xf numFmtId="0" fontId="7" fillId="5" borderId="1" xfId="0" applyFont="1" applyFill="1" applyBorder="1"/>
    <xf numFmtId="0" fontId="7" fillId="5" borderId="1" xfId="0" applyFont="1" applyFill="1" applyBorder="1" applyAlignment="1">
      <alignment horizontal="center"/>
    </xf>
    <xf numFmtId="9" fontId="7" fillId="5" borderId="1" xfId="0" applyNumberFormat="1" applyFont="1" applyFill="1" applyBorder="1"/>
    <xf numFmtId="9" fontId="7" fillId="5" borderId="1" xfId="0" applyNumberFormat="1" applyFont="1" applyFill="1" applyBorder="1" applyAlignment="1">
      <alignment horizontal="center"/>
    </xf>
    <xf numFmtId="9" fontId="7" fillId="5" borderId="13" xfId="0" applyNumberFormat="1" applyFont="1" applyFill="1" applyBorder="1"/>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6" borderId="9" xfId="0" applyFill="1" applyBorder="1"/>
    <xf numFmtId="0" fontId="0" fillId="6" borderId="10" xfId="0" applyFill="1" applyBorder="1"/>
    <xf numFmtId="0" fontId="0" fillId="6" borderId="11" xfId="0" applyFill="1" applyBorder="1"/>
    <xf numFmtId="0" fontId="0" fillId="6" borderId="12" xfId="0" applyFill="1" applyBorder="1"/>
    <xf numFmtId="0" fontId="0" fillId="6" borderId="4" xfId="0" applyFill="1" applyBorder="1" applyAlignment="1">
      <alignment horizontal="center"/>
    </xf>
    <xf numFmtId="0" fontId="0" fillId="6" borderId="12" xfId="0" applyFill="1" applyBorder="1" applyAlignment="1">
      <alignment horizontal="center"/>
    </xf>
    <xf numFmtId="0" fontId="0" fillId="6" borderId="3" xfId="0" applyFill="1" applyBorder="1" applyAlignment="1">
      <alignment horizontal="center"/>
    </xf>
    <xf numFmtId="0" fontId="0" fillId="6" borderId="7" xfId="0" applyFill="1" applyBorder="1" applyAlignment="1">
      <alignment horizontal="center"/>
    </xf>
    <xf numFmtId="0" fontId="0" fillId="6" borderId="9" xfId="0" applyFill="1" applyBorder="1" applyAlignment="1">
      <alignment horizontal="center"/>
    </xf>
    <xf numFmtId="0" fontId="15" fillId="0" borderId="0" xfId="0" applyFont="1"/>
    <xf numFmtId="0" fontId="7" fillId="0" borderId="1" xfId="0" applyFont="1" applyBorder="1"/>
    <xf numFmtId="0" fontId="0" fillId="0" borderId="1" xfId="0" applyBorder="1" applyAlignment="1">
      <alignment horizontal="left"/>
    </xf>
    <xf numFmtId="0" fontId="12" fillId="0" borderId="0" xfId="0" applyFont="1"/>
    <xf numFmtId="0" fontId="16" fillId="0" borderId="0" xfId="0" applyFont="1"/>
    <xf numFmtId="0" fontId="17" fillId="0" borderId="0" xfId="0" applyFont="1"/>
    <xf numFmtId="0" fontId="0" fillId="2" borderId="1" xfId="0" applyFill="1" applyBorder="1" applyAlignment="1">
      <alignment horizontal="center"/>
    </xf>
    <xf numFmtId="0" fontId="0" fillId="2" borderId="3" xfId="0" applyFill="1" applyBorder="1" applyAlignment="1">
      <alignment horizontal="center"/>
    </xf>
    <xf numFmtId="0" fontId="0" fillId="2" borderId="0" xfId="0" applyFill="1" applyAlignment="1">
      <alignment horizontal="center"/>
    </xf>
    <xf numFmtId="0" fontId="0" fillId="2" borderId="4" xfId="0" applyFill="1" applyBorder="1" applyAlignment="1">
      <alignment horizontal="center"/>
    </xf>
    <xf numFmtId="0" fontId="0" fillId="2" borderId="11" xfId="0" applyFill="1" applyBorder="1" applyAlignment="1">
      <alignment horizontal="center"/>
    </xf>
    <xf numFmtId="0" fontId="0" fillId="2" borderId="3" xfId="0" applyFill="1" applyBorder="1"/>
    <xf numFmtId="0" fontId="0" fillId="2" borderId="9"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12" xfId="0" applyFill="1" applyBorder="1" applyAlignment="1">
      <alignment horizontal="center"/>
    </xf>
    <xf numFmtId="0" fontId="7" fillId="7" borderId="1" xfId="0" applyFont="1" applyFill="1" applyBorder="1" applyAlignment="1">
      <alignment horizontal="center"/>
    </xf>
    <xf numFmtId="0" fontId="7" fillId="7" borderId="4" xfId="0" applyFont="1" applyFill="1" applyBorder="1" applyAlignment="1">
      <alignment horizontal="center"/>
    </xf>
    <xf numFmtId="0" fontId="0" fillId="0" borderId="2" xfId="0" applyBorder="1"/>
    <xf numFmtId="0" fontId="0" fillId="0" borderId="4" xfId="0" applyBorder="1"/>
    <xf numFmtId="0" fontId="18" fillId="0" borderId="15" xfId="1" applyAlignment="1">
      <alignment horizontal="center" vertical="center"/>
    </xf>
  </cellXfs>
  <cellStyles count="2">
    <cellStyle name="Heading 1" xfId="1" builtinId="1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174626</xdr:colOff>
      <xdr:row>85</xdr:row>
      <xdr:rowOff>79375</xdr:rowOff>
    </xdr:from>
    <xdr:to>
      <xdr:col>16</xdr:col>
      <xdr:colOff>230188</xdr:colOff>
      <xdr:row>93</xdr:row>
      <xdr:rowOff>166687</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6651626" y="16343313"/>
          <a:ext cx="7945437" cy="1547812"/>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a:t>
          </a:r>
          <a:r>
            <a:rPr lang="fr-FR" sz="1100" b="0" i="0">
              <a:solidFill>
                <a:schemeClr val="dk1"/>
              </a:solidFill>
              <a:effectLst/>
              <a:latin typeface="+mn-lt"/>
              <a:ea typeface="+mn-ea"/>
              <a:cs typeface="+mn-cs"/>
            </a:rPr>
            <a:t>Bien que la capacité double (C2) implique un investissement initial plus important, elle offre des bénéfices bruts et nets par tonne de produit B plus élevés</a:t>
          </a:r>
          <a:r>
            <a:rPr lang="fr-FR" sz="1100" b="0" i="0" baseline="0">
              <a:solidFill>
                <a:schemeClr val="dk1"/>
              </a:solidFill>
              <a:effectLst/>
              <a:latin typeface="+mn-lt"/>
              <a:ea typeface="+mn-ea"/>
              <a:cs typeface="+mn-cs"/>
            </a:rPr>
            <a:t> et un temps de remboursement court.</a:t>
          </a:r>
          <a:r>
            <a:rPr lang="fr-FR" sz="1100" b="0" i="0">
              <a:solidFill>
                <a:schemeClr val="dk1"/>
              </a:solidFill>
              <a:effectLst/>
              <a:latin typeface="+mn-lt"/>
              <a:ea typeface="+mn-ea"/>
              <a:cs typeface="+mn-cs"/>
            </a:rPr>
            <a:t> Cela peut indiquer une efficacité opérationnelle accrue à mesure que la production augmente.</a:t>
          </a:r>
        </a:p>
        <a:p>
          <a:r>
            <a:rPr lang="fr-FR" sz="1100"/>
            <a:t>*</a:t>
          </a:r>
          <a:r>
            <a:rPr lang="fr-FR" sz="1100" b="0" i="0">
              <a:solidFill>
                <a:schemeClr val="dk1"/>
              </a:solidFill>
              <a:effectLst/>
              <a:latin typeface="+mn-lt"/>
              <a:ea typeface="+mn-ea"/>
              <a:cs typeface="+mn-cs"/>
            </a:rPr>
            <a:t>Les taux de charge de 85% semblent entraîner une légère augmentation du temps de remboursement par rapport à un taux de charge de 100%, mais le cash flow reste élevé.</a:t>
          </a:r>
        </a:p>
        <a:p>
          <a:r>
            <a:rPr lang="fr-FR" sz="1100" b="0" i="0">
              <a:solidFill>
                <a:schemeClr val="dk1"/>
              </a:solidFill>
              <a:effectLst/>
              <a:latin typeface="+mn-lt"/>
              <a:ea typeface="+mn-ea"/>
              <a:cs typeface="+mn-cs"/>
            </a:rPr>
            <a:t>*Lorsque la capacité augmente,</a:t>
          </a:r>
          <a:r>
            <a:rPr lang="fr-FR" sz="1100" b="0" i="0" baseline="0">
              <a:solidFill>
                <a:schemeClr val="dk1"/>
              </a:solidFill>
              <a:effectLst/>
              <a:latin typeface="+mn-lt"/>
              <a:ea typeface="+mn-ea"/>
              <a:cs typeface="+mn-cs"/>
            </a:rPr>
            <a:t> le coût de revient diminue.</a:t>
          </a:r>
        </a:p>
        <a:p>
          <a:r>
            <a:rPr lang="fr-FR" sz="1100" b="0" i="0" baseline="0">
              <a:solidFill>
                <a:schemeClr val="dk1"/>
              </a:solidFill>
              <a:effectLst/>
              <a:latin typeface="+mn-lt"/>
              <a:ea typeface="+mn-ea"/>
              <a:cs typeface="+mn-cs"/>
            </a:rPr>
            <a:t>*</a:t>
          </a:r>
          <a:r>
            <a:rPr lang="fr-FR" sz="1100" b="0" i="0">
              <a:solidFill>
                <a:schemeClr val="dk1"/>
              </a:solidFill>
              <a:effectLst/>
              <a:latin typeface="+mn-lt"/>
              <a:ea typeface="+mn-ea"/>
              <a:cs typeface="+mn-cs"/>
            </a:rPr>
            <a:t>Les temps de remboursement de moins de 6 ans pour les deux capacités suggèrent une capacité à recouvrer rapidement les coûts d'investissement.</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351824</xdr:colOff>
      <xdr:row>53</xdr:row>
      <xdr:rowOff>94393</xdr:rowOff>
    </xdr:from>
    <xdr:to>
      <xdr:col>17</xdr:col>
      <xdr:colOff>283175</xdr:colOff>
      <xdr:row>63</xdr:row>
      <xdr:rowOff>17163</xdr:rowOff>
    </xdr:to>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6461554" y="9868244"/>
          <a:ext cx="8091959" cy="172479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i="0">
              <a:solidFill>
                <a:schemeClr val="dk1"/>
              </a:solidFill>
              <a:effectLst/>
              <a:latin typeface="+mn-lt"/>
              <a:ea typeface="+mn-ea"/>
              <a:cs typeface="+mn-cs"/>
            </a:rPr>
            <a:t>Résultats: </a:t>
          </a:r>
        </a:p>
        <a:p>
          <a:r>
            <a:rPr lang="fr-FR" sz="1100" b="1" i="0">
              <a:solidFill>
                <a:schemeClr val="dk1"/>
              </a:solidFill>
              <a:effectLst/>
              <a:latin typeface="+mn-lt"/>
              <a:ea typeface="+mn-ea"/>
              <a:cs typeface="+mn-cs"/>
            </a:rPr>
            <a:t>*</a:t>
          </a:r>
          <a:r>
            <a:rPr lang="fr-FR" sz="1100" b="0" i="0">
              <a:solidFill>
                <a:schemeClr val="dk1"/>
              </a:solidFill>
              <a:effectLst/>
              <a:latin typeface="+mn-lt"/>
              <a:ea typeface="+mn-ea"/>
              <a:cs typeface="+mn-cs"/>
            </a:rPr>
            <a:t>Le </a:t>
          </a:r>
          <a:r>
            <a:rPr lang="fr-FR" sz="1100" b="1" i="0">
              <a:solidFill>
                <a:schemeClr val="dk1"/>
              </a:solidFill>
              <a:effectLst/>
              <a:latin typeface="+mn-lt"/>
              <a:ea typeface="+mn-ea"/>
              <a:cs typeface="+mn-cs"/>
            </a:rPr>
            <a:t>prix de revient </a:t>
          </a:r>
          <a:r>
            <a:rPr lang="fr-FR" sz="1100" b="0" i="0">
              <a:solidFill>
                <a:schemeClr val="dk1"/>
              </a:solidFill>
              <a:effectLst/>
              <a:latin typeface="+mn-lt"/>
              <a:ea typeface="+mn-ea"/>
              <a:cs typeface="+mn-cs"/>
            </a:rPr>
            <a:t>a diminué pour toutes les capacités, indiquant une amélioration de la rentabilité. Cela s'explique par la réduction des coûts de matières premières.</a:t>
          </a:r>
        </a:p>
        <a:p>
          <a:r>
            <a:rPr lang="fr-FR" sz="1100" b="0" i="0">
              <a:solidFill>
                <a:schemeClr val="dk1"/>
              </a:solidFill>
              <a:effectLst/>
              <a:latin typeface="+mn-lt"/>
              <a:ea typeface="+mn-ea"/>
              <a:cs typeface="+mn-cs"/>
            </a:rPr>
            <a:t>*Le </a:t>
          </a:r>
          <a:r>
            <a:rPr lang="fr-FR" sz="1100" b="1" i="0">
              <a:solidFill>
                <a:schemeClr val="dk1"/>
              </a:solidFill>
              <a:effectLst/>
              <a:latin typeface="+mn-lt"/>
              <a:ea typeface="+mn-ea"/>
              <a:cs typeface="+mn-cs"/>
            </a:rPr>
            <a:t>temps de remboursement </a:t>
          </a:r>
          <a:r>
            <a:rPr lang="fr-FR" sz="1100" b="0" i="0">
              <a:solidFill>
                <a:schemeClr val="dk1"/>
              </a:solidFill>
              <a:effectLst/>
              <a:latin typeface="+mn-lt"/>
              <a:ea typeface="+mn-ea"/>
              <a:cs typeface="+mn-cs"/>
            </a:rPr>
            <a:t>a légèrement diminué pour toutes les capacités, suggérant une récupération plus rapide de l'investissement initial.</a:t>
          </a:r>
        </a:p>
        <a:p>
          <a:r>
            <a:rPr lang="fr-FR" sz="1100" b="0" i="0">
              <a:solidFill>
                <a:schemeClr val="dk1"/>
              </a:solidFill>
              <a:effectLst/>
              <a:latin typeface="+mn-lt"/>
              <a:ea typeface="+mn-ea"/>
              <a:cs typeface="+mn-cs"/>
            </a:rPr>
            <a:t>*Les </a:t>
          </a:r>
          <a:r>
            <a:rPr lang="fr-FR" sz="1100" b="1" i="0">
              <a:solidFill>
                <a:schemeClr val="dk1"/>
              </a:solidFill>
              <a:effectLst/>
              <a:latin typeface="+mn-lt"/>
              <a:ea typeface="+mn-ea"/>
              <a:cs typeface="+mn-cs"/>
            </a:rPr>
            <a:t>bénéfices nets </a:t>
          </a:r>
          <a:r>
            <a:rPr lang="fr-FR" sz="1100" b="0" i="0">
              <a:solidFill>
                <a:schemeClr val="dk1"/>
              </a:solidFill>
              <a:effectLst/>
              <a:latin typeface="+mn-lt"/>
              <a:ea typeface="+mn-ea"/>
              <a:cs typeface="+mn-cs"/>
            </a:rPr>
            <a:t>par tonne de produit B ont augmenté, démontrant l'impact positif de l'ajustement des prix de vente et des coûts de matières premières.</a:t>
          </a:r>
        </a:p>
        <a:p>
          <a:r>
            <a:rPr lang="fr-FR" sz="1100" b="0" i="0">
              <a:solidFill>
                <a:schemeClr val="dk1"/>
              </a:solidFill>
              <a:effectLst/>
              <a:latin typeface="+mn-lt"/>
              <a:ea typeface="+mn-ea"/>
              <a:cs typeface="+mn-cs"/>
            </a:rPr>
            <a:t>*Le </a:t>
          </a:r>
          <a:r>
            <a:rPr lang="fr-FR" sz="1100" b="1" i="0">
              <a:solidFill>
                <a:schemeClr val="dk1"/>
              </a:solidFill>
              <a:effectLst/>
              <a:latin typeface="+mn-lt"/>
              <a:ea typeface="+mn-ea"/>
              <a:cs typeface="+mn-cs"/>
            </a:rPr>
            <a:t>cash flow </a:t>
          </a:r>
          <a:r>
            <a:rPr lang="fr-FR" sz="1100" b="0" i="0">
              <a:solidFill>
                <a:schemeClr val="dk1"/>
              </a:solidFill>
              <a:effectLst/>
              <a:latin typeface="+mn-lt"/>
              <a:ea typeface="+mn-ea"/>
              <a:cs typeface="+mn-cs"/>
            </a:rPr>
            <a:t>par tonne de produit a augmenté, montrant une meilleure génération de trésorerie. Cela peut contribuer à une plus grande flexibilité financière.</a:t>
          </a:r>
          <a:endParaRPr lang="fr-FR" sz="1100"/>
        </a:p>
      </xdr:txBody>
    </xdr:sp>
    <xdr:clientData/>
  </xdr:twoCellAnchor>
  <xdr:twoCellAnchor>
    <xdr:from>
      <xdr:col>2</xdr:col>
      <xdr:colOff>34325</xdr:colOff>
      <xdr:row>3</xdr:row>
      <xdr:rowOff>137297</xdr:rowOff>
    </xdr:from>
    <xdr:to>
      <xdr:col>11</xdr:col>
      <xdr:colOff>291757</xdr:colOff>
      <xdr:row>7</xdr:row>
      <xdr:rowOff>60067</xdr:rowOff>
    </xdr:to>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561757" y="780878"/>
          <a:ext cx="7130878" cy="643581"/>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dk1"/>
              </a:solidFill>
              <a:effectLst/>
              <a:latin typeface="+mn-lt"/>
              <a:ea typeface="+mn-ea"/>
              <a:cs typeface="+mn-cs"/>
            </a:rPr>
            <a:t>Améliorations 1:</a:t>
          </a:r>
          <a:r>
            <a:rPr lang="fr-FR" sz="1100" b="1" baseline="0">
              <a:solidFill>
                <a:schemeClr val="dk1"/>
              </a:solidFill>
              <a:effectLst/>
              <a:latin typeface="+mn-lt"/>
              <a:ea typeface="+mn-ea"/>
              <a:cs typeface="+mn-cs"/>
            </a:rPr>
            <a:t> </a:t>
          </a:r>
          <a:r>
            <a:rPr lang="fr-FR" sz="1100" b="0" i="0">
              <a:solidFill>
                <a:schemeClr val="dk1"/>
              </a:solidFill>
              <a:effectLst/>
              <a:latin typeface="+mn-lt"/>
              <a:ea typeface="+mn-ea"/>
              <a:cs typeface="+mn-cs"/>
            </a:rPr>
            <a:t>L'augmentation du </a:t>
          </a:r>
          <a:r>
            <a:rPr lang="fr-FR" sz="1100" b="0" i="0" u="sng">
              <a:solidFill>
                <a:schemeClr val="dk1"/>
              </a:solidFill>
              <a:effectLst/>
              <a:latin typeface="+mn-lt"/>
              <a:ea typeface="+mn-ea"/>
              <a:cs typeface="+mn-cs"/>
            </a:rPr>
            <a:t>prix de vente</a:t>
          </a:r>
          <a:r>
            <a:rPr lang="fr-FR" sz="1100" b="1" i="0" u="sng">
              <a:solidFill>
                <a:schemeClr val="dk1"/>
              </a:solidFill>
              <a:effectLst/>
              <a:latin typeface="+mn-lt"/>
              <a:ea typeface="+mn-ea"/>
              <a:cs typeface="+mn-cs"/>
            </a:rPr>
            <a:t> </a:t>
          </a:r>
          <a:r>
            <a:rPr lang="fr-FR" sz="1100" b="0" i="0">
              <a:solidFill>
                <a:schemeClr val="dk1"/>
              </a:solidFill>
              <a:effectLst/>
              <a:latin typeface="+mn-lt"/>
              <a:ea typeface="+mn-ea"/>
              <a:cs typeface="+mn-cs"/>
            </a:rPr>
            <a:t>de 10 DH et la déminution des </a:t>
          </a:r>
          <a:r>
            <a:rPr lang="fr-FR" sz="1100" b="0" i="0" u="sng">
              <a:solidFill>
                <a:schemeClr val="dk1"/>
              </a:solidFill>
              <a:effectLst/>
              <a:latin typeface="+mn-lt"/>
              <a:ea typeface="+mn-ea"/>
              <a:cs typeface="+mn-cs"/>
            </a:rPr>
            <a:t>coûts de matières premières </a:t>
          </a:r>
          <a:r>
            <a:rPr lang="fr-FR" sz="1100" b="0" i="0">
              <a:solidFill>
                <a:schemeClr val="dk1"/>
              </a:solidFill>
              <a:effectLst/>
              <a:latin typeface="+mn-lt"/>
              <a:ea typeface="+mn-ea"/>
              <a:cs typeface="+mn-cs"/>
            </a:rPr>
            <a:t>de 10 DH .</a:t>
          </a:r>
          <a:endParaRPr lang="fr-FR">
            <a:effectLst/>
          </a:endParaRPr>
        </a:p>
        <a:p>
          <a:r>
            <a:rPr lang="fr-FR" sz="1100" b="1" i="0">
              <a:solidFill>
                <a:schemeClr val="dk1"/>
              </a:solidFill>
              <a:effectLst/>
              <a:latin typeface="+mn-lt"/>
              <a:ea typeface="+mn-ea"/>
              <a:cs typeface="+mn-cs"/>
            </a:rPr>
            <a:t>Justification: </a:t>
          </a:r>
          <a:r>
            <a:rPr lang="fr-FR" sz="1100" b="0" i="0">
              <a:solidFill>
                <a:schemeClr val="dk1"/>
              </a:solidFill>
              <a:effectLst/>
              <a:latin typeface="+mn-lt"/>
              <a:ea typeface="+mn-ea"/>
              <a:cs typeface="+mn-cs"/>
            </a:rPr>
            <a:t>L'augmentation du prix de vente contribuera directement à l'amélioration de la marge brute par tonne de produit B. Ceci, combiné à la réduction des coûts de matières premières, augmente la rentabilité globale du produit.</a:t>
          </a:r>
          <a:endParaRPr lang="fr-FR">
            <a:effectLst/>
          </a:endParaRPr>
        </a:p>
        <a:p>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186724</xdr:colOff>
      <xdr:row>3</xdr:row>
      <xdr:rowOff>48396</xdr:rowOff>
    </xdr:from>
    <xdr:to>
      <xdr:col>12</xdr:col>
      <xdr:colOff>495300</xdr:colOff>
      <xdr:row>7</xdr:row>
      <xdr:rowOff>107949</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1710724" y="702446"/>
          <a:ext cx="7928576" cy="79615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dk1"/>
              </a:solidFill>
              <a:effectLst/>
              <a:latin typeface="+mn-lt"/>
              <a:ea typeface="+mn-ea"/>
              <a:cs typeface="+mn-cs"/>
            </a:rPr>
            <a:t>Améliorations 2:</a:t>
          </a:r>
          <a:r>
            <a:rPr lang="fr-FR" sz="1100" b="1" baseline="0">
              <a:solidFill>
                <a:schemeClr val="dk1"/>
              </a:solidFill>
              <a:effectLst/>
              <a:latin typeface="+mn-lt"/>
              <a:ea typeface="+mn-ea"/>
              <a:cs typeface="+mn-cs"/>
            </a:rPr>
            <a:t> </a:t>
          </a:r>
          <a:r>
            <a:rPr lang="fr-FR" sz="1100" b="0" i="0">
              <a:solidFill>
                <a:schemeClr val="dk1"/>
              </a:solidFill>
              <a:effectLst/>
              <a:latin typeface="+mn-lt"/>
              <a:ea typeface="+mn-ea"/>
              <a:cs typeface="+mn-cs"/>
            </a:rPr>
            <a:t>L'augmentation du </a:t>
          </a:r>
          <a:r>
            <a:rPr lang="fr-FR" sz="1100" b="0" i="0" u="sng">
              <a:solidFill>
                <a:schemeClr val="dk1"/>
              </a:solidFill>
              <a:effectLst/>
              <a:latin typeface="+mn-lt"/>
              <a:ea typeface="+mn-ea"/>
              <a:cs typeface="+mn-cs"/>
            </a:rPr>
            <a:t>prix de vapeur produite</a:t>
          </a:r>
          <a:r>
            <a:rPr lang="fr-FR" sz="1100" b="1" i="0" u="sng">
              <a:solidFill>
                <a:schemeClr val="dk1"/>
              </a:solidFill>
              <a:effectLst/>
              <a:latin typeface="+mn-lt"/>
              <a:ea typeface="+mn-ea"/>
              <a:cs typeface="+mn-cs"/>
            </a:rPr>
            <a:t> </a:t>
          </a:r>
          <a:r>
            <a:rPr lang="fr-FR" sz="1100" b="0" i="0">
              <a:solidFill>
                <a:schemeClr val="dk1"/>
              </a:solidFill>
              <a:effectLst/>
              <a:latin typeface="+mn-lt"/>
              <a:ea typeface="+mn-ea"/>
              <a:cs typeface="+mn-cs"/>
            </a:rPr>
            <a:t>de 10 DH et la déminution des </a:t>
          </a:r>
          <a:r>
            <a:rPr lang="fr-FR" sz="1100" b="0" i="0" u="sng">
              <a:solidFill>
                <a:schemeClr val="dk1"/>
              </a:solidFill>
              <a:effectLst/>
              <a:latin typeface="+mn-lt"/>
              <a:ea typeface="+mn-ea"/>
              <a:cs typeface="+mn-cs"/>
            </a:rPr>
            <a:t>coûts de mains d'œuvres</a:t>
          </a:r>
          <a:r>
            <a:rPr lang="fr-FR" sz="1100" b="0" i="0" u="sng" baseline="0">
              <a:solidFill>
                <a:schemeClr val="dk1"/>
              </a:solidFill>
              <a:effectLst/>
              <a:latin typeface="+mn-lt"/>
              <a:ea typeface="+mn-ea"/>
              <a:cs typeface="+mn-cs"/>
            </a:rPr>
            <a:t> </a:t>
          </a:r>
          <a:r>
            <a:rPr lang="fr-FR" sz="1100" b="0" i="0">
              <a:solidFill>
                <a:schemeClr val="dk1"/>
              </a:solidFill>
              <a:effectLst/>
              <a:latin typeface="+mn-lt"/>
              <a:ea typeface="+mn-ea"/>
              <a:cs typeface="+mn-cs"/>
            </a:rPr>
            <a:t>de 6000 DH/an .</a:t>
          </a:r>
          <a:endParaRPr lang="fr-FR">
            <a:effectLst/>
          </a:endParaRPr>
        </a:p>
        <a:p>
          <a:r>
            <a:rPr lang="fr-FR" sz="1100" b="1" i="0">
              <a:solidFill>
                <a:schemeClr val="dk1"/>
              </a:solidFill>
              <a:effectLst/>
              <a:latin typeface="+mn-lt"/>
              <a:ea typeface="+mn-ea"/>
              <a:cs typeface="+mn-cs"/>
            </a:rPr>
            <a:t>Justification: </a:t>
          </a:r>
          <a:r>
            <a:rPr lang="fr-FR" sz="1100" b="0" i="0">
              <a:solidFill>
                <a:schemeClr val="dk1"/>
              </a:solidFill>
              <a:effectLst/>
              <a:latin typeface="+mn-lt"/>
              <a:ea typeface="+mn-ea"/>
              <a:cs typeface="+mn-cs"/>
            </a:rPr>
            <a:t>La combinaison de l'augmentation du prix de la vapeur produite et de la réduction des coûts de main-d'œuvre peut avoir un effet cumulatif significatif sur le coût de production par tonne de produit B. L'objectif est d'améliorer la rentabilité en augmentant les revenus tout en réduisant les coûts variables.</a:t>
          </a:r>
          <a:endParaRPr lang="fr-FR" sz="1100"/>
        </a:p>
      </xdr:txBody>
    </xdr:sp>
    <xdr:clientData/>
  </xdr:twoCellAnchor>
  <xdr:twoCellAnchor>
    <xdr:from>
      <xdr:col>8</xdr:col>
      <xdr:colOff>321067</xdr:colOff>
      <xdr:row>47</xdr:row>
      <xdr:rowOff>21406</xdr:rowOff>
    </xdr:from>
    <xdr:to>
      <xdr:col>18</xdr:col>
      <xdr:colOff>10080</xdr:colOff>
      <xdr:row>54</xdr:row>
      <xdr:rowOff>40318</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6449321" y="8770295"/>
          <a:ext cx="7349330" cy="1288912"/>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i="0">
              <a:solidFill>
                <a:schemeClr val="dk1"/>
              </a:solidFill>
              <a:effectLst/>
              <a:latin typeface="+mn-lt"/>
              <a:ea typeface="+mn-ea"/>
              <a:cs typeface="+mn-cs"/>
            </a:rPr>
            <a:t>Résultats: </a:t>
          </a:r>
        </a:p>
        <a:p>
          <a:r>
            <a:rPr lang="fr-FR" sz="1100" b="1" i="0">
              <a:solidFill>
                <a:schemeClr val="dk1"/>
              </a:solidFill>
              <a:effectLst/>
              <a:latin typeface="+mn-lt"/>
              <a:ea typeface="+mn-ea"/>
              <a:cs typeface="+mn-cs"/>
            </a:rPr>
            <a:t>*</a:t>
          </a:r>
          <a:r>
            <a:rPr lang="fr-FR" sz="1100" b="0" i="0">
              <a:solidFill>
                <a:schemeClr val="dk1"/>
              </a:solidFill>
              <a:effectLst/>
              <a:latin typeface="+mn-lt"/>
              <a:ea typeface="+mn-ea"/>
              <a:cs typeface="+mn-cs"/>
            </a:rPr>
            <a:t>Les</a:t>
          </a:r>
          <a:r>
            <a:rPr lang="fr-FR" sz="1100" b="0" i="0" baseline="0">
              <a:solidFill>
                <a:schemeClr val="dk1"/>
              </a:solidFill>
              <a:effectLst/>
              <a:latin typeface="+mn-lt"/>
              <a:ea typeface="+mn-ea"/>
              <a:cs typeface="+mn-cs"/>
            </a:rPr>
            <a:t> </a:t>
          </a:r>
          <a:r>
            <a:rPr lang="fr-FR" sz="1100" b="1" i="0" baseline="0">
              <a:solidFill>
                <a:schemeClr val="dk1"/>
              </a:solidFill>
              <a:effectLst/>
              <a:latin typeface="+mn-lt"/>
              <a:ea typeface="+mn-ea"/>
              <a:cs typeface="+mn-cs"/>
            </a:rPr>
            <a:t>charges variables </a:t>
          </a:r>
          <a:r>
            <a:rPr lang="fr-FR" sz="1100" b="0" i="0">
              <a:solidFill>
                <a:schemeClr val="dk1"/>
              </a:solidFill>
              <a:effectLst/>
              <a:latin typeface="+mn-lt"/>
              <a:ea typeface="+mn-ea"/>
              <a:cs typeface="+mn-cs"/>
            </a:rPr>
            <a:t>ont été ajustées en fonction de l'augmentation du prix de vapeur produite. Cela a entraîné une diminution des charges variables totales.</a:t>
          </a:r>
        </a:p>
        <a:p>
          <a:pPr marL="0" marR="0" lvl="0" indent="0" defTabSz="914400" eaLnBrk="1" fontAlgn="auto" latinLnBrk="0" hangingPunct="1">
            <a:lnSpc>
              <a:spcPct val="100000"/>
            </a:lnSpc>
            <a:spcBef>
              <a:spcPts val="0"/>
            </a:spcBef>
            <a:spcAft>
              <a:spcPts val="0"/>
            </a:spcAft>
            <a:buClrTx/>
            <a:buSzTx/>
            <a:buFontTx/>
            <a:buNone/>
            <a:tabLst/>
            <a:defRPr/>
          </a:pPr>
          <a:r>
            <a:rPr lang="fr-FR" sz="1100" b="0" i="0">
              <a:solidFill>
                <a:schemeClr val="dk1"/>
              </a:solidFill>
              <a:effectLst/>
              <a:latin typeface="+mn-lt"/>
              <a:ea typeface="+mn-ea"/>
              <a:cs typeface="+mn-cs"/>
            </a:rPr>
            <a:t>*Le </a:t>
          </a:r>
          <a:r>
            <a:rPr lang="fr-FR" sz="1100" b="1" i="0">
              <a:solidFill>
                <a:schemeClr val="dk1"/>
              </a:solidFill>
              <a:effectLst/>
              <a:latin typeface="+mn-lt"/>
              <a:ea typeface="+mn-ea"/>
              <a:cs typeface="+mn-cs"/>
            </a:rPr>
            <a:t>cash flow </a:t>
          </a:r>
          <a:r>
            <a:rPr lang="fr-FR" sz="1100" b="0" i="0">
              <a:solidFill>
                <a:schemeClr val="dk1"/>
              </a:solidFill>
              <a:effectLst/>
              <a:latin typeface="+mn-lt"/>
              <a:ea typeface="+mn-ea"/>
              <a:cs typeface="+mn-cs"/>
            </a:rPr>
            <a:t>par tonne produite a également augmenté, montrant une meilleure génération de liquidités.</a:t>
          </a:r>
        </a:p>
        <a:p>
          <a:pPr marL="0" marR="0" lvl="0" indent="0" defTabSz="914400" eaLnBrk="1" fontAlgn="auto" latinLnBrk="0" hangingPunct="1">
            <a:lnSpc>
              <a:spcPct val="100000"/>
            </a:lnSpc>
            <a:spcBef>
              <a:spcPts val="0"/>
            </a:spcBef>
            <a:spcAft>
              <a:spcPts val="0"/>
            </a:spcAft>
            <a:buClrTx/>
            <a:buSzTx/>
            <a:buFontTx/>
            <a:buNone/>
            <a:tabLst/>
            <a:defRPr/>
          </a:pPr>
          <a:r>
            <a:rPr lang="fr-FR" sz="1100" b="0" i="0">
              <a:solidFill>
                <a:schemeClr val="dk1"/>
              </a:solidFill>
              <a:effectLst/>
              <a:latin typeface="+mn-lt"/>
              <a:ea typeface="+mn-ea"/>
              <a:cs typeface="+mn-cs"/>
            </a:rPr>
            <a:t>*</a:t>
          </a:r>
          <a:r>
            <a:rPr lang="fr-FR" sz="1100" b="1" i="0">
              <a:solidFill>
                <a:schemeClr val="dk1"/>
              </a:solidFill>
              <a:effectLst/>
              <a:latin typeface="+mn-lt"/>
              <a:ea typeface="+mn-ea"/>
              <a:cs typeface="+mn-cs"/>
            </a:rPr>
            <a:t>Le capital amortissable </a:t>
          </a:r>
          <a:r>
            <a:rPr lang="fr-FR" sz="1100" b="0" i="0">
              <a:solidFill>
                <a:schemeClr val="dk1"/>
              </a:solidFill>
              <a:effectLst/>
              <a:latin typeface="+mn-lt"/>
              <a:ea typeface="+mn-ea"/>
              <a:cs typeface="+mn-cs"/>
            </a:rPr>
            <a:t>par tonne produite a diminué, ce qui a contribué à réduire </a:t>
          </a:r>
          <a:r>
            <a:rPr lang="fr-FR" sz="1100" b="1" i="0">
              <a:solidFill>
                <a:schemeClr val="dk1"/>
              </a:solidFill>
              <a:effectLst/>
              <a:latin typeface="+mn-lt"/>
              <a:ea typeface="+mn-ea"/>
              <a:cs typeface="+mn-cs"/>
            </a:rPr>
            <a:t>le temps de remboursement.</a:t>
          </a:r>
        </a:p>
        <a:p>
          <a:pPr marL="0" marR="0" lvl="0" indent="0" defTabSz="914400" eaLnBrk="1" fontAlgn="auto" latinLnBrk="0" hangingPunct="1">
            <a:lnSpc>
              <a:spcPct val="100000"/>
            </a:lnSpc>
            <a:spcBef>
              <a:spcPts val="0"/>
            </a:spcBef>
            <a:spcAft>
              <a:spcPts val="0"/>
            </a:spcAft>
            <a:buClrTx/>
            <a:buSzTx/>
            <a:buFontTx/>
            <a:buNone/>
            <a:tabLst/>
            <a:defRPr/>
          </a:pPr>
          <a:r>
            <a:rPr lang="fr-FR" sz="1100" b="0" i="0">
              <a:solidFill>
                <a:schemeClr val="dk1"/>
              </a:solidFill>
              <a:effectLst/>
              <a:latin typeface="+mn-lt"/>
              <a:ea typeface="+mn-ea"/>
              <a:cs typeface="+mn-cs"/>
            </a:rPr>
            <a:t>*Les </a:t>
          </a:r>
          <a:r>
            <a:rPr lang="fr-FR" sz="1100" b="1" i="0">
              <a:solidFill>
                <a:schemeClr val="dk1"/>
              </a:solidFill>
              <a:effectLst/>
              <a:latin typeface="+mn-lt"/>
              <a:ea typeface="+mn-ea"/>
              <a:cs typeface="+mn-cs"/>
            </a:rPr>
            <a:t>bénéfices nets et</a:t>
          </a:r>
          <a:r>
            <a:rPr lang="fr-FR" sz="1100" b="1" i="0" baseline="0">
              <a:solidFill>
                <a:schemeClr val="dk1"/>
              </a:solidFill>
              <a:effectLst/>
              <a:latin typeface="+mn-lt"/>
              <a:ea typeface="+mn-ea"/>
              <a:cs typeface="+mn-cs"/>
            </a:rPr>
            <a:t> bruts </a:t>
          </a:r>
          <a:r>
            <a:rPr lang="fr-FR" sz="1100" b="0" i="0">
              <a:solidFill>
                <a:schemeClr val="dk1"/>
              </a:solidFill>
              <a:effectLst/>
              <a:latin typeface="+mn-lt"/>
              <a:ea typeface="+mn-ea"/>
              <a:cs typeface="+mn-cs"/>
            </a:rPr>
            <a:t>par tonne produite ont augmenté, indiquant une amélioration de la rentabilité.</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E253"/>
  <sheetViews>
    <sheetView tabSelected="1" zoomScale="70" zoomScaleNormal="110" workbookViewId="0">
      <selection activeCell="I55" sqref="I55:L55"/>
    </sheetView>
  </sheetViews>
  <sheetFormatPr defaultColWidth="10.90625" defaultRowHeight="14.5" x14ac:dyDescent="0.35"/>
  <cols>
    <col min="1" max="1" width="9" customWidth="1"/>
    <col min="4" max="4" width="13.6328125" customWidth="1"/>
    <col min="5" max="5" width="11.453125" style="12"/>
    <col min="8" max="8" width="15" customWidth="1"/>
    <col min="9" max="9" width="11.453125" style="12"/>
    <col min="10" max="10" width="10" customWidth="1"/>
    <col min="11" max="11" width="16" customWidth="1"/>
    <col min="12" max="12" width="13.81640625" customWidth="1"/>
    <col min="13" max="13" width="28.26953125" style="12" customWidth="1"/>
    <col min="14" max="14" width="11.453125" style="12"/>
  </cols>
  <sheetData>
    <row r="3" spans="3:14" ht="18.5" customHeight="1" thickBot="1" x14ac:dyDescent="0.4">
      <c r="E3" s="82" t="s">
        <v>96</v>
      </c>
      <c r="F3" s="82"/>
      <c r="G3" s="82"/>
      <c r="H3" s="82"/>
      <c r="I3" s="82"/>
      <c r="J3" s="82"/>
      <c r="K3" s="82"/>
    </row>
    <row r="4" spans="3:14" ht="18.5" customHeight="1" thickTop="1" thickBot="1" x14ac:dyDescent="0.4">
      <c r="E4" s="82"/>
      <c r="F4" s="82"/>
      <c r="G4" s="82"/>
      <c r="H4" s="82"/>
      <c r="I4" s="82"/>
      <c r="J4" s="82"/>
      <c r="K4" s="82"/>
      <c r="L4" s="2"/>
    </row>
    <row r="5" spans="3:14" ht="19.5" thickTop="1" thickBot="1" x14ac:dyDescent="0.5">
      <c r="E5" s="82"/>
      <c r="F5" s="82"/>
      <c r="G5" s="82"/>
      <c r="H5" s="82"/>
      <c r="I5" s="82"/>
      <c r="J5" s="82"/>
      <c r="K5" s="82"/>
      <c r="L5" s="6"/>
    </row>
    <row r="6" spans="3:14" ht="37" thickTop="1" thickBot="1" x14ac:dyDescent="0.85">
      <c r="C6" s="18"/>
      <c r="E6" s="82"/>
      <c r="F6" s="82"/>
      <c r="G6" s="82"/>
      <c r="H6" s="82"/>
      <c r="I6" s="82"/>
      <c r="J6" s="82"/>
      <c r="K6" s="82"/>
      <c r="L6" s="6"/>
    </row>
    <row r="7" spans="3:14" ht="19" thickTop="1" x14ac:dyDescent="0.45">
      <c r="G7" s="6"/>
      <c r="K7" s="6"/>
      <c r="L7" s="6"/>
    </row>
    <row r="8" spans="3:14" x14ac:dyDescent="0.35">
      <c r="E8"/>
      <c r="I8"/>
      <c r="M8"/>
    </row>
    <row r="9" spans="3:14" x14ac:dyDescent="0.35">
      <c r="C9" s="1" t="s">
        <v>91</v>
      </c>
      <c r="D9" s="1"/>
      <c r="E9" s="22">
        <v>8100000</v>
      </c>
      <c r="F9" s="1"/>
      <c r="G9" s="1" t="s">
        <v>50</v>
      </c>
      <c r="H9" s="1"/>
      <c r="I9" s="9">
        <v>1650</v>
      </c>
      <c r="J9" s="1"/>
      <c r="K9" s="1" t="s">
        <v>54</v>
      </c>
      <c r="L9" s="1"/>
      <c r="M9" s="9">
        <f>0.3*(10^6)</f>
        <v>300000</v>
      </c>
      <c r="N9" s="9"/>
    </row>
    <row r="10" spans="3:14" ht="14.25" customHeight="1" x14ac:dyDescent="0.35">
      <c r="C10" s="80" t="s">
        <v>71</v>
      </c>
      <c r="D10" s="81"/>
      <c r="E10" s="9">
        <v>0.72</v>
      </c>
      <c r="F10" s="1"/>
      <c r="G10" s="1" t="s">
        <v>78</v>
      </c>
      <c r="H10" s="1"/>
      <c r="I10" s="9">
        <v>28</v>
      </c>
      <c r="J10" s="1"/>
      <c r="K10" s="1" t="s">
        <v>55</v>
      </c>
      <c r="L10" s="1"/>
      <c r="M10" s="9">
        <v>56000</v>
      </c>
      <c r="N10" s="9"/>
    </row>
    <row r="11" spans="3:14" x14ac:dyDescent="0.35">
      <c r="C11" s="1" t="s">
        <v>60</v>
      </c>
      <c r="D11" s="1"/>
      <c r="E11" s="9">
        <v>725</v>
      </c>
      <c r="F11" s="1"/>
      <c r="G11" s="1" t="s">
        <v>79</v>
      </c>
      <c r="H11" s="1"/>
      <c r="I11" s="9">
        <v>11</v>
      </c>
      <c r="J11" s="1"/>
      <c r="K11" s="1" t="s">
        <v>63</v>
      </c>
      <c r="L11" s="1"/>
      <c r="M11" s="9">
        <v>6.5</v>
      </c>
      <c r="N11" s="9">
        <v>9</v>
      </c>
    </row>
    <row r="12" spans="3:14" x14ac:dyDescent="0.35">
      <c r="C12" s="1" t="s">
        <v>46</v>
      </c>
      <c r="D12" s="1"/>
      <c r="E12" s="9">
        <v>0.9</v>
      </c>
      <c r="F12" s="1"/>
      <c r="G12" s="1" t="s">
        <v>80</v>
      </c>
      <c r="H12" s="1"/>
      <c r="I12" s="9">
        <v>11</v>
      </c>
      <c r="J12" s="1"/>
      <c r="K12" s="1" t="s">
        <v>56</v>
      </c>
      <c r="L12" s="1"/>
      <c r="M12" s="9">
        <v>3.8</v>
      </c>
      <c r="N12" s="9"/>
    </row>
    <row r="13" spans="3:14" x14ac:dyDescent="0.35">
      <c r="C13" s="1" t="s">
        <v>47</v>
      </c>
      <c r="D13" s="1"/>
      <c r="E13" s="9">
        <v>0.1</v>
      </c>
      <c r="F13" s="1"/>
      <c r="G13" s="1" t="s">
        <v>51</v>
      </c>
      <c r="H13" s="1"/>
      <c r="I13" s="9">
        <v>6.8</v>
      </c>
      <c r="J13" s="1"/>
      <c r="K13" s="1" t="s">
        <v>57</v>
      </c>
      <c r="L13" s="1"/>
      <c r="M13" s="9">
        <v>2.5</v>
      </c>
      <c r="N13" s="9"/>
    </row>
    <row r="14" spans="3:14" x14ac:dyDescent="0.35">
      <c r="C14" s="1" t="s">
        <v>48</v>
      </c>
      <c r="D14" s="1"/>
      <c r="E14" s="9">
        <v>5</v>
      </c>
      <c r="F14" s="1"/>
      <c r="G14" s="1" t="s">
        <v>53</v>
      </c>
      <c r="H14" s="1"/>
      <c r="I14" s="9">
        <v>1.5</v>
      </c>
      <c r="J14" s="1"/>
      <c r="K14" s="1" t="s">
        <v>58</v>
      </c>
      <c r="L14" s="1"/>
      <c r="M14" s="9">
        <v>1.5</v>
      </c>
      <c r="N14" s="9"/>
    </row>
    <row r="15" spans="3:14" x14ac:dyDescent="0.35">
      <c r="C15" s="1" t="s">
        <v>66</v>
      </c>
      <c r="D15" s="1"/>
      <c r="E15" s="9">
        <v>190</v>
      </c>
      <c r="F15" s="1"/>
      <c r="G15" s="1" t="s">
        <v>52</v>
      </c>
      <c r="H15" s="1"/>
      <c r="I15" s="9">
        <v>2.5</v>
      </c>
      <c r="J15" s="1"/>
      <c r="K15" s="1" t="s">
        <v>44</v>
      </c>
      <c r="L15" s="1"/>
      <c r="M15" s="9">
        <v>10</v>
      </c>
      <c r="N15" s="9"/>
    </row>
    <row r="16" spans="3:14" x14ac:dyDescent="0.35">
      <c r="C16" s="1" t="s">
        <v>49</v>
      </c>
      <c r="D16" s="1"/>
      <c r="E16" s="9">
        <v>40</v>
      </c>
      <c r="F16" s="1"/>
      <c r="G16" s="1" t="s">
        <v>92</v>
      </c>
      <c r="H16" s="1"/>
      <c r="I16" s="22">
        <v>1052</v>
      </c>
      <c r="J16" s="1"/>
      <c r="K16" s="80" t="s">
        <v>93</v>
      </c>
      <c r="L16" s="81"/>
      <c r="M16" s="22">
        <v>1776</v>
      </c>
      <c r="N16" s="9"/>
    </row>
    <row r="17" spans="2:14" x14ac:dyDescent="0.35">
      <c r="C17" s="1"/>
      <c r="D17" s="1"/>
      <c r="E17" s="9"/>
      <c r="F17" s="1"/>
      <c r="G17" s="1"/>
      <c r="H17" s="1"/>
      <c r="I17" s="9"/>
      <c r="J17" s="1"/>
      <c r="K17" s="1"/>
      <c r="L17" s="1"/>
      <c r="M17" s="9"/>
      <c r="N17" s="9"/>
    </row>
    <row r="18" spans="2:14" x14ac:dyDescent="0.35">
      <c r="C18" s="10" t="s">
        <v>74</v>
      </c>
    </row>
    <row r="19" spans="2:14" x14ac:dyDescent="0.35">
      <c r="M19" s="1" t="s">
        <v>86</v>
      </c>
      <c r="N19" s="1">
        <v>1.65</v>
      </c>
    </row>
    <row r="20" spans="2:14" ht="18.5" x14ac:dyDescent="0.45">
      <c r="B20" s="19" t="s">
        <v>38</v>
      </c>
      <c r="C20" s="21"/>
      <c r="M20" s="1" t="s">
        <v>87</v>
      </c>
      <c r="N20" s="1">
        <v>2.5</v>
      </c>
    </row>
    <row r="21" spans="2:14" x14ac:dyDescent="0.35">
      <c r="M21" s="1" t="s">
        <v>81</v>
      </c>
      <c r="N21" s="1">
        <v>260</v>
      </c>
    </row>
    <row r="22" spans="2:14" x14ac:dyDescent="0.35">
      <c r="C22" s="4" t="s">
        <v>94</v>
      </c>
      <c r="E22" s="12">
        <f>E9*(M16/I16)</f>
        <v>13674524.714828897</v>
      </c>
      <c r="F22" t="s">
        <v>42</v>
      </c>
      <c r="G22" s="4" t="s">
        <v>95</v>
      </c>
      <c r="I22" s="12">
        <f>E22*((2)^E10)</f>
        <v>22524431.441073004</v>
      </c>
      <c r="M22" s="63" t="s">
        <v>82</v>
      </c>
      <c r="N22" s="1">
        <v>70</v>
      </c>
    </row>
    <row r="23" spans="2:14" x14ac:dyDescent="0.35">
      <c r="M23" s="1" t="s">
        <v>83</v>
      </c>
      <c r="N23" s="1">
        <v>3</v>
      </c>
    </row>
    <row r="24" spans="2:14" x14ac:dyDescent="0.35">
      <c r="B24" s="45" t="s">
        <v>45</v>
      </c>
      <c r="C24" s="46"/>
      <c r="D24" s="46"/>
      <c r="E24" s="57"/>
      <c r="F24" s="23">
        <v>12500</v>
      </c>
      <c r="G24" s="40">
        <f>F24*0.85</f>
        <v>10625</v>
      </c>
      <c r="H24" s="40">
        <v>25000</v>
      </c>
      <c r="I24" s="41">
        <f>H24*0.85</f>
        <v>21250</v>
      </c>
      <c r="M24" s="1" t="s">
        <v>84</v>
      </c>
      <c r="N24" s="1">
        <v>3</v>
      </c>
    </row>
    <row r="25" spans="2:14" x14ac:dyDescent="0.35">
      <c r="B25" s="54" t="s">
        <v>37</v>
      </c>
      <c r="C25" s="55"/>
      <c r="D25" s="55"/>
      <c r="E25" s="58"/>
      <c r="F25" s="24">
        <v>1</v>
      </c>
      <c r="G25" s="42">
        <v>0.85</v>
      </c>
      <c r="H25" s="42">
        <v>1</v>
      </c>
      <c r="I25" s="43">
        <v>0.85</v>
      </c>
      <c r="M25" s="1" t="s">
        <v>85</v>
      </c>
      <c r="N25" s="1">
        <v>38.5</v>
      </c>
    </row>
    <row r="26" spans="2:14" x14ac:dyDescent="0.35">
      <c r="B26" s="45" t="s">
        <v>64</v>
      </c>
      <c r="C26" s="46"/>
      <c r="D26" s="46"/>
      <c r="E26" s="59"/>
      <c r="F26" s="25"/>
      <c r="G26" s="73"/>
      <c r="H26" s="73"/>
      <c r="I26" s="71"/>
      <c r="M26" s="64" t="s">
        <v>89</v>
      </c>
      <c r="N26" s="9" t="s">
        <v>90</v>
      </c>
    </row>
    <row r="27" spans="2:14" x14ac:dyDescent="0.35">
      <c r="B27" s="45" t="s">
        <v>62</v>
      </c>
      <c r="C27" s="46"/>
      <c r="D27" s="46"/>
      <c r="E27" s="57"/>
      <c r="F27" s="26">
        <f>E22</f>
        <v>13674524.714828897</v>
      </c>
      <c r="G27" s="68">
        <f>F27*(G24/F24)^E10</f>
        <v>12164488.916009661</v>
      </c>
      <c r="H27" s="68">
        <f>I22</f>
        <v>22524431.441073004</v>
      </c>
      <c r="I27" s="68">
        <f>E22*(I24/F24)^E10</f>
        <v>20037127.60175303</v>
      </c>
      <c r="J27" s="5"/>
    </row>
    <row r="28" spans="2:14" x14ac:dyDescent="0.35">
      <c r="B28" s="45" t="s">
        <v>0</v>
      </c>
      <c r="C28" s="46"/>
      <c r="D28" s="46"/>
      <c r="E28" s="57"/>
      <c r="F28" s="26">
        <f>(I10/100)*F27</f>
        <v>3828866.9201520914</v>
      </c>
      <c r="G28" s="68">
        <f>(I10/100)*G27</f>
        <v>3406056.8964827051</v>
      </c>
      <c r="H28" s="68">
        <f>(I10/100)*H27</f>
        <v>6306840.8035004418</v>
      </c>
      <c r="I28" s="68">
        <f>(I10/100)*I27</f>
        <v>5610395.728490849</v>
      </c>
    </row>
    <row r="29" spans="2:14" x14ac:dyDescent="0.35">
      <c r="B29" s="45"/>
      <c r="C29" s="46"/>
      <c r="D29" s="46" t="s">
        <v>65</v>
      </c>
      <c r="E29" s="57"/>
      <c r="F29" s="26">
        <f>F27+F28</f>
        <v>17503391.634980988</v>
      </c>
      <c r="G29" s="68">
        <f>G28+G27</f>
        <v>15570545.812492367</v>
      </c>
      <c r="H29" s="68">
        <f>H28+H27</f>
        <v>28831272.244573444</v>
      </c>
      <c r="I29" s="68">
        <f>I28+I27</f>
        <v>25647523.330243878</v>
      </c>
    </row>
    <row r="30" spans="2:14" x14ac:dyDescent="0.35">
      <c r="B30" s="48" t="s">
        <v>1</v>
      </c>
      <c r="C30" s="49"/>
      <c r="D30" s="49"/>
      <c r="E30" s="60"/>
      <c r="F30" s="26">
        <f>(I11/100)*F27</f>
        <v>1504197.7186311786</v>
      </c>
      <c r="G30" s="68">
        <f>(I11/100)*G27</f>
        <v>1338093.7807610626</v>
      </c>
      <c r="H30" s="68">
        <f>(I11/100)*H27</f>
        <v>2477687.4585180306</v>
      </c>
      <c r="I30" s="68">
        <f>(I11/100)*I27</f>
        <v>2204084.0361928334</v>
      </c>
      <c r="M30"/>
    </row>
    <row r="31" spans="2:14" x14ac:dyDescent="0.35">
      <c r="B31" s="45" t="s">
        <v>2</v>
      </c>
      <c r="C31" s="46"/>
      <c r="D31" s="46"/>
      <c r="E31" s="57"/>
      <c r="F31" s="26">
        <f>(I12/100)*F27</f>
        <v>1504197.7186311786</v>
      </c>
      <c r="G31" s="68">
        <f>(I12/100)*G27</f>
        <v>1338093.7807610626</v>
      </c>
      <c r="H31" s="68">
        <f>(I12/100)*H27</f>
        <v>2477687.4585180306</v>
      </c>
      <c r="I31" s="68">
        <f>(I12/100)*I27</f>
        <v>2204084.0361928334</v>
      </c>
    </row>
    <row r="32" spans="2:14" x14ac:dyDescent="0.35">
      <c r="B32" s="51" t="s">
        <v>3</v>
      </c>
      <c r="C32" s="52"/>
      <c r="D32" s="52"/>
      <c r="E32" s="61"/>
      <c r="F32" s="26">
        <f>M9</f>
        <v>300000</v>
      </c>
      <c r="G32" s="68">
        <f>F32</f>
        <v>300000</v>
      </c>
      <c r="H32" s="68">
        <f>G32</f>
        <v>300000</v>
      </c>
      <c r="I32" s="68">
        <f>H32</f>
        <v>300000</v>
      </c>
    </row>
    <row r="33" spans="2:14" x14ac:dyDescent="0.35">
      <c r="B33" s="51" t="s">
        <v>88</v>
      </c>
      <c r="C33" s="52"/>
      <c r="D33" s="52"/>
      <c r="E33" s="61"/>
      <c r="F33" s="26">
        <f>F30/2</f>
        <v>752098.8593155893</v>
      </c>
      <c r="G33" s="68">
        <f t="shared" ref="G33:I33" si="0">G30/2</f>
        <v>669046.89038053132</v>
      </c>
      <c r="H33" s="68">
        <f t="shared" si="0"/>
        <v>1238843.7292590153</v>
      </c>
      <c r="I33" s="68">
        <f t="shared" si="0"/>
        <v>1102042.0180964167</v>
      </c>
    </row>
    <row r="34" spans="2:14" x14ac:dyDescent="0.35">
      <c r="B34" s="45"/>
      <c r="C34" s="46"/>
      <c r="D34" s="46" t="s">
        <v>6</v>
      </c>
      <c r="E34" s="57"/>
      <c r="F34" s="26">
        <f>F29+F30+F31+F32+F33</f>
        <v>21563885.931558933</v>
      </c>
      <c r="G34" s="68">
        <f t="shared" ref="G34:I34" si="1">G29+G30+G31+G32+G33</f>
        <v>19215780.264395025</v>
      </c>
      <c r="H34" s="68">
        <f t="shared" si="1"/>
        <v>35325490.890868522</v>
      </c>
      <c r="I34" s="68">
        <f t="shared" si="1"/>
        <v>31457733.420725964</v>
      </c>
    </row>
    <row r="35" spans="2:14" x14ac:dyDescent="0.35">
      <c r="B35" s="51" t="s">
        <v>68</v>
      </c>
      <c r="C35" s="52"/>
      <c r="D35" s="52"/>
      <c r="E35" s="61"/>
      <c r="F35" s="26">
        <f>$E$15*$N$20*1000</f>
        <v>475000</v>
      </c>
      <c r="G35" s="68">
        <f t="shared" ref="G35:I35" si="2">$E$15*$N$20*1000</f>
        <v>475000</v>
      </c>
      <c r="H35" s="68">
        <f t="shared" si="2"/>
        <v>475000</v>
      </c>
      <c r="I35" s="68">
        <f t="shared" si="2"/>
        <v>475000</v>
      </c>
      <c r="K35" s="3"/>
    </row>
    <row r="36" spans="2:14" x14ac:dyDescent="0.35">
      <c r="B36" s="45" t="s">
        <v>4</v>
      </c>
      <c r="C36" s="46"/>
      <c r="D36" s="46"/>
      <c r="E36" s="57"/>
      <c r="F36" s="26">
        <f>(I13/100)*F34</f>
        <v>1466344.2433460075</v>
      </c>
      <c r="G36" s="68">
        <f>(I13/100)*G34</f>
        <v>1306673.0579788617</v>
      </c>
      <c r="H36" s="68">
        <f>(I13/100)*H34</f>
        <v>2402133.3805790595</v>
      </c>
      <c r="I36" s="68">
        <f>(I13/100)*I34</f>
        <v>2139125.8726093657</v>
      </c>
    </row>
    <row r="37" spans="2:14" x14ac:dyDescent="0.35">
      <c r="B37" s="51" t="s">
        <v>5</v>
      </c>
      <c r="C37" s="52"/>
      <c r="D37" s="52"/>
      <c r="E37" s="61"/>
      <c r="F37" s="26">
        <f>(E58/12)*$I$14</f>
        <v>1552062.5</v>
      </c>
      <c r="G37" s="68">
        <f>(F58/12)*$I$14</f>
        <v>1337609.375</v>
      </c>
      <c r="H37" s="68">
        <f>(G58/12)*$I$14</f>
        <v>2981750</v>
      </c>
      <c r="I37" s="68">
        <f>(H58/12)*$I$14</f>
        <v>2552843.75</v>
      </c>
      <c r="K37" s="3"/>
    </row>
    <row r="38" spans="2:14" x14ac:dyDescent="0.35">
      <c r="B38" s="45"/>
      <c r="C38" s="46"/>
      <c r="D38" s="46" t="s">
        <v>7</v>
      </c>
      <c r="E38" s="57"/>
      <c r="F38" s="26">
        <f>F34+F35+F36+F37</f>
        <v>25057292.674904943</v>
      </c>
      <c r="G38" s="68">
        <f>G34+G35+G36+G37</f>
        <v>22335062.697373886</v>
      </c>
      <c r="H38" s="68">
        <f>H34+H35+H36+H37</f>
        <v>41184374.271447584</v>
      </c>
      <c r="I38" s="68">
        <f>I34+I35+I36+I37</f>
        <v>36624703.043335333</v>
      </c>
    </row>
    <row r="39" spans="2:14" x14ac:dyDescent="0.35">
      <c r="B39" s="45" t="s">
        <v>8</v>
      </c>
      <c r="C39" s="46"/>
      <c r="D39" s="46"/>
      <c r="E39" s="57"/>
      <c r="F39" s="26">
        <f>(E58/12)*$I$15</f>
        <v>2586770.8333333335</v>
      </c>
      <c r="G39" s="68">
        <f>(F58/12)*$I$15</f>
        <v>2229348.9583333335</v>
      </c>
      <c r="H39" s="68">
        <f>(G58/12)*$I$15</f>
        <v>4969583.333333333</v>
      </c>
      <c r="I39" s="68">
        <f>(H58/12)*$I$15</f>
        <v>4254739.583333333</v>
      </c>
      <c r="N39" s="12">
        <f>(F39/E83)*100</f>
        <v>1085064.788757758</v>
      </c>
    </row>
    <row r="41" spans="2:14" ht="18.5" x14ac:dyDescent="0.45">
      <c r="B41" s="19" t="s">
        <v>39</v>
      </c>
      <c r="C41" s="19"/>
      <c r="D41" s="20"/>
    </row>
    <row r="43" spans="2:14" x14ac:dyDescent="0.35">
      <c r="B43" s="45" t="s">
        <v>9</v>
      </c>
      <c r="C43" s="46"/>
      <c r="D43" s="47"/>
      <c r="E43" s="27">
        <v>12500</v>
      </c>
      <c r="F43" s="40">
        <f>E43*0.85</f>
        <v>10625</v>
      </c>
      <c r="G43" s="40">
        <v>25000</v>
      </c>
      <c r="H43" s="40">
        <f>G43*0.85</f>
        <v>21250</v>
      </c>
    </row>
    <row r="44" spans="2:14" x14ac:dyDescent="0.35">
      <c r="B44" s="51"/>
      <c r="C44" s="52"/>
      <c r="D44" s="53"/>
      <c r="E44" s="28">
        <v>1</v>
      </c>
      <c r="F44" s="44">
        <v>0.85</v>
      </c>
      <c r="G44" s="44">
        <v>1</v>
      </c>
      <c r="H44" s="44">
        <v>0.85</v>
      </c>
      <c r="J44" s="8" t="s">
        <v>69</v>
      </c>
      <c r="K44" s="8"/>
      <c r="L44" s="8"/>
      <c r="M44" s="16"/>
    </row>
    <row r="45" spans="2:14" x14ac:dyDescent="0.35">
      <c r="B45" s="45" t="s">
        <v>40</v>
      </c>
      <c r="C45" s="46"/>
      <c r="D45" s="47"/>
      <c r="E45" s="29"/>
      <c r="F45" s="69"/>
      <c r="G45" s="69"/>
      <c r="H45" s="71"/>
      <c r="J45" s="8" t="s">
        <v>70</v>
      </c>
      <c r="K45" s="8"/>
      <c r="L45" s="8"/>
      <c r="M45" s="16"/>
    </row>
    <row r="46" spans="2:14" x14ac:dyDescent="0.35">
      <c r="B46" s="51" t="s">
        <v>10</v>
      </c>
      <c r="C46" s="52"/>
      <c r="D46" s="53"/>
      <c r="E46" s="22">
        <f>E11*$E$43</f>
        <v>9062500</v>
      </c>
      <c r="F46" s="68">
        <f>$E$11*F43</f>
        <v>7703125</v>
      </c>
      <c r="G46" s="68">
        <f t="shared" ref="G46:H46" si="3">$E$11*G43</f>
        <v>18125000</v>
      </c>
      <c r="H46" s="68">
        <f t="shared" si="3"/>
        <v>15406250</v>
      </c>
    </row>
    <row r="47" spans="2:14" x14ac:dyDescent="0.35">
      <c r="B47" s="45" t="s">
        <v>61</v>
      </c>
      <c r="C47" s="46"/>
      <c r="D47" s="47"/>
      <c r="E47" s="22">
        <f>F35</f>
        <v>475000</v>
      </c>
      <c r="F47" s="68">
        <f>E47</f>
        <v>475000</v>
      </c>
      <c r="G47" s="68">
        <f t="shared" ref="G47:H47" si="4">F47</f>
        <v>475000</v>
      </c>
      <c r="H47" s="68">
        <f t="shared" si="4"/>
        <v>475000</v>
      </c>
      <c r="J47" s="12"/>
      <c r="K47" s="12"/>
      <c r="L47" s="12"/>
    </row>
    <row r="48" spans="2:14" x14ac:dyDescent="0.35">
      <c r="B48" s="51" t="s">
        <v>11</v>
      </c>
      <c r="C48" s="52"/>
      <c r="D48" s="53"/>
      <c r="E48" s="30"/>
      <c r="F48" s="70"/>
      <c r="G48" s="70"/>
      <c r="H48" s="70"/>
    </row>
    <row r="49" spans="2:12" x14ac:dyDescent="0.35">
      <c r="B49" s="45" t="s">
        <v>12</v>
      </c>
      <c r="C49" s="46"/>
      <c r="D49" s="47"/>
      <c r="E49" s="22">
        <f>-E43*$E$16*$N$19</f>
        <v>-825000</v>
      </c>
      <c r="F49" s="68">
        <f t="shared" ref="F49:H49" si="5">-F43*$E$16*$N$19</f>
        <v>-701250</v>
      </c>
      <c r="G49" s="68">
        <f t="shared" si="5"/>
        <v>-1650000</v>
      </c>
      <c r="H49" s="68">
        <f t="shared" si="5"/>
        <v>-1402500</v>
      </c>
    </row>
    <row r="50" spans="2:12" x14ac:dyDescent="0.35">
      <c r="B50" s="51" t="s">
        <v>13</v>
      </c>
      <c r="C50" s="52"/>
      <c r="D50" s="53"/>
      <c r="E50" s="22">
        <f>$N$21*E43*$E$12</f>
        <v>2925000</v>
      </c>
      <c r="F50" s="68">
        <f t="shared" ref="F50:H50" si="6">$N$21*F43*$E$12</f>
        <v>2486250</v>
      </c>
      <c r="G50" s="68">
        <f t="shared" si="6"/>
        <v>5850000</v>
      </c>
      <c r="H50" s="68">
        <f t="shared" si="6"/>
        <v>4972500</v>
      </c>
    </row>
    <row r="51" spans="2:12" x14ac:dyDescent="0.35">
      <c r="B51" s="45" t="s">
        <v>14</v>
      </c>
      <c r="C51" s="46"/>
      <c r="D51" s="47"/>
      <c r="E51" s="22">
        <f>$N$22*E43*$E$13</f>
        <v>87500</v>
      </c>
      <c r="F51" s="68">
        <f t="shared" ref="F51:H51" si="7">$N$22*F43*$E$13</f>
        <v>74375</v>
      </c>
      <c r="G51" s="68">
        <f t="shared" si="7"/>
        <v>175000</v>
      </c>
      <c r="H51" s="68">
        <f t="shared" si="7"/>
        <v>148750</v>
      </c>
    </row>
    <row r="52" spans="2:12" x14ac:dyDescent="0.35">
      <c r="B52" s="45" t="s">
        <v>15</v>
      </c>
      <c r="C52" s="52"/>
      <c r="D52" s="47"/>
      <c r="E52" s="22">
        <f>$N$23*$E$14*E43</f>
        <v>187500</v>
      </c>
      <c r="F52" s="68">
        <f t="shared" ref="F52:H52" si="8">$N$23*$E$14*F43</f>
        <v>159375</v>
      </c>
      <c r="G52" s="68">
        <f t="shared" si="8"/>
        <v>375000</v>
      </c>
      <c r="H52" s="68">
        <f t="shared" si="8"/>
        <v>318750</v>
      </c>
    </row>
    <row r="53" spans="2:12" x14ac:dyDescent="0.35">
      <c r="B53" s="51"/>
      <c r="C53" s="52"/>
      <c r="D53" s="53"/>
      <c r="E53" s="31"/>
      <c r="F53" s="70"/>
      <c r="G53" s="70"/>
      <c r="H53" s="74"/>
    </row>
    <row r="54" spans="2:12" x14ac:dyDescent="0.35">
      <c r="B54" s="45" t="s">
        <v>16</v>
      </c>
      <c r="C54" s="46" t="s">
        <v>17</v>
      </c>
      <c r="D54" s="47"/>
      <c r="E54" s="22">
        <f>E46+E47+E49+E50+E51+E52</f>
        <v>11912500</v>
      </c>
      <c r="F54" s="68">
        <f t="shared" ref="F54:H54" si="9">F46+F47+F49+F50+F51+F52</f>
        <v>10196875</v>
      </c>
      <c r="G54" s="68">
        <f t="shared" si="9"/>
        <v>23350000</v>
      </c>
      <c r="H54" s="68">
        <f t="shared" si="9"/>
        <v>19918750</v>
      </c>
    </row>
    <row r="55" spans="2:12" x14ac:dyDescent="0.35">
      <c r="B55" s="48"/>
      <c r="C55" s="49"/>
      <c r="D55" s="50"/>
      <c r="E55" s="30"/>
      <c r="F55" s="70"/>
      <c r="G55" s="70"/>
      <c r="H55" s="70"/>
      <c r="J55" s="12"/>
      <c r="K55" s="12"/>
      <c r="L55" s="12"/>
    </row>
    <row r="56" spans="2:12" x14ac:dyDescent="0.35">
      <c r="B56" s="45" t="s">
        <v>18</v>
      </c>
      <c r="C56" s="46"/>
      <c r="D56" s="47"/>
      <c r="E56" s="32">
        <f>3*$N$24*$M$10</f>
        <v>504000</v>
      </c>
      <c r="F56" s="71">
        <f t="shared" ref="F56:H56" si="10">3*$N$24*$M$10</f>
        <v>504000</v>
      </c>
      <c r="G56" s="71">
        <f t="shared" si="10"/>
        <v>504000</v>
      </c>
      <c r="H56" s="71">
        <f t="shared" si="10"/>
        <v>504000</v>
      </c>
    </row>
    <row r="57" spans="2:12" x14ac:dyDescent="0.35">
      <c r="B57" s="51"/>
      <c r="C57" s="52"/>
      <c r="D57" s="53"/>
      <c r="E57" s="30"/>
      <c r="F57" s="70"/>
      <c r="G57" s="70"/>
      <c r="H57" s="70"/>
    </row>
    <row r="58" spans="2:12" x14ac:dyDescent="0.35">
      <c r="B58" s="45" t="s">
        <v>19</v>
      </c>
      <c r="C58" s="46"/>
      <c r="D58" s="47"/>
      <c r="E58" s="32">
        <f>E56+E54</f>
        <v>12416500</v>
      </c>
      <c r="F58" s="71">
        <f t="shared" ref="F58:H58" si="11">F56+F54</f>
        <v>10700875</v>
      </c>
      <c r="G58" s="71">
        <f t="shared" si="11"/>
        <v>23854000</v>
      </c>
      <c r="H58" s="71">
        <f t="shared" si="11"/>
        <v>20422750</v>
      </c>
    </row>
    <row r="59" spans="2:12" x14ac:dyDescent="0.35">
      <c r="B59" s="51"/>
      <c r="C59" s="52"/>
      <c r="D59" s="53"/>
      <c r="E59" s="33"/>
      <c r="F59" s="75"/>
      <c r="G59" s="75"/>
      <c r="H59" s="76"/>
    </row>
    <row r="60" spans="2:12" x14ac:dyDescent="0.35">
      <c r="B60" s="45" t="s">
        <v>20</v>
      </c>
      <c r="C60" s="46"/>
      <c r="D60" s="47"/>
      <c r="E60" s="34"/>
      <c r="F60" s="72"/>
      <c r="G60" s="72"/>
      <c r="H60" s="77"/>
    </row>
    <row r="61" spans="2:12" x14ac:dyDescent="0.35">
      <c r="B61" s="45" t="s">
        <v>21</v>
      </c>
      <c r="C61" s="46"/>
      <c r="D61" s="47"/>
      <c r="E61" s="32">
        <f>F38/$M$15</f>
        <v>2505729.2674904941</v>
      </c>
      <c r="F61" s="71">
        <f t="shared" ref="F61:H61" si="12">G38/$M$15</f>
        <v>2233506.2697373885</v>
      </c>
      <c r="G61" s="71">
        <f t="shared" si="12"/>
        <v>4118437.4271447584</v>
      </c>
      <c r="H61" s="71">
        <f t="shared" si="12"/>
        <v>3662470.3043335332</v>
      </c>
    </row>
    <row r="62" spans="2:12" x14ac:dyDescent="0.35">
      <c r="B62" s="51" t="s">
        <v>22</v>
      </c>
      <c r="C62" s="52"/>
      <c r="D62" s="53"/>
      <c r="E62" s="32">
        <f>($M$11/100)*F38+($N$11/100)*F39</f>
        <v>1861533.3988688213</v>
      </c>
      <c r="F62" s="71">
        <f t="shared" ref="F62:H62" si="13">($M$11/100)*G38+($N$11/100)*G39</f>
        <v>1652420.4815793026</v>
      </c>
      <c r="G62" s="71">
        <f t="shared" si="13"/>
        <v>3124246.827644093</v>
      </c>
      <c r="H62" s="71">
        <f t="shared" si="13"/>
        <v>2763532.2603167966</v>
      </c>
    </row>
    <row r="63" spans="2:12" x14ac:dyDescent="0.35">
      <c r="B63" s="48" t="s">
        <v>23</v>
      </c>
      <c r="C63" s="49"/>
      <c r="D63" s="50"/>
      <c r="E63" s="32">
        <f>($M$12/100)*F29</f>
        <v>665128.88212927757</v>
      </c>
      <c r="F63" s="71">
        <f t="shared" ref="F63:H63" si="14">($M$12/100)*G29</f>
        <v>591680.74087470991</v>
      </c>
      <c r="G63" s="71">
        <f t="shared" si="14"/>
        <v>1095588.3452937908</v>
      </c>
      <c r="H63" s="71">
        <f t="shared" si="14"/>
        <v>974605.88654926734</v>
      </c>
    </row>
    <row r="64" spans="2:12" x14ac:dyDescent="0.35">
      <c r="B64" s="45" t="s">
        <v>24</v>
      </c>
      <c r="C64" s="46"/>
      <c r="D64" s="47"/>
      <c r="E64" s="32">
        <f>($M$13/100)*F29</f>
        <v>437584.79087452474</v>
      </c>
      <c r="F64" s="71">
        <f t="shared" ref="F64:H64" si="15">($M$13/100)*G29</f>
        <v>389263.64531230921</v>
      </c>
      <c r="G64" s="71">
        <f t="shared" si="15"/>
        <v>720781.80611433613</v>
      </c>
      <c r="H64" s="71">
        <f t="shared" si="15"/>
        <v>641188.08325609704</v>
      </c>
    </row>
    <row r="65" spans="2:12" x14ac:dyDescent="0.35">
      <c r="B65" s="54" t="s">
        <v>25</v>
      </c>
      <c r="C65" s="55"/>
      <c r="D65" s="56"/>
      <c r="E65" s="32">
        <f>($M$14/100)*F29</f>
        <v>262550.87452471483</v>
      </c>
      <c r="F65" s="71">
        <f t="shared" ref="F65:H65" si="16">($M$14/100)*G29</f>
        <v>233558.18718738548</v>
      </c>
      <c r="G65" s="71">
        <f t="shared" si="16"/>
        <v>432469.08366860164</v>
      </c>
      <c r="H65" s="71">
        <f t="shared" si="16"/>
        <v>384712.84995365818</v>
      </c>
    </row>
    <row r="66" spans="2:12" x14ac:dyDescent="0.35">
      <c r="B66" s="51"/>
      <c r="C66" s="52"/>
      <c r="D66" s="53"/>
      <c r="E66" s="33"/>
      <c r="F66" s="75"/>
      <c r="G66" s="75"/>
      <c r="H66" s="76"/>
    </row>
    <row r="67" spans="2:12" x14ac:dyDescent="0.35">
      <c r="B67" s="45"/>
      <c r="C67" s="46" t="s">
        <v>26</v>
      </c>
      <c r="D67" s="47"/>
      <c r="E67" s="22">
        <f>E61+E62+E64+E63+E65</f>
        <v>5732527.2138878331</v>
      </c>
      <c r="F67" s="68">
        <f t="shared" ref="F67:H67" si="17">F61+F62+F64+F63+F65</f>
        <v>5100429.3246910954</v>
      </c>
      <c r="G67" s="68">
        <f t="shared" si="17"/>
        <v>9491523.4898655787</v>
      </c>
      <c r="H67" s="68">
        <f t="shared" si="17"/>
        <v>8426509.3844093513</v>
      </c>
    </row>
    <row r="68" spans="2:12" x14ac:dyDescent="0.35">
      <c r="B68" s="51"/>
      <c r="C68" s="52"/>
      <c r="D68" s="53"/>
      <c r="E68" s="31"/>
      <c r="F68" s="70"/>
      <c r="G68" s="70"/>
      <c r="H68" s="74"/>
    </row>
    <row r="69" spans="2:12" x14ac:dyDescent="0.35">
      <c r="B69" s="45" t="s">
        <v>75</v>
      </c>
      <c r="C69" s="46"/>
      <c r="D69" s="47"/>
      <c r="E69" s="22">
        <f>E67+E54</f>
        <v>17645027.213887833</v>
      </c>
      <c r="F69" s="68">
        <f t="shared" ref="F69:H69" si="18">F67+F54</f>
        <v>15297304.324691094</v>
      </c>
      <c r="G69" s="68">
        <f t="shared" si="18"/>
        <v>32841523.489865579</v>
      </c>
      <c r="H69" s="68">
        <f t="shared" si="18"/>
        <v>28345259.384409353</v>
      </c>
    </row>
    <row r="70" spans="2:12" x14ac:dyDescent="0.35">
      <c r="B70" s="48"/>
      <c r="C70" s="49"/>
      <c r="D70" s="49"/>
      <c r="E70" s="35"/>
      <c r="F70" s="69"/>
      <c r="G70" s="69"/>
      <c r="H70" s="71"/>
    </row>
    <row r="71" spans="2:12" x14ac:dyDescent="0.35">
      <c r="B71" s="48" t="s">
        <v>76</v>
      </c>
      <c r="C71" s="49"/>
      <c r="D71" s="50"/>
      <c r="E71" s="32">
        <f>E69/E43</f>
        <v>1411.6021771110265</v>
      </c>
      <c r="F71" s="71">
        <f t="shared" ref="F71:H71" si="19">F69/F43</f>
        <v>1439.7462893826912</v>
      </c>
      <c r="G71" s="71">
        <f t="shared" si="19"/>
        <v>1313.6609395946232</v>
      </c>
      <c r="H71" s="71">
        <f t="shared" si="19"/>
        <v>1333.8945592663224</v>
      </c>
    </row>
    <row r="72" spans="2:12" x14ac:dyDescent="0.35">
      <c r="B72" s="54" t="s">
        <v>41</v>
      </c>
      <c r="C72" s="55"/>
      <c r="D72" s="56"/>
      <c r="E72" s="36"/>
      <c r="F72" s="72"/>
      <c r="G72" s="72"/>
      <c r="H72" s="77"/>
    </row>
    <row r="74" spans="2:12" ht="18.5" x14ac:dyDescent="0.45">
      <c r="B74" s="19" t="s">
        <v>67</v>
      </c>
      <c r="C74" s="19"/>
      <c r="D74" s="20"/>
      <c r="E74" s="21"/>
      <c r="J74" s="12"/>
      <c r="K74" s="12"/>
      <c r="L74" s="12"/>
    </row>
    <row r="76" spans="2:12" x14ac:dyDescent="0.35">
      <c r="B76" s="45" t="s">
        <v>27</v>
      </c>
      <c r="C76" s="46"/>
      <c r="D76" s="47"/>
      <c r="E76" s="37">
        <v>12500</v>
      </c>
      <c r="F76" s="40">
        <f>E76*0.85</f>
        <v>10625</v>
      </c>
      <c r="G76" s="40">
        <v>25000</v>
      </c>
      <c r="H76" s="40">
        <f>G76*0.85</f>
        <v>21250</v>
      </c>
    </row>
    <row r="77" spans="2:12" x14ac:dyDescent="0.35">
      <c r="B77" s="45" t="s">
        <v>28</v>
      </c>
      <c r="C77" s="46"/>
      <c r="D77" s="47"/>
      <c r="E77" s="38">
        <v>1</v>
      </c>
      <c r="F77" s="42">
        <v>0.85</v>
      </c>
      <c r="G77" s="42">
        <v>1</v>
      </c>
      <c r="H77" s="42">
        <v>0.85</v>
      </c>
    </row>
    <row r="78" spans="2:12" x14ac:dyDescent="0.35">
      <c r="B78" s="48"/>
      <c r="C78" s="49"/>
      <c r="D78" s="50"/>
      <c r="E78" s="33"/>
      <c r="F78" s="75"/>
      <c r="G78" s="75"/>
      <c r="H78" s="76"/>
    </row>
    <row r="79" spans="2:12" x14ac:dyDescent="0.35">
      <c r="B79" s="45" t="s">
        <v>29</v>
      </c>
      <c r="C79" s="46"/>
      <c r="D79" s="47"/>
      <c r="E79" s="22">
        <f>$I$9</f>
        <v>1650</v>
      </c>
      <c r="F79" s="68">
        <f t="shared" ref="F79:H79" si="20">$I$9</f>
        <v>1650</v>
      </c>
      <c r="G79" s="68">
        <f t="shared" si="20"/>
        <v>1650</v>
      </c>
      <c r="H79" s="68">
        <f t="shared" si="20"/>
        <v>1650</v>
      </c>
    </row>
    <row r="80" spans="2:12" x14ac:dyDescent="0.35">
      <c r="B80" s="51"/>
      <c r="C80" s="52"/>
      <c r="D80" s="53"/>
      <c r="E80" s="31"/>
      <c r="F80" s="70"/>
      <c r="G80" s="70"/>
      <c r="H80" s="74"/>
    </row>
    <row r="81" spans="2:12" x14ac:dyDescent="0.35">
      <c r="B81" s="45" t="s">
        <v>30</v>
      </c>
      <c r="C81" s="46"/>
      <c r="D81" s="47"/>
      <c r="E81" s="22">
        <f>E71</f>
        <v>1411.6021771110265</v>
      </c>
      <c r="F81" s="68">
        <f t="shared" ref="F81:H81" si="21">F71</f>
        <v>1439.7462893826912</v>
      </c>
      <c r="G81" s="68">
        <f t="shared" si="21"/>
        <v>1313.6609395946232</v>
      </c>
      <c r="H81" s="68">
        <f t="shared" si="21"/>
        <v>1333.8945592663224</v>
      </c>
    </row>
    <row r="82" spans="2:12" x14ac:dyDescent="0.35">
      <c r="B82" s="51"/>
      <c r="C82" s="52"/>
      <c r="D82" s="53"/>
      <c r="E82" s="31"/>
      <c r="F82" s="70"/>
      <c r="G82" s="70"/>
      <c r="H82" s="74"/>
    </row>
    <row r="83" spans="2:12" x14ac:dyDescent="0.35">
      <c r="B83" s="45" t="s">
        <v>31</v>
      </c>
      <c r="C83" s="46"/>
      <c r="D83" s="47"/>
      <c r="E83" s="22">
        <f>E79-E71</f>
        <v>238.39782288897345</v>
      </c>
      <c r="F83" s="68">
        <f t="shared" ref="F83:H83" si="22">F79-F71</f>
        <v>210.2537106173088</v>
      </c>
      <c r="G83" s="68">
        <f t="shared" si="22"/>
        <v>336.33906040537681</v>
      </c>
      <c r="H83" s="68">
        <f t="shared" si="22"/>
        <v>316.1054407336776</v>
      </c>
    </row>
    <row r="84" spans="2:12" x14ac:dyDescent="0.35">
      <c r="B84" s="51"/>
      <c r="C84" s="52"/>
      <c r="D84" s="53"/>
      <c r="E84" s="31"/>
      <c r="F84" s="70"/>
      <c r="G84" s="70"/>
      <c r="H84" s="74"/>
    </row>
    <row r="85" spans="2:12" x14ac:dyDescent="0.35">
      <c r="B85" s="45" t="s">
        <v>32</v>
      </c>
      <c r="C85" s="46"/>
      <c r="D85" s="47"/>
      <c r="E85" s="22">
        <f>E83*(1-($N$25/100))</f>
        <v>146.61466107671868</v>
      </c>
      <c r="F85" s="68">
        <f t="shared" ref="F85:H85" si="23">F83*(1-($N$25/100))</f>
        <v>129.30603202964491</v>
      </c>
      <c r="G85" s="68">
        <f t="shared" si="23"/>
        <v>206.84852214930675</v>
      </c>
      <c r="H85" s="68">
        <f t="shared" si="23"/>
        <v>194.40484605121171</v>
      </c>
      <c r="J85" s="12"/>
      <c r="K85" s="12"/>
      <c r="L85" s="12"/>
    </row>
    <row r="86" spans="2:12" x14ac:dyDescent="0.35">
      <c r="B86" s="51"/>
      <c r="C86" s="52"/>
      <c r="D86" s="53"/>
      <c r="E86" s="31"/>
      <c r="F86" s="70"/>
      <c r="G86" s="70"/>
      <c r="H86" s="74"/>
    </row>
    <row r="87" spans="2:12" x14ac:dyDescent="0.35">
      <c r="B87" s="45" t="s">
        <v>33</v>
      </c>
      <c r="C87" s="46"/>
      <c r="D87" s="47"/>
      <c r="E87" s="22">
        <f>E61/F24</f>
        <v>200.45834139923952</v>
      </c>
      <c r="F87" s="68">
        <f>F61/G24</f>
        <v>210.21235479881304</v>
      </c>
      <c r="G87" s="68">
        <f>G61/H24</f>
        <v>164.73749708579032</v>
      </c>
      <c r="H87" s="68">
        <f>H61/I24</f>
        <v>172.35154373334274</v>
      </c>
    </row>
    <row r="88" spans="2:12" x14ac:dyDescent="0.35">
      <c r="B88" s="51"/>
      <c r="C88" s="52"/>
      <c r="D88" s="53"/>
      <c r="E88" s="31"/>
      <c r="F88" s="70"/>
      <c r="G88" s="70"/>
      <c r="H88" s="74"/>
    </row>
    <row r="89" spans="2:12" x14ac:dyDescent="0.35">
      <c r="B89" s="45"/>
      <c r="C89" s="46" t="s">
        <v>34</v>
      </c>
      <c r="D89" s="47"/>
      <c r="E89" s="22">
        <f>E85+E87</f>
        <v>347.07300247595822</v>
      </c>
      <c r="F89" s="68">
        <f>F85+F87</f>
        <v>339.51838682845795</v>
      </c>
      <c r="G89" s="68">
        <f>G85+G87</f>
        <v>371.58601923509707</v>
      </c>
      <c r="H89" s="68">
        <f>H85+H87</f>
        <v>366.75638978455447</v>
      </c>
    </row>
    <row r="90" spans="2:12" x14ac:dyDescent="0.35">
      <c r="B90" s="51"/>
      <c r="C90" s="52"/>
      <c r="D90" s="53"/>
      <c r="E90" s="31"/>
      <c r="F90" s="70"/>
      <c r="G90" s="70"/>
      <c r="H90" s="74"/>
    </row>
    <row r="91" spans="2:12" x14ac:dyDescent="0.35">
      <c r="B91" s="45" t="s">
        <v>35</v>
      </c>
      <c r="C91" s="46"/>
      <c r="D91" s="47"/>
      <c r="E91" s="22">
        <f>F38</f>
        <v>25057292.674904943</v>
      </c>
      <c r="F91" s="68">
        <f>G38</f>
        <v>22335062.697373886</v>
      </c>
      <c r="G91" s="68">
        <f>H38</f>
        <v>41184374.271447584</v>
      </c>
      <c r="H91" s="68">
        <f>I38</f>
        <v>36624703.043335333</v>
      </c>
    </row>
    <row r="92" spans="2:12" x14ac:dyDescent="0.35">
      <c r="B92" s="51"/>
      <c r="C92" s="52"/>
      <c r="D92" s="53"/>
      <c r="E92" s="31"/>
      <c r="F92" s="70"/>
      <c r="G92" s="70"/>
      <c r="H92" s="74"/>
    </row>
    <row r="93" spans="2:12" x14ac:dyDescent="0.35">
      <c r="B93" s="45" t="s">
        <v>36</v>
      </c>
      <c r="C93" s="46"/>
      <c r="D93" s="47"/>
      <c r="E93" s="22">
        <f>E91/E76</f>
        <v>2004.5834139923954</v>
      </c>
      <c r="F93" s="68">
        <f t="shared" ref="F93:H93" si="24">F91/F76</f>
        <v>2102.1235479881302</v>
      </c>
      <c r="G93" s="68">
        <f t="shared" si="24"/>
        <v>1647.3749708579035</v>
      </c>
      <c r="H93" s="68">
        <f t="shared" si="24"/>
        <v>1723.5154373334274</v>
      </c>
    </row>
    <row r="94" spans="2:12" x14ac:dyDescent="0.35">
      <c r="B94" s="51"/>
      <c r="C94" s="52"/>
      <c r="D94" s="53"/>
      <c r="E94" s="31"/>
      <c r="F94" s="70"/>
      <c r="G94" s="70"/>
      <c r="H94" s="74"/>
    </row>
    <row r="95" spans="2:12" x14ac:dyDescent="0.35">
      <c r="B95" s="45" t="s">
        <v>59</v>
      </c>
      <c r="C95" s="46"/>
      <c r="D95" s="47"/>
      <c r="E95" s="22">
        <f>E93/E89</f>
        <v>5.7756823483591271</v>
      </c>
      <c r="F95" s="68">
        <f t="shared" ref="F95:H95" si="25">F93/F89</f>
        <v>6.1914866161585254</v>
      </c>
      <c r="G95" s="68">
        <f t="shared" si="25"/>
        <v>4.4333610135521093</v>
      </c>
      <c r="H95" s="68">
        <f t="shared" si="25"/>
        <v>4.6993467198918619</v>
      </c>
    </row>
    <row r="96" spans="2:12" x14ac:dyDescent="0.35">
      <c r="E96"/>
      <c r="I96"/>
    </row>
    <row r="97" spans="1:9" x14ac:dyDescent="0.35">
      <c r="E97"/>
      <c r="I97"/>
    </row>
    <row r="98" spans="1:9" ht="18.5" x14ac:dyDescent="0.45">
      <c r="A98" s="7"/>
    </row>
    <row r="108" spans="1:9" x14ac:dyDescent="0.35">
      <c r="C108" s="13"/>
      <c r="D108" s="13"/>
    </row>
    <row r="110" spans="1:9" x14ac:dyDescent="0.35">
      <c r="I110"/>
    </row>
    <row r="111" spans="1:9" x14ac:dyDescent="0.35">
      <c r="C111" s="65"/>
    </row>
    <row r="253" spans="31:31" x14ac:dyDescent="0.35">
      <c r="AE253">
        <v>23</v>
      </c>
    </row>
  </sheetData>
  <mergeCells count="3">
    <mergeCell ref="C10:D10"/>
    <mergeCell ref="K16:L16"/>
    <mergeCell ref="E3:K6"/>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E250"/>
  <sheetViews>
    <sheetView topLeftCell="A46" zoomScale="74" workbookViewId="0">
      <selection activeCell="H3" sqref="H3"/>
    </sheetView>
  </sheetViews>
  <sheetFormatPr defaultColWidth="10.90625" defaultRowHeight="14.5" x14ac:dyDescent="0.35"/>
  <cols>
    <col min="13" max="13" width="29.36328125" bestFit="1" customWidth="1"/>
  </cols>
  <sheetData>
    <row r="2" spans="3:14" ht="18.5" x14ac:dyDescent="0.45">
      <c r="G2" s="39" t="s">
        <v>73</v>
      </c>
      <c r="H2" s="13"/>
      <c r="I2" s="13"/>
    </row>
    <row r="3" spans="3:14" ht="18.5" x14ac:dyDescent="0.45">
      <c r="G3" s="13"/>
      <c r="H3" s="39" t="s">
        <v>72</v>
      </c>
      <c r="I3" s="13"/>
    </row>
    <row r="4" spans="3:14" x14ac:dyDescent="0.35">
      <c r="G4" s="66"/>
    </row>
    <row r="5" spans="3:14" x14ac:dyDescent="0.35">
      <c r="H5" s="67"/>
    </row>
    <row r="9" spans="3:14" x14ac:dyDescent="0.35">
      <c r="C9" s="1" t="s">
        <v>91</v>
      </c>
      <c r="D9" s="1"/>
      <c r="E9" s="22">
        <v>8100000</v>
      </c>
      <c r="F9" s="1"/>
      <c r="G9" s="1" t="s">
        <v>50</v>
      </c>
      <c r="H9" s="1"/>
      <c r="I9" s="78">
        <v>1650</v>
      </c>
      <c r="J9" s="1"/>
      <c r="K9" s="1" t="s">
        <v>54</v>
      </c>
      <c r="L9" s="1"/>
      <c r="M9" s="9">
        <f>0.3*(10^6)</f>
        <v>300000</v>
      </c>
      <c r="N9" s="9"/>
    </row>
    <row r="10" spans="3:14" x14ac:dyDescent="0.35">
      <c r="C10" s="80" t="s">
        <v>71</v>
      </c>
      <c r="D10" s="81"/>
      <c r="E10" s="9">
        <v>0.72</v>
      </c>
      <c r="F10" s="1"/>
      <c r="G10" s="1" t="s">
        <v>78</v>
      </c>
      <c r="H10" s="1"/>
      <c r="I10" s="9">
        <v>28</v>
      </c>
      <c r="J10" s="1"/>
      <c r="K10" s="1" t="s">
        <v>55</v>
      </c>
      <c r="L10" s="1"/>
      <c r="M10" s="9">
        <v>56000</v>
      </c>
      <c r="N10" s="9"/>
    </row>
    <row r="11" spans="3:14" x14ac:dyDescent="0.35">
      <c r="C11" s="1" t="s">
        <v>60</v>
      </c>
      <c r="D11" s="1"/>
      <c r="E11" s="78">
        <v>715</v>
      </c>
      <c r="F11" s="1"/>
      <c r="G11" s="1" t="s">
        <v>79</v>
      </c>
      <c r="H11" s="1"/>
      <c r="I11" s="9">
        <v>11</v>
      </c>
      <c r="J11" s="1"/>
      <c r="K11" s="1" t="s">
        <v>63</v>
      </c>
      <c r="L11" s="1"/>
      <c r="M11" s="9">
        <v>6.5</v>
      </c>
      <c r="N11" s="9">
        <v>9</v>
      </c>
    </row>
    <row r="12" spans="3:14" x14ac:dyDescent="0.35">
      <c r="C12" s="1" t="s">
        <v>46</v>
      </c>
      <c r="D12" s="1"/>
      <c r="E12" s="9">
        <v>0.9</v>
      </c>
      <c r="F12" s="1"/>
      <c r="G12" s="1" t="s">
        <v>80</v>
      </c>
      <c r="H12" s="1"/>
      <c r="I12" s="9">
        <v>11</v>
      </c>
      <c r="J12" s="1"/>
      <c r="K12" s="1" t="s">
        <v>56</v>
      </c>
      <c r="L12" s="1"/>
      <c r="M12" s="9">
        <v>3.8</v>
      </c>
      <c r="N12" s="9"/>
    </row>
    <row r="13" spans="3:14" x14ac:dyDescent="0.35">
      <c r="C13" s="1" t="s">
        <v>47</v>
      </c>
      <c r="D13" s="1"/>
      <c r="E13" s="9">
        <v>0.1</v>
      </c>
      <c r="F13" s="1"/>
      <c r="G13" s="1" t="s">
        <v>51</v>
      </c>
      <c r="H13" s="1"/>
      <c r="I13" s="9">
        <v>6.8</v>
      </c>
      <c r="J13" s="1"/>
      <c r="K13" s="1" t="s">
        <v>57</v>
      </c>
      <c r="L13" s="1"/>
      <c r="M13" s="9">
        <v>2.5</v>
      </c>
      <c r="N13" s="9"/>
    </row>
    <row r="14" spans="3:14" x14ac:dyDescent="0.35">
      <c r="C14" s="1" t="s">
        <v>48</v>
      </c>
      <c r="D14" s="1"/>
      <c r="E14" s="9">
        <v>5</v>
      </c>
      <c r="F14" s="1"/>
      <c r="G14" s="1" t="s">
        <v>53</v>
      </c>
      <c r="H14" s="1"/>
      <c r="I14" s="9">
        <v>1.5</v>
      </c>
      <c r="J14" s="1"/>
      <c r="K14" s="1" t="s">
        <v>58</v>
      </c>
      <c r="L14" s="1"/>
      <c r="M14" s="9">
        <v>1.5</v>
      </c>
      <c r="N14" s="9"/>
    </row>
    <row r="15" spans="3:14" x14ac:dyDescent="0.35">
      <c r="C15" s="1" t="s">
        <v>66</v>
      </c>
      <c r="D15" s="1"/>
      <c r="E15" s="9">
        <v>190</v>
      </c>
      <c r="F15" s="1"/>
      <c r="G15" s="1" t="s">
        <v>52</v>
      </c>
      <c r="H15" s="1"/>
      <c r="I15" s="9">
        <v>2.5</v>
      </c>
      <c r="J15" s="1"/>
      <c r="K15" s="1" t="s">
        <v>44</v>
      </c>
      <c r="L15" s="1"/>
      <c r="M15" s="9">
        <v>10</v>
      </c>
      <c r="N15" s="9"/>
    </row>
    <row r="16" spans="3:14" x14ac:dyDescent="0.35">
      <c r="C16" s="1" t="s">
        <v>49</v>
      </c>
      <c r="D16" s="1"/>
      <c r="E16" s="9">
        <v>40</v>
      </c>
      <c r="F16" s="1"/>
      <c r="G16" s="1" t="s">
        <v>92</v>
      </c>
      <c r="H16" s="1"/>
      <c r="I16" s="22">
        <v>1052</v>
      </c>
      <c r="J16" s="1"/>
      <c r="K16" s="80" t="s">
        <v>93</v>
      </c>
      <c r="L16" s="81"/>
      <c r="M16" s="22">
        <v>1776</v>
      </c>
      <c r="N16" s="9"/>
    </row>
    <row r="17" spans="2:14" x14ac:dyDescent="0.35">
      <c r="C17" s="1"/>
      <c r="D17" s="1"/>
      <c r="E17" s="9"/>
      <c r="F17" s="1"/>
      <c r="G17" s="1"/>
      <c r="H17" s="1"/>
      <c r="I17" s="9"/>
      <c r="J17" s="1"/>
      <c r="K17" s="1"/>
      <c r="L17" s="1"/>
      <c r="M17" s="9"/>
      <c r="N17" s="9"/>
    </row>
    <row r="18" spans="2:14" x14ac:dyDescent="0.35">
      <c r="C18" s="10" t="s">
        <v>74</v>
      </c>
      <c r="E18" s="12"/>
      <c r="I18" s="12"/>
      <c r="M18" s="12"/>
      <c r="N18" s="12"/>
    </row>
    <row r="19" spans="2:14" x14ac:dyDescent="0.35">
      <c r="E19" s="12"/>
      <c r="I19" s="12"/>
      <c r="M19" s="1" t="s">
        <v>86</v>
      </c>
      <c r="N19" s="1">
        <v>1.65</v>
      </c>
    </row>
    <row r="20" spans="2:14" ht="18.5" x14ac:dyDescent="0.45">
      <c r="B20" s="19" t="s">
        <v>38</v>
      </c>
      <c r="C20" s="21"/>
      <c r="E20" s="12"/>
      <c r="I20" s="12"/>
      <c r="M20" s="1" t="s">
        <v>87</v>
      </c>
      <c r="N20" s="1">
        <v>2.5</v>
      </c>
    </row>
    <row r="21" spans="2:14" x14ac:dyDescent="0.35">
      <c r="E21" s="12"/>
      <c r="I21" s="12"/>
      <c r="M21" s="1" t="s">
        <v>81</v>
      </c>
      <c r="N21" s="1">
        <v>260</v>
      </c>
    </row>
    <row r="22" spans="2:14" ht="15.5" x14ac:dyDescent="0.35">
      <c r="C22" s="4" t="s">
        <v>94</v>
      </c>
      <c r="E22" s="12">
        <f>E9*(M16/I16)</f>
        <v>13674524.714828897</v>
      </c>
      <c r="F22" t="s">
        <v>42</v>
      </c>
      <c r="G22" s="4" t="s">
        <v>95</v>
      </c>
      <c r="I22" s="12">
        <f>E22*((2)^E10)</f>
        <v>22524431.441073004</v>
      </c>
      <c r="J22" t="s">
        <v>43</v>
      </c>
      <c r="K22" s="62"/>
      <c r="M22" s="63" t="s">
        <v>82</v>
      </c>
      <c r="N22" s="1">
        <v>70</v>
      </c>
    </row>
    <row r="23" spans="2:14" x14ac:dyDescent="0.35">
      <c r="E23" s="12"/>
      <c r="I23" s="12"/>
      <c r="M23" s="1" t="s">
        <v>83</v>
      </c>
      <c r="N23" s="1">
        <v>3</v>
      </c>
    </row>
    <row r="24" spans="2:14" x14ac:dyDescent="0.35">
      <c r="B24" s="45" t="s">
        <v>45</v>
      </c>
      <c r="C24" s="46"/>
      <c r="D24" s="46"/>
      <c r="E24" s="57"/>
      <c r="F24" s="23">
        <v>12500</v>
      </c>
      <c r="G24" s="40">
        <f>F24*0.85</f>
        <v>10625</v>
      </c>
      <c r="H24" s="40">
        <v>25000</v>
      </c>
      <c r="I24" s="41">
        <f>H24*0.85</f>
        <v>21250</v>
      </c>
      <c r="M24" s="1" t="s">
        <v>84</v>
      </c>
      <c r="N24" s="1">
        <v>3</v>
      </c>
    </row>
    <row r="25" spans="2:14" x14ac:dyDescent="0.35">
      <c r="B25" s="54" t="s">
        <v>37</v>
      </c>
      <c r="C25" s="55"/>
      <c r="D25" s="55"/>
      <c r="E25" s="58"/>
      <c r="F25" s="24">
        <v>1</v>
      </c>
      <c r="G25" s="42">
        <v>0.85</v>
      </c>
      <c r="H25" s="42">
        <v>1</v>
      </c>
      <c r="I25" s="43">
        <v>0.85</v>
      </c>
      <c r="M25" s="1" t="s">
        <v>85</v>
      </c>
      <c r="N25" s="1">
        <v>38.5</v>
      </c>
    </row>
    <row r="26" spans="2:14" x14ac:dyDescent="0.35">
      <c r="B26" s="45" t="s">
        <v>64</v>
      </c>
      <c r="C26" s="46"/>
      <c r="D26" s="46"/>
      <c r="E26" s="59"/>
      <c r="F26" s="25"/>
      <c r="G26" s="73"/>
      <c r="H26" s="73"/>
      <c r="I26" s="71"/>
      <c r="M26" s="64" t="s">
        <v>89</v>
      </c>
      <c r="N26" s="9" t="s">
        <v>90</v>
      </c>
    </row>
    <row r="27" spans="2:14" x14ac:dyDescent="0.35">
      <c r="B27" s="45" t="s">
        <v>62</v>
      </c>
      <c r="C27" s="46"/>
      <c r="D27" s="46"/>
      <c r="E27" s="57"/>
      <c r="F27" s="26">
        <f>E22</f>
        <v>13674524.714828897</v>
      </c>
      <c r="G27" s="68">
        <f>F27*(G24/F24)^E10</f>
        <v>12164488.916009661</v>
      </c>
      <c r="H27" s="68">
        <f>I22</f>
        <v>22524431.441073004</v>
      </c>
      <c r="I27" s="68">
        <f>E22*(I24/F24)^E10</f>
        <v>20037127.60175303</v>
      </c>
      <c r="J27" s="5"/>
      <c r="M27" s="12"/>
      <c r="N27" s="12"/>
    </row>
    <row r="28" spans="2:14" x14ac:dyDescent="0.35">
      <c r="B28" s="45" t="s">
        <v>0</v>
      </c>
      <c r="C28" s="46"/>
      <c r="D28" s="46"/>
      <c r="E28" s="57"/>
      <c r="F28" s="26">
        <f>(I10/100)*F27</f>
        <v>3828866.9201520914</v>
      </c>
      <c r="G28" s="68">
        <f>(I10/100)*G27</f>
        <v>3406056.8964827051</v>
      </c>
      <c r="H28" s="68">
        <f>(I10/100)*H27</f>
        <v>6306840.8035004418</v>
      </c>
      <c r="I28" s="68">
        <f>(I10/100)*I27</f>
        <v>5610395.728490849</v>
      </c>
      <c r="M28" s="12"/>
      <c r="N28" s="12"/>
    </row>
    <row r="29" spans="2:14" x14ac:dyDescent="0.35">
      <c r="B29" s="45"/>
      <c r="C29" s="46"/>
      <c r="D29" s="46" t="s">
        <v>65</v>
      </c>
      <c r="E29" s="57"/>
      <c r="F29" s="26">
        <f>F27+F28</f>
        <v>17503391.634980988</v>
      </c>
      <c r="G29" s="68">
        <f>G28+G27</f>
        <v>15570545.812492367</v>
      </c>
      <c r="H29" s="68">
        <f>H28+H27</f>
        <v>28831272.244573444</v>
      </c>
      <c r="I29" s="68">
        <f>I28+I27</f>
        <v>25647523.330243878</v>
      </c>
      <c r="M29" s="12"/>
      <c r="N29" s="12"/>
    </row>
    <row r="30" spans="2:14" x14ac:dyDescent="0.35">
      <c r="B30" s="48" t="s">
        <v>1</v>
      </c>
      <c r="C30" s="49"/>
      <c r="D30" s="49"/>
      <c r="E30" s="60"/>
      <c r="F30" s="26">
        <f>(I11/100)*F27</f>
        <v>1504197.7186311786</v>
      </c>
      <c r="G30" s="68">
        <f>(I11/100)*G27</f>
        <v>1338093.7807610626</v>
      </c>
      <c r="H30" s="68">
        <f>(I11/100)*H27</f>
        <v>2477687.4585180306</v>
      </c>
      <c r="I30" s="68">
        <f>(I11/100)*I27</f>
        <v>2204084.0361928334</v>
      </c>
      <c r="K30" s="11"/>
      <c r="M30" s="12"/>
      <c r="N30" s="12"/>
    </row>
    <row r="31" spans="2:14" x14ac:dyDescent="0.35">
      <c r="B31" s="45" t="s">
        <v>2</v>
      </c>
      <c r="C31" s="46"/>
      <c r="D31" s="46"/>
      <c r="E31" s="57"/>
      <c r="F31" s="26">
        <f>(I12/100)*F27</f>
        <v>1504197.7186311786</v>
      </c>
      <c r="G31" s="68">
        <f>(I12/100)*G27</f>
        <v>1338093.7807610626</v>
      </c>
      <c r="H31" s="68">
        <f>(I12/100)*H27</f>
        <v>2477687.4585180306</v>
      </c>
      <c r="I31" s="68">
        <f>(I12/100)*I27</f>
        <v>2204084.0361928334</v>
      </c>
      <c r="M31" s="12"/>
      <c r="N31" s="12"/>
    </row>
    <row r="32" spans="2:14" x14ac:dyDescent="0.35">
      <c r="B32" s="51" t="s">
        <v>3</v>
      </c>
      <c r="C32" s="52"/>
      <c r="D32" s="52"/>
      <c r="E32" s="61"/>
      <c r="F32" s="26">
        <f>M9</f>
        <v>300000</v>
      </c>
      <c r="G32" s="68">
        <f>F32</f>
        <v>300000</v>
      </c>
      <c r="H32" s="68">
        <f>G32</f>
        <v>300000</v>
      </c>
      <c r="I32" s="68">
        <f>H32</f>
        <v>300000</v>
      </c>
      <c r="M32" s="12"/>
      <c r="N32" s="12"/>
    </row>
    <row r="33" spans="2:14" x14ac:dyDescent="0.35">
      <c r="B33" s="51" t="s">
        <v>88</v>
      </c>
      <c r="C33" s="52"/>
      <c r="D33" s="52"/>
      <c r="E33" s="61"/>
      <c r="F33" s="26">
        <f>F30/2</f>
        <v>752098.8593155893</v>
      </c>
      <c r="G33" s="68">
        <f t="shared" ref="G33:I33" si="0">G30/2</f>
        <v>669046.89038053132</v>
      </c>
      <c r="H33" s="68">
        <f t="shared" si="0"/>
        <v>1238843.7292590153</v>
      </c>
      <c r="I33" s="68">
        <f t="shared" si="0"/>
        <v>1102042.0180964167</v>
      </c>
      <c r="M33" s="12"/>
      <c r="N33" s="12"/>
    </row>
    <row r="34" spans="2:14" x14ac:dyDescent="0.35">
      <c r="B34" s="45"/>
      <c r="C34" s="46"/>
      <c r="D34" s="46" t="s">
        <v>6</v>
      </c>
      <c r="E34" s="57"/>
      <c r="F34" s="26">
        <f>F29+F30+F31+F32+F33</f>
        <v>21563885.931558933</v>
      </c>
      <c r="G34" s="68">
        <f t="shared" ref="G34:I34" si="1">G29+G30+G31+G32+G33</f>
        <v>19215780.264395025</v>
      </c>
      <c r="H34" s="68">
        <f t="shared" si="1"/>
        <v>35325490.890868522</v>
      </c>
      <c r="I34" s="68">
        <f t="shared" si="1"/>
        <v>31457733.420725964</v>
      </c>
      <c r="M34" s="12"/>
      <c r="N34" s="12"/>
    </row>
    <row r="35" spans="2:14" x14ac:dyDescent="0.35">
      <c r="B35" s="51" t="s">
        <v>68</v>
      </c>
      <c r="C35" s="52"/>
      <c r="D35" s="52"/>
      <c r="E35" s="61"/>
      <c r="F35" s="26">
        <f>$E$15*$N$20*1000</f>
        <v>475000</v>
      </c>
      <c r="G35" s="68">
        <f t="shared" ref="G35:I35" si="2">$E$15*$N$20*1000</f>
        <v>475000</v>
      </c>
      <c r="H35" s="68">
        <f t="shared" si="2"/>
        <v>475000</v>
      </c>
      <c r="I35" s="68">
        <f t="shared" si="2"/>
        <v>475000</v>
      </c>
      <c r="K35" s="3"/>
      <c r="M35" s="12"/>
      <c r="N35" s="12"/>
    </row>
    <row r="36" spans="2:14" x14ac:dyDescent="0.35">
      <c r="B36" s="45" t="s">
        <v>4</v>
      </c>
      <c r="C36" s="46"/>
      <c r="D36" s="46"/>
      <c r="E36" s="57"/>
      <c r="F36" s="26">
        <f>(I13/100)*F34</f>
        <v>1466344.2433460075</v>
      </c>
      <c r="G36" s="68">
        <f>(I13/100)*G34</f>
        <v>1306673.0579788617</v>
      </c>
      <c r="H36" s="68">
        <f>(I13/100)*H34</f>
        <v>2402133.3805790595</v>
      </c>
      <c r="I36" s="68">
        <f>(I13/100)*I34</f>
        <v>2139125.8726093657</v>
      </c>
      <c r="M36" s="12"/>
      <c r="N36" s="12"/>
    </row>
    <row r="37" spans="2:14" x14ac:dyDescent="0.35">
      <c r="B37" s="51" t="s">
        <v>5</v>
      </c>
      <c r="C37" s="52"/>
      <c r="D37" s="52"/>
      <c r="E37" s="61"/>
      <c r="F37" s="26">
        <f>(E58/12)*$I$14</f>
        <v>1536437.5</v>
      </c>
      <c r="G37" s="68">
        <f>(F58/12)*$I$14</f>
        <v>1324328.125</v>
      </c>
      <c r="H37" s="68">
        <f>(G58/12)*$I$14</f>
        <v>2950500</v>
      </c>
      <c r="I37" s="68">
        <f>(H58/12)*$I$14</f>
        <v>2526281.25</v>
      </c>
      <c r="K37" s="3"/>
      <c r="M37" s="12"/>
      <c r="N37" s="12"/>
    </row>
    <row r="38" spans="2:14" x14ac:dyDescent="0.35">
      <c r="B38" s="45"/>
      <c r="C38" s="46"/>
      <c r="D38" s="46" t="s">
        <v>7</v>
      </c>
      <c r="E38" s="57"/>
      <c r="F38" s="26">
        <f>F34+F35+F36+F37</f>
        <v>25041667.674904943</v>
      </c>
      <c r="G38" s="68">
        <f>G34+G35+G36+G37</f>
        <v>22321781.447373886</v>
      </c>
      <c r="H38" s="68">
        <f>H34+H35+H36+H37</f>
        <v>41153124.271447584</v>
      </c>
      <c r="I38" s="68">
        <f>I34+I35+I36+I37</f>
        <v>36598140.543335333</v>
      </c>
      <c r="M38" s="12"/>
      <c r="N38" s="12"/>
    </row>
    <row r="39" spans="2:14" x14ac:dyDescent="0.35">
      <c r="B39" s="45" t="s">
        <v>8</v>
      </c>
      <c r="C39" s="46"/>
      <c r="D39" s="46"/>
      <c r="E39" s="57"/>
      <c r="F39" s="26">
        <f>(E58/12)*$I$15</f>
        <v>2560729.1666666665</v>
      </c>
      <c r="G39" s="68">
        <f>(F58/12)*$I$15</f>
        <v>2207213.5416666665</v>
      </c>
      <c r="H39" s="68">
        <f>(G58/12)*$I$15</f>
        <v>4917500</v>
      </c>
      <c r="I39" s="68">
        <f>(H58/12)*$I$15</f>
        <v>4210468.75</v>
      </c>
      <c r="M39" s="12"/>
      <c r="N39" s="12"/>
    </row>
    <row r="40" spans="2:14" x14ac:dyDescent="0.35">
      <c r="E40" s="12"/>
      <c r="I40" s="12"/>
      <c r="M40" s="12"/>
      <c r="N40" s="12"/>
    </row>
    <row r="41" spans="2:14" ht="18.5" x14ac:dyDescent="0.45">
      <c r="B41" s="19" t="s">
        <v>39</v>
      </c>
      <c r="C41" s="19"/>
      <c r="D41" s="20"/>
      <c r="E41" s="12"/>
      <c r="I41" s="12"/>
      <c r="M41" s="12"/>
      <c r="N41" s="12"/>
    </row>
    <row r="42" spans="2:14" x14ac:dyDescent="0.35">
      <c r="E42" s="12"/>
      <c r="I42" s="12"/>
      <c r="M42" s="12"/>
      <c r="N42" s="12"/>
    </row>
    <row r="43" spans="2:14" x14ac:dyDescent="0.35">
      <c r="B43" s="45" t="s">
        <v>9</v>
      </c>
      <c r="C43" s="46"/>
      <c r="D43" s="47"/>
      <c r="E43" s="27">
        <v>12500</v>
      </c>
      <c r="F43" s="40">
        <f>E43*0.85</f>
        <v>10625</v>
      </c>
      <c r="G43" s="40">
        <v>25000</v>
      </c>
      <c r="H43" s="40">
        <f>G43*0.85</f>
        <v>21250</v>
      </c>
      <c r="I43" s="12"/>
      <c r="M43" s="12"/>
      <c r="N43" s="12"/>
    </row>
    <row r="44" spans="2:14" x14ac:dyDescent="0.35">
      <c r="B44" s="51"/>
      <c r="C44" s="52"/>
      <c r="D44" s="53"/>
      <c r="E44" s="28">
        <v>1</v>
      </c>
      <c r="F44" s="44">
        <v>0.85</v>
      </c>
      <c r="G44" s="44">
        <v>1</v>
      </c>
      <c r="H44" s="44">
        <v>0.85</v>
      </c>
      <c r="I44" s="12"/>
      <c r="J44" s="8"/>
      <c r="K44" s="8"/>
      <c r="L44" s="8"/>
      <c r="M44" s="16"/>
      <c r="N44" s="12"/>
    </row>
    <row r="45" spans="2:14" x14ac:dyDescent="0.35">
      <c r="B45" s="45" t="s">
        <v>40</v>
      </c>
      <c r="C45" s="46"/>
      <c r="D45" s="47"/>
      <c r="E45" s="29"/>
      <c r="F45" s="69"/>
      <c r="G45" s="69"/>
      <c r="H45" s="71"/>
      <c r="I45" s="12"/>
      <c r="J45" s="8"/>
      <c r="K45" s="8"/>
      <c r="L45" s="8"/>
      <c r="M45" s="16"/>
      <c r="N45" s="12"/>
    </row>
    <row r="46" spans="2:14" x14ac:dyDescent="0.35">
      <c r="B46" s="51" t="s">
        <v>10</v>
      </c>
      <c r="C46" s="52"/>
      <c r="D46" s="53"/>
      <c r="E46" s="22">
        <f>E11*$E$43</f>
        <v>8937500</v>
      </c>
      <c r="F46" s="68">
        <f>$E$11*F43</f>
        <v>7596875</v>
      </c>
      <c r="G46" s="68">
        <f t="shared" ref="G46:H46" si="3">$E$11*G43</f>
        <v>17875000</v>
      </c>
      <c r="H46" s="68">
        <f t="shared" si="3"/>
        <v>15193750</v>
      </c>
      <c r="I46" s="12"/>
      <c r="M46" s="12"/>
      <c r="N46" s="12"/>
    </row>
    <row r="47" spans="2:14" x14ac:dyDescent="0.35">
      <c r="B47" s="45" t="s">
        <v>61</v>
      </c>
      <c r="C47" s="46"/>
      <c r="D47" s="47"/>
      <c r="E47" s="22">
        <f>F35</f>
        <v>475000</v>
      </c>
      <c r="F47" s="68">
        <f>E47</f>
        <v>475000</v>
      </c>
      <c r="G47" s="68">
        <f t="shared" ref="G47:H47" si="4">F47</f>
        <v>475000</v>
      </c>
      <c r="H47" s="68">
        <f t="shared" si="4"/>
        <v>475000</v>
      </c>
      <c r="I47" s="12"/>
      <c r="J47" s="11"/>
      <c r="M47" s="12"/>
      <c r="N47" s="12"/>
    </row>
    <row r="48" spans="2:14" x14ac:dyDescent="0.35">
      <c r="B48" s="51" t="s">
        <v>11</v>
      </c>
      <c r="C48" s="52"/>
      <c r="D48" s="53"/>
      <c r="E48" s="30"/>
      <c r="F48" s="70"/>
      <c r="G48" s="70"/>
      <c r="H48" s="70"/>
      <c r="I48" s="12"/>
      <c r="M48" s="12"/>
      <c r="N48" s="12"/>
    </row>
    <row r="49" spans="2:14" x14ac:dyDescent="0.35">
      <c r="B49" s="45" t="s">
        <v>12</v>
      </c>
      <c r="C49" s="46"/>
      <c r="D49" s="47"/>
      <c r="E49" s="22">
        <f>-E43*$E$16*$N$19</f>
        <v>-825000</v>
      </c>
      <c r="F49" s="68">
        <f t="shared" ref="F49:H49" si="5">-F43*$E$16*$N$19</f>
        <v>-701250</v>
      </c>
      <c r="G49" s="68">
        <f t="shared" si="5"/>
        <v>-1650000</v>
      </c>
      <c r="H49" s="68">
        <f t="shared" si="5"/>
        <v>-1402500</v>
      </c>
      <c r="I49" s="12"/>
      <c r="M49" s="12"/>
      <c r="N49" s="12"/>
    </row>
    <row r="50" spans="2:14" x14ac:dyDescent="0.35">
      <c r="B50" s="51" t="s">
        <v>13</v>
      </c>
      <c r="C50" s="52"/>
      <c r="D50" s="53"/>
      <c r="E50" s="22">
        <f>$N$21*E43*$E$12</f>
        <v>2925000</v>
      </c>
      <c r="F50" s="68">
        <f t="shared" ref="F50:H50" si="6">$N$21*F43*$E$12</f>
        <v>2486250</v>
      </c>
      <c r="G50" s="68">
        <f t="shared" si="6"/>
        <v>5850000</v>
      </c>
      <c r="H50" s="68">
        <f t="shared" si="6"/>
        <v>4972500</v>
      </c>
      <c r="I50" s="12"/>
      <c r="M50" s="12"/>
      <c r="N50" s="12"/>
    </row>
    <row r="51" spans="2:14" x14ac:dyDescent="0.35">
      <c r="B51" s="45" t="s">
        <v>14</v>
      </c>
      <c r="C51" s="46"/>
      <c r="D51" s="47"/>
      <c r="E51" s="22">
        <f>$N$22*E43*$E$13</f>
        <v>87500</v>
      </c>
      <c r="F51" s="68">
        <f t="shared" ref="F51:H51" si="7">$N$22*F43*$E$13</f>
        <v>74375</v>
      </c>
      <c r="G51" s="68">
        <f t="shared" si="7"/>
        <v>175000</v>
      </c>
      <c r="H51" s="68">
        <f t="shared" si="7"/>
        <v>148750</v>
      </c>
      <c r="I51" s="12"/>
      <c r="M51" s="12"/>
      <c r="N51" s="12"/>
    </row>
    <row r="52" spans="2:14" x14ac:dyDescent="0.35">
      <c r="B52" s="45" t="s">
        <v>15</v>
      </c>
      <c r="C52" s="52"/>
      <c r="D52" s="47"/>
      <c r="E52" s="22">
        <f>$N$23*$E$14*E43</f>
        <v>187500</v>
      </c>
      <c r="F52" s="68">
        <f t="shared" ref="F52:H52" si="8">$N$23*$E$14*F43</f>
        <v>159375</v>
      </c>
      <c r="G52" s="68">
        <f t="shared" si="8"/>
        <v>375000</v>
      </c>
      <c r="H52" s="68">
        <f t="shared" si="8"/>
        <v>318750</v>
      </c>
      <c r="I52" s="12"/>
      <c r="M52" s="12"/>
      <c r="N52" s="12"/>
    </row>
    <row r="53" spans="2:14" x14ac:dyDescent="0.35">
      <c r="B53" s="51"/>
      <c r="C53" s="52"/>
      <c r="D53" s="53"/>
      <c r="E53" s="31"/>
      <c r="F53" s="70"/>
      <c r="G53" s="70"/>
      <c r="H53" s="74"/>
      <c r="I53" s="12"/>
      <c r="M53" s="12"/>
      <c r="N53" s="12"/>
    </row>
    <row r="54" spans="2:14" x14ac:dyDescent="0.35">
      <c r="B54" s="45" t="s">
        <v>16</v>
      </c>
      <c r="C54" s="46" t="s">
        <v>17</v>
      </c>
      <c r="D54" s="47"/>
      <c r="E54" s="22">
        <f>E46+E47+E49+E50+E51+E52</f>
        <v>11787500</v>
      </c>
      <c r="F54" s="68">
        <f t="shared" ref="F54:H54" si="9">F46+F47+F49+F50+F51+F52</f>
        <v>10090625</v>
      </c>
      <c r="G54" s="68">
        <f t="shared" si="9"/>
        <v>23100000</v>
      </c>
      <c r="H54" s="68">
        <f t="shared" si="9"/>
        <v>19706250</v>
      </c>
      <c r="I54" s="12"/>
      <c r="M54" s="12"/>
      <c r="N54" s="12"/>
    </row>
    <row r="55" spans="2:14" x14ac:dyDescent="0.35">
      <c r="B55" s="48"/>
      <c r="C55" s="49"/>
      <c r="D55" s="50"/>
      <c r="E55" s="30"/>
      <c r="F55" s="70"/>
      <c r="G55" s="70"/>
      <c r="H55" s="70"/>
      <c r="I55" s="12"/>
      <c r="J55" s="11"/>
      <c r="M55" s="12"/>
      <c r="N55" s="12"/>
    </row>
    <row r="56" spans="2:14" x14ac:dyDescent="0.35">
      <c r="B56" s="45" t="s">
        <v>18</v>
      </c>
      <c r="C56" s="46"/>
      <c r="D56" s="47"/>
      <c r="E56" s="32">
        <f>3*$N$24*$M$10</f>
        <v>504000</v>
      </c>
      <c r="F56" s="71">
        <f t="shared" ref="F56:H56" si="10">3*$N$24*$M$10</f>
        <v>504000</v>
      </c>
      <c r="G56" s="71">
        <f t="shared" si="10"/>
        <v>504000</v>
      </c>
      <c r="H56" s="71">
        <f t="shared" si="10"/>
        <v>504000</v>
      </c>
      <c r="I56" s="12"/>
      <c r="M56" s="12"/>
      <c r="N56" s="12"/>
    </row>
    <row r="57" spans="2:14" x14ac:dyDescent="0.35">
      <c r="B57" s="51"/>
      <c r="C57" s="52"/>
      <c r="D57" s="53"/>
      <c r="E57" s="30"/>
      <c r="F57" s="70"/>
      <c r="G57" s="70"/>
      <c r="H57" s="70"/>
      <c r="I57" s="12"/>
      <c r="M57" s="12"/>
      <c r="N57" s="12"/>
    </row>
    <row r="58" spans="2:14" x14ac:dyDescent="0.35">
      <c r="B58" s="45" t="s">
        <v>19</v>
      </c>
      <c r="C58" s="46"/>
      <c r="D58" s="47"/>
      <c r="E58" s="32">
        <f>E56+E54</f>
        <v>12291500</v>
      </c>
      <c r="F58" s="71">
        <f t="shared" ref="F58:H58" si="11">F56+F54</f>
        <v>10594625</v>
      </c>
      <c r="G58" s="71">
        <f t="shared" si="11"/>
        <v>23604000</v>
      </c>
      <c r="H58" s="71">
        <f t="shared" si="11"/>
        <v>20210250</v>
      </c>
      <c r="I58" s="12"/>
      <c r="M58" s="12"/>
      <c r="N58" s="12"/>
    </row>
    <row r="59" spans="2:14" x14ac:dyDescent="0.35">
      <c r="B59" s="51"/>
      <c r="C59" s="52"/>
      <c r="D59" s="53"/>
      <c r="E59" s="33"/>
      <c r="F59" s="75"/>
      <c r="G59" s="75"/>
      <c r="H59" s="76"/>
      <c r="I59" s="12"/>
      <c r="M59" s="12"/>
      <c r="N59" s="12"/>
    </row>
    <row r="60" spans="2:14" x14ac:dyDescent="0.35">
      <c r="B60" s="45" t="s">
        <v>20</v>
      </c>
      <c r="C60" s="46"/>
      <c r="D60" s="47"/>
      <c r="E60" s="34"/>
      <c r="F60" s="72"/>
      <c r="G60" s="72"/>
      <c r="H60" s="77"/>
      <c r="I60" s="12"/>
      <c r="M60" s="12"/>
      <c r="N60" s="12"/>
    </row>
    <row r="61" spans="2:14" x14ac:dyDescent="0.35">
      <c r="B61" s="45" t="s">
        <v>21</v>
      </c>
      <c r="C61" s="46"/>
      <c r="D61" s="47"/>
      <c r="E61" s="32">
        <f>F38/$M$15</f>
        <v>2504166.7674904941</v>
      </c>
      <c r="F61" s="71">
        <f t="shared" ref="F61:H61" si="12">G38/$M$15</f>
        <v>2232178.1447373885</v>
      </c>
      <c r="G61" s="71">
        <f t="shared" si="12"/>
        <v>4115312.4271447584</v>
      </c>
      <c r="H61" s="71">
        <f t="shared" si="12"/>
        <v>3659814.0543335332</v>
      </c>
      <c r="I61" s="12"/>
      <c r="M61" s="12"/>
      <c r="N61" s="12"/>
    </row>
    <row r="62" spans="2:14" x14ac:dyDescent="0.35">
      <c r="B62" s="51" t="s">
        <v>22</v>
      </c>
      <c r="C62" s="52"/>
      <c r="D62" s="53"/>
      <c r="E62" s="32">
        <f>($M$11/100)*F38+($N$11/100)*F39</f>
        <v>1858174.0238688213</v>
      </c>
      <c r="F62" s="71">
        <f t="shared" ref="F62:H62" si="13">($M$11/100)*G38+($N$11/100)*G39</f>
        <v>1649565.0128293026</v>
      </c>
      <c r="G62" s="71">
        <f t="shared" si="13"/>
        <v>3117528.077644093</v>
      </c>
      <c r="H62" s="71">
        <f t="shared" si="13"/>
        <v>2757821.3228167966</v>
      </c>
      <c r="I62" s="12"/>
      <c r="M62" s="12"/>
      <c r="N62" s="12"/>
    </row>
    <row r="63" spans="2:14" x14ac:dyDescent="0.35">
      <c r="B63" s="48" t="s">
        <v>23</v>
      </c>
      <c r="C63" s="49"/>
      <c r="D63" s="50"/>
      <c r="E63" s="32">
        <f>($M$12/100)*F29</f>
        <v>665128.88212927757</v>
      </c>
      <c r="F63" s="71">
        <f t="shared" ref="F63:H63" si="14">($M$12/100)*G29</f>
        <v>591680.74087470991</v>
      </c>
      <c r="G63" s="71">
        <f t="shared" si="14"/>
        <v>1095588.3452937908</v>
      </c>
      <c r="H63" s="71">
        <f t="shared" si="14"/>
        <v>974605.88654926734</v>
      </c>
      <c r="I63" s="12"/>
      <c r="M63" s="12"/>
      <c r="N63" s="12"/>
    </row>
    <row r="64" spans="2:14" x14ac:dyDescent="0.35">
      <c r="B64" s="45" t="s">
        <v>24</v>
      </c>
      <c r="C64" s="46"/>
      <c r="D64" s="47"/>
      <c r="E64" s="32">
        <f>($M$13/100)*F29</f>
        <v>437584.79087452474</v>
      </c>
      <c r="F64" s="71">
        <f t="shared" ref="F64:H64" si="15">($M$13/100)*G29</f>
        <v>389263.64531230921</v>
      </c>
      <c r="G64" s="71">
        <f t="shared" si="15"/>
        <v>720781.80611433613</v>
      </c>
      <c r="H64" s="71">
        <f t="shared" si="15"/>
        <v>641188.08325609704</v>
      </c>
      <c r="I64" s="12"/>
      <c r="M64" s="12"/>
      <c r="N64" s="12"/>
    </row>
    <row r="65" spans="2:14" x14ac:dyDescent="0.35">
      <c r="B65" s="54" t="s">
        <v>25</v>
      </c>
      <c r="C65" s="55"/>
      <c r="D65" s="56"/>
      <c r="E65" s="32">
        <f>($M$14/100)*F29</f>
        <v>262550.87452471483</v>
      </c>
      <c r="F65" s="71">
        <f t="shared" ref="F65:H65" si="16">($M$14/100)*G29</f>
        <v>233558.18718738548</v>
      </c>
      <c r="G65" s="71">
        <f t="shared" si="16"/>
        <v>432469.08366860164</v>
      </c>
      <c r="H65" s="71">
        <f t="shared" si="16"/>
        <v>384712.84995365818</v>
      </c>
      <c r="I65" s="12"/>
      <c r="M65" s="12"/>
      <c r="N65" s="12"/>
    </row>
    <row r="66" spans="2:14" x14ac:dyDescent="0.35">
      <c r="B66" s="51"/>
      <c r="C66" s="52"/>
      <c r="D66" s="53"/>
      <c r="E66" s="33"/>
      <c r="F66" s="75"/>
      <c r="G66" s="75"/>
      <c r="H66" s="76"/>
      <c r="I66" s="12"/>
      <c r="M66" s="12"/>
      <c r="N66" s="12"/>
    </row>
    <row r="67" spans="2:14" x14ac:dyDescent="0.35">
      <c r="B67" s="45"/>
      <c r="C67" s="46" t="s">
        <v>26</v>
      </c>
      <c r="D67" s="47"/>
      <c r="E67" s="22">
        <f>E61+E62+E64+E63+E65</f>
        <v>5727605.3388878331</v>
      </c>
      <c r="F67" s="68">
        <f t="shared" ref="F67:H67" si="17">F61+F62+F64+F63+F65</f>
        <v>5096245.7309410954</v>
      </c>
      <c r="G67" s="68">
        <f t="shared" si="17"/>
        <v>9481679.7398655787</v>
      </c>
      <c r="H67" s="68">
        <f t="shared" si="17"/>
        <v>8418142.1969093513</v>
      </c>
      <c r="I67" s="12"/>
      <c r="M67" s="12"/>
      <c r="N67" s="12"/>
    </row>
    <row r="68" spans="2:14" x14ac:dyDescent="0.35">
      <c r="B68" s="51"/>
      <c r="C68" s="52"/>
      <c r="D68" s="53"/>
      <c r="E68" s="31"/>
      <c r="F68" s="70"/>
      <c r="G68" s="70"/>
      <c r="H68" s="74"/>
      <c r="I68" s="12"/>
      <c r="M68" s="12"/>
      <c r="N68" s="12"/>
    </row>
    <row r="69" spans="2:14" x14ac:dyDescent="0.35">
      <c r="B69" s="45" t="s">
        <v>75</v>
      </c>
      <c r="C69" s="46"/>
      <c r="D69" s="47"/>
      <c r="E69" s="22">
        <f>E67+E54</f>
        <v>17515105.338887833</v>
      </c>
      <c r="F69" s="68">
        <f t="shared" ref="F69:H69" si="18">F67+F54</f>
        <v>15186870.730941094</v>
      </c>
      <c r="G69" s="68">
        <f t="shared" si="18"/>
        <v>32581679.739865579</v>
      </c>
      <c r="H69" s="68">
        <f t="shared" si="18"/>
        <v>28124392.196909353</v>
      </c>
      <c r="I69" s="12"/>
      <c r="M69" s="12"/>
      <c r="N69" s="12"/>
    </row>
    <row r="70" spans="2:14" x14ac:dyDescent="0.35">
      <c r="B70" s="48"/>
      <c r="C70" s="49"/>
      <c r="D70" s="49"/>
      <c r="E70" s="35"/>
      <c r="F70" s="69"/>
      <c r="G70" s="69"/>
      <c r="H70" s="71"/>
      <c r="I70" s="12"/>
      <c r="M70" s="12"/>
      <c r="N70" s="12"/>
    </row>
    <row r="71" spans="2:14" x14ac:dyDescent="0.35">
      <c r="B71" s="48" t="s">
        <v>76</v>
      </c>
      <c r="C71" s="49"/>
      <c r="D71" s="50"/>
      <c r="E71" s="79">
        <f>E69/E43</f>
        <v>1401.2084271110266</v>
      </c>
      <c r="F71" s="79">
        <f t="shared" ref="F71:H71" si="19">F69/F43</f>
        <v>1429.3525393826912</v>
      </c>
      <c r="G71" s="79">
        <f t="shared" si="19"/>
        <v>1303.2671895946232</v>
      </c>
      <c r="H71" s="79">
        <f t="shared" si="19"/>
        <v>1323.5008092663224</v>
      </c>
      <c r="I71" s="12"/>
      <c r="M71" s="12"/>
      <c r="N71" s="12"/>
    </row>
    <row r="72" spans="2:14" x14ac:dyDescent="0.35">
      <c r="B72" s="54" t="s">
        <v>41</v>
      </c>
      <c r="C72" s="55"/>
      <c r="D72" s="56"/>
      <c r="E72" s="36"/>
      <c r="F72" s="72"/>
      <c r="G72" s="72"/>
      <c r="H72" s="77"/>
      <c r="I72" s="12"/>
      <c r="M72" s="12"/>
      <c r="N72" s="12"/>
    </row>
    <row r="73" spans="2:14" x14ac:dyDescent="0.35">
      <c r="E73" s="12"/>
      <c r="I73" s="12"/>
      <c r="M73" s="12"/>
      <c r="N73" s="12"/>
    </row>
    <row r="74" spans="2:14" ht="18.5" x14ac:dyDescent="0.45">
      <c r="B74" s="19" t="s">
        <v>67</v>
      </c>
      <c r="C74" s="19"/>
      <c r="D74" s="20"/>
      <c r="E74" s="21"/>
      <c r="I74" s="12"/>
      <c r="J74" s="11"/>
      <c r="M74" s="12"/>
      <c r="N74" s="12"/>
    </row>
    <row r="75" spans="2:14" x14ac:dyDescent="0.35">
      <c r="E75" s="12"/>
      <c r="I75" s="12"/>
      <c r="M75" s="12"/>
      <c r="N75" s="12"/>
    </row>
    <row r="76" spans="2:14" x14ac:dyDescent="0.35">
      <c r="B76" s="45" t="s">
        <v>27</v>
      </c>
      <c r="C76" s="46"/>
      <c r="D76" s="47"/>
      <c r="E76" s="37">
        <v>12500</v>
      </c>
      <c r="F76" s="40">
        <f>E76*0.85</f>
        <v>10625</v>
      </c>
      <c r="G76" s="40">
        <v>25000</v>
      </c>
      <c r="H76" s="40">
        <f>G76*0.85</f>
        <v>21250</v>
      </c>
      <c r="I76" s="12"/>
      <c r="M76" s="12"/>
      <c r="N76" s="12"/>
    </row>
    <row r="77" spans="2:14" x14ac:dyDescent="0.35">
      <c r="B77" s="45" t="s">
        <v>28</v>
      </c>
      <c r="C77" s="46"/>
      <c r="D77" s="47"/>
      <c r="E77" s="38">
        <v>1</v>
      </c>
      <c r="F77" s="42">
        <v>0.85</v>
      </c>
      <c r="G77" s="42">
        <v>1</v>
      </c>
      <c r="H77" s="42">
        <v>0.85</v>
      </c>
      <c r="I77" s="12"/>
      <c r="M77" s="12"/>
      <c r="N77" s="12"/>
    </row>
    <row r="78" spans="2:14" x14ac:dyDescent="0.35">
      <c r="B78" s="48"/>
      <c r="C78" s="49"/>
      <c r="D78" s="50"/>
      <c r="E78" s="33"/>
      <c r="F78" s="75"/>
      <c r="G78" s="75"/>
      <c r="H78" s="76"/>
      <c r="I78" s="12"/>
      <c r="M78" s="12"/>
      <c r="N78" s="12"/>
    </row>
    <row r="79" spans="2:14" x14ac:dyDescent="0.35">
      <c r="B79" s="45" t="s">
        <v>29</v>
      </c>
      <c r="C79" s="46"/>
      <c r="D79" s="47"/>
      <c r="E79" s="22">
        <f>$I$9</f>
        <v>1650</v>
      </c>
      <c r="F79" s="68">
        <f t="shared" ref="F79:H79" si="20">$I$9</f>
        <v>1650</v>
      </c>
      <c r="G79" s="68">
        <f t="shared" si="20"/>
        <v>1650</v>
      </c>
      <c r="H79" s="68">
        <f t="shared" si="20"/>
        <v>1650</v>
      </c>
      <c r="I79" s="12"/>
      <c r="M79" s="12"/>
      <c r="N79" s="12"/>
    </row>
    <row r="80" spans="2:14" x14ac:dyDescent="0.35">
      <c r="B80" s="51"/>
      <c r="C80" s="52"/>
      <c r="D80" s="53"/>
      <c r="E80" s="31"/>
      <c r="F80" s="70"/>
      <c r="G80" s="70"/>
      <c r="H80" s="74"/>
      <c r="I80" s="12"/>
      <c r="M80" s="12"/>
      <c r="N80" s="12"/>
    </row>
    <row r="81" spans="2:14" x14ac:dyDescent="0.35">
      <c r="B81" s="45" t="s">
        <v>30</v>
      </c>
      <c r="C81" s="46"/>
      <c r="D81" s="47"/>
      <c r="E81" s="22">
        <f>E71</f>
        <v>1401.2084271110266</v>
      </c>
      <c r="F81" s="68">
        <f t="shared" ref="F81:H81" si="21">F71</f>
        <v>1429.3525393826912</v>
      </c>
      <c r="G81" s="68">
        <f t="shared" si="21"/>
        <v>1303.2671895946232</v>
      </c>
      <c r="H81" s="68">
        <f t="shared" si="21"/>
        <v>1323.5008092663224</v>
      </c>
      <c r="I81" s="12"/>
      <c r="M81" s="12"/>
      <c r="N81" s="12"/>
    </row>
    <row r="82" spans="2:14" x14ac:dyDescent="0.35">
      <c r="B82" s="51"/>
      <c r="C82" s="52"/>
      <c r="D82" s="53"/>
      <c r="E82" s="31"/>
      <c r="F82" s="70"/>
      <c r="G82" s="70"/>
      <c r="H82" s="74"/>
      <c r="I82" s="12"/>
      <c r="M82" s="12"/>
      <c r="N82" s="12"/>
    </row>
    <row r="83" spans="2:14" x14ac:dyDescent="0.35">
      <c r="B83" s="45" t="s">
        <v>31</v>
      </c>
      <c r="C83" s="46"/>
      <c r="D83" s="47"/>
      <c r="E83" s="22">
        <f>E79-E71</f>
        <v>248.79157288897341</v>
      </c>
      <c r="F83" s="68">
        <f t="shared" ref="F83:H83" si="22">F79-F71</f>
        <v>220.64746061730875</v>
      </c>
      <c r="G83" s="68">
        <f t="shared" si="22"/>
        <v>346.73281040537677</v>
      </c>
      <c r="H83" s="68">
        <f t="shared" si="22"/>
        <v>326.49919073367755</v>
      </c>
      <c r="I83" s="12"/>
      <c r="M83" s="12"/>
      <c r="N83" s="12"/>
    </row>
    <row r="84" spans="2:14" x14ac:dyDescent="0.35">
      <c r="B84" s="51"/>
      <c r="C84" s="52"/>
      <c r="D84" s="53"/>
      <c r="E84" s="31"/>
      <c r="F84" s="70"/>
      <c r="G84" s="70"/>
      <c r="H84" s="74"/>
      <c r="I84" s="12"/>
      <c r="M84" s="12"/>
      <c r="N84" s="12"/>
    </row>
    <row r="85" spans="2:14" ht="15.5" x14ac:dyDescent="0.35">
      <c r="B85" s="45" t="s">
        <v>32</v>
      </c>
      <c r="C85" s="46"/>
      <c r="D85" s="47"/>
      <c r="E85" s="78">
        <f>E83*(1-($N$25/100))</f>
        <v>153.00681732671865</v>
      </c>
      <c r="F85" s="78">
        <f t="shared" ref="F85:H85" si="23">F83*(1-($N$25/100))</f>
        <v>135.69818827964488</v>
      </c>
      <c r="G85" s="78">
        <f t="shared" si="23"/>
        <v>213.24067839930672</v>
      </c>
      <c r="H85" s="78">
        <f t="shared" si="23"/>
        <v>200.79700230121168</v>
      </c>
      <c r="I85" s="12"/>
      <c r="J85" s="17"/>
      <c r="K85" s="14"/>
      <c r="L85" s="14"/>
      <c r="M85" s="15"/>
      <c r="N85" s="12"/>
    </row>
    <row r="86" spans="2:14" x14ac:dyDescent="0.35">
      <c r="B86" s="51"/>
      <c r="C86" s="52"/>
      <c r="D86" s="53"/>
      <c r="E86" s="31"/>
      <c r="F86" s="70"/>
      <c r="G86" s="70"/>
      <c r="H86" s="74"/>
      <c r="I86" s="12"/>
      <c r="M86" s="12"/>
      <c r="N86" s="12"/>
    </row>
    <row r="87" spans="2:14" x14ac:dyDescent="0.35">
      <c r="B87" s="45" t="s">
        <v>33</v>
      </c>
      <c r="C87" s="46"/>
      <c r="D87" s="47"/>
      <c r="E87" s="22">
        <f>E61/F24</f>
        <v>200.33334139923952</v>
      </c>
      <c r="F87" s="68">
        <f>F61/G24</f>
        <v>210.08735479881304</v>
      </c>
      <c r="G87" s="68">
        <f>G61/H24</f>
        <v>164.61249708579032</v>
      </c>
      <c r="H87" s="68">
        <f>H61/I24</f>
        <v>172.22654373334274</v>
      </c>
      <c r="I87" s="12"/>
      <c r="M87" s="12"/>
      <c r="N87" s="12"/>
    </row>
    <row r="88" spans="2:14" x14ac:dyDescent="0.35">
      <c r="B88" s="51"/>
      <c r="C88" s="52"/>
      <c r="D88" s="53"/>
      <c r="E88" s="31"/>
      <c r="F88" s="70"/>
      <c r="G88" s="70"/>
      <c r="H88" s="74"/>
      <c r="I88" s="12"/>
      <c r="M88" s="12"/>
      <c r="N88" s="12"/>
    </row>
    <row r="89" spans="2:14" x14ac:dyDescent="0.35">
      <c r="B89" s="45"/>
      <c r="C89" s="46" t="s">
        <v>34</v>
      </c>
      <c r="D89" s="47"/>
      <c r="E89" s="78">
        <f>E85+E87</f>
        <v>353.34015872595819</v>
      </c>
      <c r="F89" s="78">
        <f>F85+F87</f>
        <v>345.78554307845792</v>
      </c>
      <c r="G89" s="78">
        <f>G85+G87</f>
        <v>377.85317548509704</v>
      </c>
      <c r="H89" s="78">
        <f>H85+H87</f>
        <v>373.02354603455444</v>
      </c>
      <c r="I89" s="12"/>
      <c r="M89" s="12"/>
      <c r="N89" s="12"/>
    </row>
    <row r="90" spans="2:14" x14ac:dyDescent="0.35">
      <c r="B90" s="51"/>
      <c r="C90" s="52"/>
      <c r="D90" s="53"/>
      <c r="E90" s="31"/>
      <c r="F90" s="70"/>
      <c r="G90" s="70"/>
      <c r="H90" s="74"/>
      <c r="I90" s="12"/>
      <c r="M90" s="12"/>
      <c r="N90" s="12"/>
    </row>
    <row r="91" spans="2:14" x14ac:dyDescent="0.35">
      <c r="B91" s="45" t="s">
        <v>35</v>
      </c>
      <c r="C91" s="46"/>
      <c r="D91" s="47"/>
      <c r="E91" s="22">
        <f>F38</f>
        <v>25041667.674904943</v>
      </c>
      <c r="F91" s="68">
        <f>G38</f>
        <v>22321781.447373886</v>
      </c>
      <c r="G91" s="68">
        <f>H38</f>
        <v>41153124.271447584</v>
      </c>
      <c r="H91" s="68">
        <f>I38</f>
        <v>36598140.543335333</v>
      </c>
      <c r="I91" s="12"/>
      <c r="M91" s="12"/>
      <c r="N91" s="12"/>
    </row>
    <row r="92" spans="2:14" x14ac:dyDescent="0.35">
      <c r="B92" s="51"/>
      <c r="C92" s="52"/>
      <c r="D92" s="53"/>
      <c r="E92" s="31"/>
      <c r="F92" s="70"/>
      <c r="G92" s="70"/>
      <c r="H92" s="74"/>
      <c r="I92" s="12"/>
      <c r="M92" s="12"/>
      <c r="N92" s="12"/>
    </row>
    <row r="93" spans="2:14" x14ac:dyDescent="0.35">
      <c r="B93" s="45" t="s">
        <v>36</v>
      </c>
      <c r="C93" s="46"/>
      <c r="D93" s="47"/>
      <c r="E93" s="22">
        <f>E91/E76</f>
        <v>2003.3334139923954</v>
      </c>
      <c r="F93" s="68">
        <f t="shared" ref="F93:H93" si="24">F91/F76</f>
        <v>2100.8735479881302</v>
      </c>
      <c r="G93" s="68">
        <f t="shared" si="24"/>
        <v>1646.1249708579035</v>
      </c>
      <c r="H93" s="68">
        <f t="shared" si="24"/>
        <v>1722.2654373334274</v>
      </c>
      <c r="I93" s="12"/>
      <c r="M93" s="12"/>
      <c r="N93" s="12"/>
    </row>
    <row r="94" spans="2:14" x14ac:dyDescent="0.35">
      <c r="B94" s="51"/>
      <c r="C94" s="52"/>
      <c r="D94" s="53"/>
      <c r="E94" s="31"/>
      <c r="F94" s="70"/>
      <c r="G94" s="70"/>
      <c r="H94" s="74"/>
      <c r="I94" s="12"/>
      <c r="M94" s="12"/>
      <c r="N94" s="12"/>
    </row>
    <row r="95" spans="2:14" x14ac:dyDescent="0.35">
      <c r="B95" s="45" t="s">
        <v>59</v>
      </c>
      <c r="C95" s="46"/>
      <c r="D95" s="47"/>
      <c r="E95" s="78">
        <f>E93/E89</f>
        <v>5.6697020265565987</v>
      </c>
      <c r="F95" s="78">
        <f t="shared" ref="F95:H95" si="25">F93/F89</f>
        <v>6.0756546652716681</v>
      </c>
      <c r="G95" s="78">
        <f t="shared" si="25"/>
        <v>4.3565201450128574</v>
      </c>
      <c r="H95" s="78">
        <f t="shared" si="25"/>
        <v>4.6170421562983268</v>
      </c>
      <c r="I95" s="12"/>
      <c r="M95" s="12"/>
      <c r="N95" s="12"/>
    </row>
    <row r="96" spans="2:14" x14ac:dyDescent="0.35">
      <c r="E96" s="12"/>
      <c r="I96" s="12"/>
      <c r="M96" s="12"/>
      <c r="N96" s="12"/>
    </row>
    <row r="250" spans="31:31" x14ac:dyDescent="0.35">
      <c r="AE250">
        <v>23</v>
      </c>
    </row>
  </sheetData>
  <mergeCells count="2">
    <mergeCell ref="C10:D10"/>
    <mergeCell ref="K16:L16"/>
  </mergeCells>
  <phoneticPr fontId="2" type="noConversion"/>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96"/>
  <sheetViews>
    <sheetView zoomScale="71" workbookViewId="0">
      <selection activeCell="P9" sqref="P9"/>
    </sheetView>
  </sheetViews>
  <sheetFormatPr defaultColWidth="10.90625" defaultRowHeight="14.5" x14ac:dyDescent="0.35"/>
  <sheetData>
    <row r="2" spans="3:14" ht="18.5" x14ac:dyDescent="0.45">
      <c r="G2" s="39" t="s">
        <v>73</v>
      </c>
    </row>
    <row r="3" spans="3:14" ht="18.5" x14ac:dyDescent="0.45">
      <c r="H3" s="39" t="s">
        <v>77</v>
      </c>
      <c r="I3" s="13"/>
    </row>
    <row r="4" spans="3:14" x14ac:dyDescent="0.35">
      <c r="G4" s="66"/>
    </row>
    <row r="5" spans="3:14" x14ac:dyDescent="0.35">
      <c r="H5" s="67"/>
    </row>
    <row r="9" spans="3:14" x14ac:dyDescent="0.35">
      <c r="C9" s="1" t="s">
        <v>91</v>
      </c>
      <c r="D9" s="1"/>
      <c r="E9" s="22">
        <v>8100000</v>
      </c>
      <c r="F9" s="1"/>
      <c r="G9" s="1" t="s">
        <v>50</v>
      </c>
      <c r="H9" s="1"/>
      <c r="I9" s="68">
        <v>1640</v>
      </c>
      <c r="J9" s="1"/>
      <c r="K9" s="1" t="s">
        <v>54</v>
      </c>
      <c r="L9" s="1"/>
      <c r="M9" s="9">
        <f>0.3*(10^6)</f>
        <v>300000</v>
      </c>
      <c r="N9" s="9"/>
    </row>
    <row r="10" spans="3:14" x14ac:dyDescent="0.35">
      <c r="C10" s="80" t="s">
        <v>71</v>
      </c>
      <c r="D10" s="81"/>
      <c r="E10" s="9">
        <v>0.72</v>
      </c>
      <c r="F10" s="1"/>
      <c r="G10" s="1" t="s">
        <v>78</v>
      </c>
      <c r="H10" s="1"/>
      <c r="I10" s="9">
        <v>28</v>
      </c>
      <c r="J10" s="1"/>
      <c r="K10" s="1" t="s">
        <v>55</v>
      </c>
      <c r="L10" s="1"/>
      <c r="M10" s="78">
        <v>50000</v>
      </c>
      <c r="N10" s="9"/>
    </row>
    <row r="11" spans="3:14" x14ac:dyDescent="0.35">
      <c r="C11" s="1" t="s">
        <v>60</v>
      </c>
      <c r="D11" s="1"/>
      <c r="E11" s="68">
        <v>725</v>
      </c>
      <c r="F11" s="1"/>
      <c r="G11" s="1" t="s">
        <v>79</v>
      </c>
      <c r="H11" s="1"/>
      <c r="I11" s="9">
        <v>11</v>
      </c>
      <c r="J11" s="1"/>
      <c r="K11" s="1" t="s">
        <v>63</v>
      </c>
      <c r="L11" s="1"/>
      <c r="M11" s="9">
        <v>6.5</v>
      </c>
      <c r="N11" s="9">
        <v>9</v>
      </c>
    </row>
    <row r="12" spans="3:14" x14ac:dyDescent="0.35">
      <c r="C12" s="1" t="s">
        <v>46</v>
      </c>
      <c r="D12" s="1"/>
      <c r="E12" s="9">
        <v>0.9</v>
      </c>
      <c r="F12" s="1"/>
      <c r="G12" s="1" t="s">
        <v>80</v>
      </c>
      <c r="H12" s="1"/>
      <c r="I12" s="9">
        <v>11</v>
      </c>
      <c r="J12" s="1"/>
      <c r="K12" s="1" t="s">
        <v>56</v>
      </c>
      <c r="L12" s="1"/>
      <c r="M12" s="9">
        <v>3.8</v>
      </c>
      <c r="N12" s="9"/>
    </row>
    <row r="13" spans="3:14" x14ac:dyDescent="0.35">
      <c r="C13" s="1" t="s">
        <v>47</v>
      </c>
      <c r="D13" s="1"/>
      <c r="E13" s="9">
        <v>0.1</v>
      </c>
      <c r="F13" s="1"/>
      <c r="G13" s="1" t="s">
        <v>51</v>
      </c>
      <c r="H13" s="1"/>
      <c r="I13" s="9">
        <v>6.8</v>
      </c>
      <c r="J13" s="1"/>
      <c r="K13" s="1" t="s">
        <v>57</v>
      </c>
      <c r="L13" s="1"/>
      <c r="M13" s="9">
        <v>2.5</v>
      </c>
      <c r="N13" s="9"/>
    </row>
    <row r="14" spans="3:14" x14ac:dyDescent="0.35">
      <c r="C14" s="1" t="s">
        <v>48</v>
      </c>
      <c r="D14" s="1"/>
      <c r="E14" s="9">
        <v>5</v>
      </c>
      <c r="F14" s="1"/>
      <c r="G14" s="1" t="s">
        <v>53</v>
      </c>
      <c r="H14" s="1"/>
      <c r="I14" s="9">
        <v>1.5</v>
      </c>
      <c r="J14" s="1"/>
      <c r="K14" s="1" t="s">
        <v>58</v>
      </c>
      <c r="L14" s="1"/>
      <c r="M14" s="9">
        <v>1.5</v>
      </c>
      <c r="N14" s="9"/>
    </row>
    <row r="15" spans="3:14" x14ac:dyDescent="0.35">
      <c r="C15" s="1" t="s">
        <v>66</v>
      </c>
      <c r="D15" s="1"/>
      <c r="E15" s="9">
        <v>190</v>
      </c>
      <c r="F15" s="1"/>
      <c r="G15" s="1" t="s">
        <v>52</v>
      </c>
      <c r="H15" s="1"/>
      <c r="I15" s="9">
        <v>2.5</v>
      </c>
      <c r="J15" s="1"/>
      <c r="K15" s="1" t="s">
        <v>44</v>
      </c>
      <c r="L15" s="1"/>
      <c r="M15" s="9">
        <v>10</v>
      </c>
      <c r="N15" s="9"/>
    </row>
    <row r="16" spans="3:14" x14ac:dyDescent="0.35">
      <c r="C16" s="1" t="s">
        <v>49</v>
      </c>
      <c r="D16" s="1"/>
      <c r="E16" s="78">
        <v>50</v>
      </c>
      <c r="F16" s="1"/>
      <c r="G16" s="1" t="s">
        <v>92</v>
      </c>
      <c r="H16" s="1"/>
      <c r="I16" s="22">
        <v>1052</v>
      </c>
      <c r="J16" s="1"/>
      <c r="K16" s="80" t="s">
        <v>93</v>
      </c>
      <c r="L16" s="81"/>
      <c r="M16" s="22">
        <v>1776</v>
      </c>
      <c r="N16" s="9"/>
    </row>
    <row r="17" spans="2:14" x14ac:dyDescent="0.35">
      <c r="C17" s="1"/>
      <c r="D17" s="1"/>
      <c r="E17" s="9"/>
      <c r="F17" s="1"/>
      <c r="G17" s="1"/>
      <c r="H17" s="1"/>
      <c r="I17" s="9"/>
      <c r="J17" s="1"/>
      <c r="K17" s="1"/>
      <c r="L17" s="1"/>
      <c r="M17" s="9"/>
      <c r="N17" s="9"/>
    </row>
    <row r="18" spans="2:14" x14ac:dyDescent="0.35">
      <c r="C18" s="10" t="s">
        <v>74</v>
      </c>
      <c r="E18" s="12"/>
      <c r="I18" s="12"/>
      <c r="M18" s="12"/>
      <c r="N18" s="12"/>
    </row>
    <row r="19" spans="2:14" x14ac:dyDescent="0.35">
      <c r="E19" s="12"/>
      <c r="I19" s="12"/>
      <c r="M19" s="1" t="s">
        <v>86</v>
      </c>
      <c r="N19" s="1">
        <v>1.65</v>
      </c>
    </row>
    <row r="20" spans="2:14" ht="18.5" x14ac:dyDescent="0.45">
      <c r="B20" s="19" t="s">
        <v>38</v>
      </c>
      <c r="C20" s="21"/>
      <c r="E20" s="12"/>
      <c r="I20" s="12"/>
      <c r="M20" s="1" t="s">
        <v>87</v>
      </c>
      <c r="N20" s="1">
        <v>2.5</v>
      </c>
    </row>
    <row r="21" spans="2:14" x14ac:dyDescent="0.35">
      <c r="E21" s="12"/>
      <c r="I21" s="12"/>
      <c r="M21" s="1" t="s">
        <v>81</v>
      </c>
      <c r="N21" s="1">
        <v>260</v>
      </c>
    </row>
    <row r="22" spans="2:14" ht="15.5" x14ac:dyDescent="0.35">
      <c r="C22" s="4" t="s">
        <v>94</v>
      </c>
      <c r="E22" s="12">
        <f>E9*(M16/I16)</f>
        <v>13674524.714828897</v>
      </c>
      <c r="F22" t="s">
        <v>42</v>
      </c>
      <c r="G22" s="4" t="s">
        <v>95</v>
      </c>
      <c r="I22" s="12">
        <f>E22*((2)^E10)</f>
        <v>22524431.441073004</v>
      </c>
      <c r="J22" t="s">
        <v>43</v>
      </c>
      <c r="K22" s="62"/>
      <c r="M22" s="63" t="s">
        <v>82</v>
      </c>
      <c r="N22" s="1">
        <v>70</v>
      </c>
    </row>
    <row r="23" spans="2:14" x14ac:dyDescent="0.35">
      <c r="E23" s="12"/>
      <c r="I23" s="12"/>
      <c r="M23" s="1" t="s">
        <v>83</v>
      </c>
      <c r="N23" s="1">
        <v>3</v>
      </c>
    </row>
    <row r="24" spans="2:14" x14ac:dyDescent="0.35">
      <c r="B24" s="45" t="s">
        <v>45</v>
      </c>
      <c r="C24" s="46"/>
      <c r="D24" s="46"/>
      <c r="E24" s="57"/>
      <c r="F24" s="23">
        <v>12500</v>
      </c>
      <c r="G24" s="40">
        <f>F24*0.85</f>
        <v>10625</v>
      </c>
      <c r="H24" s="40">
        <v>25000</v>
      </c>
      <c r="I24" s="41">
        <f>H24*0.85</f>
        <v>21250</v>
      </c>
      <c r="M24" s="1" t="s">
        <v>84</v>
      </c>
      <c r="N24" s="1">
        <v>3</v>
      </c>
    </row>
    <row r="25" spans="2:14" x14ac:dyDescent="0.35">
      <c r="B25" s="54" t="s">
        <v>37</v>
      </c>
      <c r="C25" s="55"/>
      <c r="D25" s="55"/>
      <c r="E25" s="58"/>
      <c r="F25" s="24">
        <v>1</v>
      </c>
      <c r="G25" s="42">
        <v>0.85</v>
      </c>
      <c r="H25" s="42">
        <v>1</v>
      </c>
      <c r="I25" s="43">
        <v>0.85</v>
      </c>
      <c r="M25" s="1" t="s">
        <v>85</v>
      </c>
      <c r="N25" s="1">
        <v>38.5</v>
      </c>
    </row>
    <row r="26" spans="2:14" x14ac:dyDescent="0.35">
      <c r="B26" s="45" t="s">
        <v>64</v>
      </c>
      <c r="C26" s="46"/>
      <c r="D26" s="46"/>
      <c r="E26" s="59"/>
      <c r="F26" s="25"/>
      <c r="G26" s="73"/>
      <c r="H26" s="73"/>
      <c r="I26" s="71"/>
      <c r="M26" s="64" t="s">
        <v>89</v>
      </c>
      <c r="N26" s="9" t="s">
        <v>90</v>
      </c>
    </row>
    <row r="27" spans="2:14" x14ac:dyDescent="0.35">
      <c r="B27" s="45" t="s">
        <v>62</v>
      </c>
      <c r="C27" s="46"/>
      <c r="D27" s="46"/>
      <c r="E27" s="57"/>
      <c r="F27" s="26">
        <f>E22</f>
        <v>13674524.714828897</v>
      </c>
      <c r="G27" s="68">
        <f>F27*(G24/F24)^E10</f>
        <v>12164488.916009661</v>
      </c>
      <c r="H27" s="68">
        <f>I22</f>
        <v>22524431.441073004</v>
      </c>
      <c r="I27" s="68">
        <f>E22*(I24/F24)^E10</f>
        <v>20037127.60175303</v>
      </c>
      <c r="J27" s="5"/>
      <c r="M27" s="12"/>
      <c r="N27" s="12"/>
    </row>
    <row r="28" spans="2:14" x14ac:dyDescent="0.35">
      <c r="B28" s="45" t="s">
        <v>0</v>
      </c>
      <c r="C28" s="46"/>
      <c r="D28" s="46"/>
      <c r="E28" s="57"/>
      <c r="F28" s="26">
        <f>(I10/100)*F27</f>
        <v>3828866.9201520914</v>
      </c>
      <c r="G28" s="68">
        <f>(I10/100)*G27</f>
        <v>3406056.8964827051</v>
      </c>
      <c r="H28" s="68">
        <f>(I10/100)*H27</f>
        <v>6306840.8035004418</v>
      </c>
      <c r="I28" s="68">
        <f>(I10/100)*I27</f>
        <v>5610395.728490849</v>
      </c>
      <c r="M28" s="12"/>
      <c r="N28" s="12"/>
    </row>
    <row r="29" spans="2:14" x14ac:dyDescent="0.35">
      <c r="B29" s="45"/>
      <c r="C29" s="46"/>
      <c r="D29" s="46" t="s">
        <v>65</v>
      </c>
      <c r="E29" s="57"/>
      <c r="F29" s="26">
        <f>F27+F28</f>
        <v>17503391.634980988</v>
      </c>
      <c r="G29" s="68">
        <f>G28+G27</f>
        <v>15570545.812492367</v>
      </c>
      <c r="H29" s="68">
        <f>H28+H27</f>
        <v>28831272.244573444</v>
      </c>
      <c r="I29" s="68">
        <f>I28+I27</f>
        <v>25647523.330243878</v>
      </c>
      <c r="M29" s="12"/>
      <c r="N29" s="12"/>
    </row>
    <row r="30" spans="2:14" x14ac:dyDescent="0.35">
      <c r="B30" s="48" t="s">
        <v>1</v>
      </c>
      <c r="C30" s="49"/>
      <c r="D30" s="49"/>
      <c r="E30" s="60"/>
      <c r="F30" s="26">
        <f>(I11/100)*F27</f>
        <v>1504197.7186311786</v>
      </c>
      <c r="G30" s="68">
        <f>(I11/100)*G27</f>
        <v>1338093.7807610626</v>
      </c>
      <c r="H30" s="68">
        <f>(I11/100)*H27</f>
        <v>2477687.4585180306</v>
      </c>
      <c r="I30" s="68">
        <f>(I11/100)*I27</f>
        <v>2204084.0361928334</v>
      </c>
      <c r="K30" s="11"/>
      <c r="M30" s="12"/>
      <c r="N30" s="12"/>
    </row>
    <row r="31" spans="2:14" x14ac:dyDescent="0.35">
      <c r="B31" s="45" t="s">
        <v>2</v>
      </c>
      <c r="C31" s="46"/>
      <c r="D31" s="46"/>
      <c r="E31" s="57"/>
      <c r="F31" s="26">
        <f>(I12/100)*F27</f>
        <v>1504197.7186311786</v>
      </c>
      <c r="G31" s="68">
        <f>(I12/100)*G27</f>
        <v>1338093.7807610626</v>
      </c>
      <c r="H31" s="68">
        <f>(I12/100)*H27</f>
        <v>2477687.4585180306</v>
      </c>
      <c r="I31" s="68">
        <f>(I12/100)*I27</f>
        <v>2204084.0361928334</v>
      </c>
      <c r="M31" s="12"/>
      <c r="N31" s="12"/>
    </row>
    <row r="32" spans="2:14" x14ac:dyDescent="0.35">
      <c r="B32" s="51" t="s">
        <v>3</v>
      </c>
      <c r="C32" s="52"/>
      <c r="D32" s="52"/>
      <c r="E32" s="61"/>
      <c r="F32" s="26">
        <f>M9</f>
        <v>300000</v>
      </c>
      <c r="G32" s="68">
        <f>F32</f>
        <v>300000</v>
      </c>
      <c r="H32" s="68">
        <f>G32</f>
        <v>300000</v>
      </c>
      <c r="I32" s="68">
        <f>H32</f>
        <v>300000</v>
      </c>
      <c r="M32" s="12"/>
      <c r="N32" s="12"/>
    </row>
    <row r="33" spans="2:14" x14ac:dyDescent="0.35">
      <c r="B33" s="51" t="s">
        <v>88</v>
      </c>
      <c r="C33" s="52"/>
      <c r="D33" s="52"/>
      <c r="E33" s="61"/>
      <c r="F33" s="26">
        <f>F30/2</f>
        <v>752098.8593155893</v>
      </c>
      <c r="G33" s="68">
        <f t="shared" ref="G33:I33" si="0">G30/2</f>
        <v>669046.89038053132</v>
      </c>
      <c r="H33" s="68">
        <f t="shared" si="0"/>
        <v>1238843.7292590153</v>
      </c>
      <c r="I33" s="68">
        <f t="shared" si="0"/>
        <v>1102042.0180964167</v>
      </c>
      <c r="M33" s="12"/>
      <c r="N33" s="12"/>
    </row>
    <row r="34" spans="2:14" x14ac:dyDescent="0.35">
      <c r="B34" s="45"/>
      <c r="C34" s="46"/>
      <c r="D34" s="46" t="s">
        <v>6</v>
      </c>
      <c r="E34" s="57"/>
      <c r="F34" s="26">
        <f>F29+F30+F31+F32+F33</f>
        <v>21563885.931558933</v>
      </c>
      <c r="G34" s="68">
        <f t="shared" ref="G34:I34" si="1">G29+G30+G31+G32+G33</f>
        <v>19215780.264395025</v>
      </c>
      <c r="H34" s="68">
        <f t="shared" si="1"/>
        <v>35325490.890868522</v>
      </c>
      <c r="I34" s="68">
        <f t="shared" si="1"/>
        <v>31457733.420725964</v>
      </c>
      <c r="M34" s="12"/>
      <c r="N34" s="12"/>
    </row>
    <row r="35" spans="2:14" x14ac:dyDescent="0.35">
      <c r="B35" s="51" t="s">
        <v>68</v>
      </c>
      <c r="C35" s="52"/>
      <c r="D35" s="52"/>
      <c r="E35" s="61"/>
      <c r="F35" s="26">
        <f>$E$15*$N$20*1000</f>
        <v>475000</v>
      </c>
      <c r="G35" s="68">
        <f t="shared" ref="G35:I35" si="2">$E$15*$N$20*1000</f>
        <v>475000</v>
      </c>
      <c r="H35" s="68">
        <f t="shared" si="2"/>
        <v>475000</v>
      </c>
      <c r="I35" s="68">
        <f t="shared" si="2"/>
        <v>475000</v>
      </c>
      <c r="K35" s="3"/>
      <c r="M35" s="12"/>
      <c r="N35" s="12"/>
    </row>
    <row r="36" spans="2:14" x14ac:dyDescent="0.35">
      <c r="B36" s="45" t="s">
        <v>4</v>
      </c>
      <c r="C36" s="46"/>
      <c r="D36" s="46"/>
      <c r="E36" s="57"/>
      <c r="F36" s="26">
        <f>(I13/100)*F34</f>
        <v>1466344.2433460075</v>
      </c>
      <c r="G36" s="68">
        <f>(I13/100)*G34</f>
        <v>1306673.0579788617</v>
      </c>
      <c r="H36" s="68">
        <f>(I13/100)*H34</f>
        <v>2402133.3805790595</v>
      </c>
      <c r="I36" s="68">
        <f>(I13/100)*I34</f>
        <v>2139125.8726093657</v>
      </c>
      <c r="M36" s="12"/>
      <c r="N36" s="12"/>
    </row>
    <row r="37" spans="2:14" x14ac:dyDescent="0.35">
      <c r="B37" s="51" t="s">
        <v>5</v>
      </c>
      <c r="C37" s="52"/>
      <c r="D37" s="52"/>
      <c r="E37" s="61"/>
      <c r="F37" s="26">
        <f>(E58/12)*$I$14</f>
        <v>1519531.25</v>
      </c>
      <c r="G37" s="68">
        <f>(F58/12)*$I$14</f>
        <v>1308945.3125</v>
      </c>
      <c r="H37" s="68">
        <f>(G58/12)*$I$14</f>
        <v>2923437.5</v>
      </c>
      <c r="I37" s="68">
        <f>(H58/12)*$I$14</f>
        <v>2502265.625</v>
      </c>
      <c r="K37" s="3"/>
      <c r="M37" s="12"/>
      <c r="N37" s="12"/>
    </row>
    <row r="38" spans="2:14" x14ac:dyDescent="0.35">
      <c r="B38" s="45"/>
      <c r="C38" s="46"/>
      <c r="D38" s="46" t="s">
        <v>7</v>
      </c>
      <c r="E38" s="57"/>
      <c r="F38" s="26">
        <f>F34+F35+F36+F37</f>
        <v>25024761.424904943</v>
      </c>
      <c r="G38" s="68">
        <f>G34+G35+G36+G37</f>
        <v>22306398.634873886</v>
      </c>
      <c r="H38" s="68">
        <f>H34+H35+H36+H37</f>
        <v>41126061.771447584</v>
      </c>
      <c r="I38" s="68">
        <f>I34+I35+I36+I37</f>
        <v>36574124.918335333</v>
      </c>
      <c r="M38" s="12"/>
      <c r="N38" s="12"/>
    </row>
    <row r="39" spans="2:14" x14ac:dyDescent="0.35">
      <c r="B39" s="45" t="s">
        <v>8</v>
      </c>
      <c r="C39" s="46"/>
      <c r="D39" s="46"/>
      <c r="E39" s="57"/>
      <c r="F39" s="26">
        <f>(E58/12)*$I$15</f>
        <v>2532552.0833333335</v>
      </c>
      <c r="G39" s="68">
        <f>(F58/12)*$I$15</f>
        <v>2181575.5208333335</v>
      </c>
      <c r="H39" s="68">
        <f>(G58/12)*$I$15</f>
        <v>4872395.833333333</v>
      </c>
      <c r="I39" s="68">
        <f>(H58/12)*$I$15</f>
        <v>4170442.708333333</v>
      </c>
      <c r="M39" s="12"/>
      <c r="N39" s="12"/>
    </row>
    <row r="40" spans="2:14" x14ac:dyDescent="0.35">
      <c r="E40" s="12"/>
      <c r="I40" s="12"/>
      <c r="M40" s="12"/>
      <c r="N40" s="12"/>
    </row>
    <row r="41" spans="2:14" ht="18.5" x14ac:dyDescent="0.45">
      <c r="B41" s="19" t="s">
        <v>39</v>
      </c>
      <c r="C41" s="19"/>
      <c r="D41" s="20"/>
      <c r="E41" s="12"/>
      <c r="I41" s="12"/>
      <c r="M41" s="12"/>
      <c r="N41" s="12"/>
    </row>
    <row r="42" spans="2:14" x14ac:dyDescent="0.35">
      <c r="E42" s="12"/>
      <c r="I42" s="12"/>
      <c r="M42" s="12"/>
      <c r="N42" s="12"/>
    </row>
    <row r="43" spans="2:14" x14ac:dyDescent="0.35">
      <c r="B43" s="45" t="s">
        <v>9</v>
      </c>
      <c r="C43" s="46"/>
      <c r="D43" s="47"/>
      <c r="E43" s="27">
        <v>12500</v>
      </c>
      <c r="F43" s="40">
        <f>E43*0.85</f>
        <v>10625</v>
      </c>
      <c r="G43" s="40">
        <v>25000</v>
      </c>
      <c r="H43" s="40">
        <f>G43*0.85</f>
        <v>21250</v>
      </c>
      <c r="I43" s="12"/>
      <c r="M43" s="12"/>
      <c r="N43" s="12"/>
    </row>
    <row r="44" spans="2:14" x14ac:dyDescent="0.35">
      <c r="B44" s="51"/>
      <c r="C44" s="52"/>
      <c r="D44" s="53"/>
      <c r="E44" s="28">
        <v>1</v>
      </c>
      <c r="F44" s="44">
        <v>0.85</v>
      </c>
      <c r="G44" s="44">
        <v>1</v>
      </c>
      <c r="H44" s="44">
        <v>0.85</v>
      </c>
      <c r="I44" s="12"/>
      <c r="J44" s="8"/>
      <c r="K44" s="8"/>
      <c r="L44" s="8"/>
      <c r="M44" s="16"/>
      <c r="N44" s="12"/>
    </row>
    <row r="45" spans="2:14" x14ac:dyDescent="0.35">
      <c r="B45" s="45" t="s">
        <v>40</v>
      </c>
      <c r="C45" s="46"/>
      <c r="D45" s="47"/>
      <c r="E45" s="29"/>
      <c r="F45" s="69"/>
      <c r="G45" s="69"/>
      <c r="H45" s="71"/>
      <c r="I45" s="12"/>
      <c r="J45" s="8"/>
      <c r="K45" s="8"/>
      <c r="L45" s="8"/>
      <c r="M45" s="16"/>
      <c r="N45" s="12"/>
    </row>
    <row r="46" spans="2:14" x14ac:dyDescent="0.35">
      <c r="B46" s="51" t="s">
        <v>10</v>
      </c>
      <c r="C46" s="52"/>
      <c r="D46" s="53"/>
      <c r="E46" s="22">
        <f>E11*$E$43</f>
        <v>9062500</v>
      </c>
      <c r="F46" s="68">
        <f>$E$11*F43</f>
        <v>7703125</v>
      </c>
      <c r="G46" s="68">
        <f t="shared" ref="G46:H46" si="3">$E$11*G43</f>
        <v>18125000</v>
      </c>
      <c r="H46" s="68">
        <f t="shared" si="3"/>
        <v>15406250</v>
      </c>
      <c r="I46" s="12"/>
      <c r="M46" s="12"/>
      <c r="N46" s="12"/>
    </row>
    <row r="47" spans="2:14" x14ac:dyDescent="0.35">
      <c r="B47" s="45" t="s">
        <v>61</v>
      </c>
      <c r="C47" s="46"/>
      <c r="D47" s="47"/>
      <c r="E47" s="22">
        <f>F35</f>
        <v>475000</v>
      </c>
      <c r="F47" s="68">
        <f>E47</f>
        <v>475000</v>
      </c>
      <c r="G47" s="68">
        <f t="shared" ref="G47:H47" si="4">F47</f>
        <v>475000</v>
      </c>
      <c r="H47" s="68">
        <f t="shared" si="4"/>
        <v>475000</v>
      </c>
      <c r="I47" s="12"/>
      <c r="J47" s="11"/>
      <c r="M47" s="12"/>
      <c r="N47" s="12"/>
    </row>
    <row r="48" spans="2:14" x14ac:dyDescent="0.35">
      <c r="B48" s="51" t="s">
        <v>11</v>
      </c>
      <c r="C48" s="52"/>
      <c r="D48" s="53"/>
      <c r="E48" s="30"/>
      <c r="F48" s="70"/>
      <c r="G48" s="70"/>
      <c r="H48" s="70"/>
      <c r="I48" s="12"/>
      <c r="M48" s="12"/>
      <c r="N48" s="12"/>
    </row>
    <row r="49" spans="2:14" x14ac:dyDescent="0.35">
      <c r="B49" s="45" t="s">
        <v>12</v>
      </c>
      <c r="C49" s="46"/>
      <c r="D49" s="47"/>
      <c r="E49" s="22">
        <f>-E43*$E$16*$N$19</f>
        <v>-1031250</v>
      </c>
      <c r="F49" s="68">
        <f t="shared" ref="F49:H49" si="5">-F43*$E$16*$N$19</f>
        <v>-876562.5</v>
      </c>
      <c r="G49" s="68">
        <f t="shared" si="5"/>
        <v>-2062500</v>
      </c>
      <c r="H49" s="68">
        <f t="shared" si="5"/>
        <v>-1753125</v>
      </c>
      <c r="I49" s="12"/>
      <c r="M49" s="12"/>
      <c r="N49" s="12"/>
    </row>
    <row r="50" spans="2:14" x14ac:dyDescent="0.35">
      <c r="B50" s="51" t="s">
        <v>13</v>
      </c>
      <c r="C50" s="52"/>
      <c r="D50" s="53"/>
      <c r="E50" s="22">
        <f>$N$21*E43*$E$12</f>
        <v>2925000</v>
      </c>
      <c r="F50" s="68">
        <f t="shared" ref="F50:H50" si="6">$N$21*F43*$E$12</f>
        <v>2486250</v>
      </c>
      <c r="G50" s="68">
        <f t="shared" si="6"/>
        <v>5850000</v>
      </c>
      <c r="H50" s="68">
        <f t="shared" si="6"/>
        <v>4972500</v>
      </c>
      <c r="I50" s="12"/>
      <c r="M50" s="12"/>
      <c r="N50" s="12"/>
    </row>
    <row r="51" spans="2:14" x14ac:dyDescent="0.35">
      <c r="B51" s="45" t="s">
        <v>14</v>
      </c>
      <c r="C51" s="46"/>
      <c r="D51" s="47"/>
      <c r="E51" s="22">
        <f>$N$22*E43*$E$13</f>
        <v>87500</v>
      </c>
      <c r="F51" s="68">
        <f t="shared" ref="F51:H51" si="7">$N$22*F43*$E$13</f>
        <v>74375</v>
      </c>
      <c r="G51" s="68">
        <f t="shared" si="7"/>
        <v>175000</v>
      </c>
      <c r="H51" s="68">
        <f t="shared" si="7"/>
        <v>148750</v>
      </c>
      <c r="I51" s="12"/>
      <c r="M51" s="12"/>
      <c r="N51" s="12"/>
    </row>
    <row r="52" spans="2:14" x14ac:dyDescent="0.35">
      <c r="B52" s="45" t="s">
        <v>15</v>
      </c>
      <c r="C52" s="52"/>
      <c r="D52" s="47"/>
      <c r="E52" s="22">
        <f>$N$23*$E$14*E43</f>
        <v>187500</v>
      </c>
      <c r="F52" s="68">
        <f t="shared" ref="F52:H52" si="8">$N$23*$E$14*F43</f>
        <v>159375</v>
      </c>
      <c r="G52" s="68">
        <f t="shared" si="8"/>
        <v>375000</v>
      </c>
      <c r="H52" s="68">
        <f t="shared" si="8"/>
        <v>318750</v>
      </c>
      <c r="I52" s="12"/>
      <c r="M52" s="12"/>
      <c r="N52" s="12"/>
    </row>
    <row r="53" spans="2:14" x14ac:dyDescent="0.35">
      <c r="B53" s="51"/>
      <c r="C53" s="52"/>
      <c r="D53" s="53"/>
      <c r="E53" s="31"/>
      <c r="F53" s="70"/>
      <c r="G53" s="70"/>
      <c r="H53" s="74"/>
      <c r="I53" s="12"/>
      <c r="M53" s="12"/>
      <c r="N53" s="12"/>
    </row>
    <row r="54" spans="2:14" x14ac:dyDescent="0.35">
      <c r="B54" s="45" t="s">
        <v>16</v>
      </c>
      <c r="C54" s="46" t="s">
        <v>17</v>
      </c>
      <c r="D54" s="47"/>
      <c r="E54" s="22">
        <f>E46+E47+E49+E50+E51+E52</f>
        <v>11706250</v>
      </c>
      <c r="F54" s="68">
        <f t="shared" ref="F54:H54" si="9">F46+F47+F49+F50+F51+F52</f>
        <v>10021562.5</v>
      </c>
      <c r="G54" s="68">
        <f t="shared" si="9"/>
        <v>22937500</v>
      </c>
      <c r="H54" s="68">
        <f t="shared" si="9"/>
        <v>19568125</v>
      </c>
      <c r="I54" s="12"/>
      <c r="M54" s="12"/>
      <c r="N54" s="12"/>
    </row>
    <row r="55" spans="2:14" x14ac:dyDescent="0.35">
      <c r="B55" s="48"/>
      <c r="C55" s="49"/>
      <c r="D55" s="50"/>
      <c r="E55" s="30"/>
      <c r="F55" s="70"/>
      <c r="G55" s="70"/>
      <c r="H55" s="70"/>
      <c r="I55" s="12"/>
      <c r="J55" s="11"/>
      <c r="M55" s="12"/>
      <c r="N55" s="12"/>
    </row>
    <row r="56" spans="2:14" x14ac:dyDescent="0.35">
      <c r="B56" s="45" t="s">
        <v>18</v>
      </c>
      <c r="C56" s="46"/>
      <c r="D56" s="47"/>
      <c r="E56" s="32">
        <f>3*$N$24*$M$10</f>
        <v>450000</v>
      </c>
      <c r="F56" s="71">
        <f t="shared" ref="F56:H56" si="10">3*$N$24*$M$10</f>
        <v>450000</v>
      </c>
      <c r="G56" s="71">
        <f t="shared" si="10"/>
        <v>450000</v>
      </c>
      <c r="H56" s="71">
        <f t="shared" si="10"/>
        <v>450000</v>
      </c>
      <c r="I56" s="12"/>
      <c r="M56" s="12"/>
      <c r="N56" s="12"/>
    </row>
    <row r="57" spans="2:14" x14ac:dyDescent="0.35">
      <c r="B57" s="51"/>
      <c r="C57" s="52"/>
      <c r="D57" s="53"/>
      <c r="E57" s="30"/>
      <c r="F57" s="70"/>
      <c r="G57" s="70"/>
      <c r="H57" s="70"/>
      <c r="I57" s="12"/>
      <c r="M57" s="12"/>
      <c r="N57" s="12"/>
    </row>
    <row r="58" spans="2:14" x14ac:dyDescent="0.35">
      <c r="B58" s="45" t="s">
        <v>19</v>
      </c>
      <c r="C58" s="46"/>
      <c r="D58" s="47"/>
      <c r="E58" s="32">
        <f>E56+E54</f>
        <v>12156250</v>
      </c>
      <c r="F58" s="71">
        <f t="shared" ref="F58:H58" si="11">F56+F54</f>
        <v>10471562.5</v>
      </c>
      <c r="G58" s="71">
        <f t="shared" si="11"/>
        <v>23387500</v>
      </c>
      <c r="H58" s="71">
        <f t="shared" si="11"/>
        <v>20018125</v>
      </c>
      <c r="I58" s="12"/>
      <c r="M58" s="12"/>
      <c r="N58" s="12"/>
    </row>
    <row r="59" spans="2:14" x14ac:dyDescent="0.35">
      <c r="B59" s="51"/>
      <c r="C59" s="52"/>
      <c r="D59" s="53"/>
      <c r="E59" s="33"/>
      <c r="F59" s="75"/>
      <c r="G59" s="75"/>
      <c r="H59" s="76"/>
      <c r="I59" s="12"/>
      <c r="M59" s="12"/>
      <c r="N59" s="12"/>
    </row>
    <row r="60" spans="2:14" x14ac:dyDescent="0.35">
      <c r="B60" s="45" t="s">
        <v>20</v>
      </c>
      <c r="C60" s="46"/>
      <c r="D60" s="47"/>
      <c r="E60" s="34"/>
      <c r="F60" s="72"/>
      <c r="G60" s="72"/>
      <c r="H60" s="77"/>
      <c r="I60" s="12"/>
      <c r="M60" s="12"/>
      <c r="N60" s="12"/>
    </row>
    <row r="61" spans="2:14" x14ac:dyDescent="0.35">
      <c r="B61" s="45" t="s">
        <v>21</v>
      </c>
      <c r="C61" s="46"/>
      <c r="D61" s="47"/>
      <c r="E61" s="32">
        <f>F38/$M$15</f>
        <v>2502476.1424904941</v>
      </c>
      <c r="F61" s="71">
        <f t="shared" ref="F61:H61" si="12">G38/$M$15</f>
        <v>2230639.8634873885</v>
      </c>
      <c r="G61" s="71">
        <f t="shared" si="12"/>
        <v>4112606.1771447584</v>
      </c>
      <c r="H61" s="71">
        <f t="shared" si="12"/>
        <v>3657412.4918335332</v>
      </c>
      <c r="I61" s="12"/>
      <c r="M61" s="12"/>
      <c r="N61" s="12"/>
    </row>
    <row r="62" spans="2:14" x14ac:dyDescent="0.35">
      <c r="B62" s="51" t="s">
        <v>22</v>
      </c>
      <c r="C62" s="52"/>
      <c r="D62" s="53"/>
      <c r="E62" s="32">
        <f>($M$11/100)*F38+($N$11/100)*F39</f>
        <v>1854539.1801188213</v>
      </c>
      <c r="F62" s="71">
        <f t="shared" ref="F62:H62" si="13">($M$11/100)*G38+($N$11/100)*G39</f>
        <v>1646257.7081418026</v>
      </c>
      <c r="G62" s="71">
        <f t="shared" si="13"/>
        <v>3111709.640144093</v>
      </c>
      <c r="H62" s="71">
        <f t="shared" si="13"/>
        <v>2752657.9634417966</v>
      </c>
      <c r="I62" s="12"/>
      <c r="M62" s="12"/>
      <c r="N62" s="12"/>
    </row>
    <row r="63" spans="2:14" x14ac:dyDescent="0.35">
      <c r="B63" s="48" t="s">
        <v>23</v>
      </c>
      <c r="C63" s="49"/>
      <c r="D63" s="50"/>
      <c r="E63" s="32">
        <f>($M$12/100)*F29</f>
        <v>665128.88212927757</v>
      </c>
      <c r="F63" s="71">
        <f t="shared" ref="F63:H63" si="14">($M$12/100)*G29</f>
        <v>591680.74087470991</v>
      </c>
      <c r="G63" s="71">
        <f t="shared" si="14"/>
        <v>1095588.3452937908</v>
      </c>
      <c r="H63" s="71">
        <f t="shared" si="14"/>
        <v>974605.88654926734</v>
      </c>
      <c r="I63" s="12"/>
      <c r="M63" s="12"/>
      <c r="N63" s="12"/>
    </row>
    <row r="64" spans="2:14" x14ac:dyDescent="0.35">
      <c r="B64" s="45" t="s">
        <v>24</v>
      </c>
      <c r="C64" s="46"/>
      <c r="D64" s="47"/>
      <c r="E64" s="32">
        <f>($M$13/100)*F29</f>
        <v>437584.79087452474</v>
      </c>
      <c r="F64" s="71">
        <f t="shared" ref="F64:H64" si="15">($M$13/100)*G29</f>
        <v>389263.64531230921</v>
      </c>
      <c r="G64" s="71">
        <f t="shared" si="15"/>
        <v>720781.80611433613</v>
      </c>
      <c r="H64" s="71">
        <f t="shared" si="15"/>
        <v>641188.08325609704</v>
      </c>
      <c r="I64" s="12"/>
      <c r="M64" s="12"/>
      <c r="N64" s="12"/>
    </row>
    <row r="65" spans="2:14" x14ac:dyDescent="0.35">
      <c r="B65" s="54" t="s">
        <v>25</v>
      </c>
      <c r="C65" s="55"/>
      <c r="D65" s="56"/>
      <c r="E65" s="32">
        <f>($M$14/100)*F29</f>
        <v>262550.87452471483</v>
      </c>
      <c r="F65" s="71">
        <f t="shared" ref="F65:H65" si="16">($M$14/100)*G29</f>
        <v>233558.18718738548</v>
      </c>
      <c r="G65" s="71">
        <f t="shared" si="16"/>
        <v>432469.08366860164</v>
      </c>
      <c r="H65" s="71">
        <f t="shared" si="16"/>
        <v>384712.84995365818</v>
      </c>
      <c r="I65" s="12"/>
      <c r="M65" s="12"/>
      <c r="N65" s="12"/>
    </row>
    <row r="66" spans="2:14" x14ac:dyDescent="0.35">
      <c r="B66" s="51"/>
      <c r="C66" s="52"/>
      <c r="D66" s="53"/>
      <c r="E66" s="33"/>
      <c r="F66" s="75"/>
      <c r="G66" s="75"/>
      <c r="H66" s="76"/>
      <c r="I66" s="12"/>
      <c r="M66" s="12"/>
      <c r="N66" s="12"/>
    </row>
    <row r="67" spans="2:14" x14ac:dyDescent="0.35">
      <c r="B67" s="45"/>
      <c r="C67" s="46" t="s">
        <v>26</v>
      </c>
      <c r="D67" s="47"/>
      <c r="E67" s="22">
        <f>E61+E62+E64+E63+E65</f>
        <v>5722279.8701378331</v>
      </c>
      <c r="F67" s="68">
        <f t="shared" ref="F67:H67" si="17">F61+F62+F64+F63+F65</f>
        <v>5091400.1450035954</v>
      </c>
      <c r="G67" s="68">
        <f t="shared" si="17"/>
        <v>9473155.0523655787</v>
      </c>
      <c r="H67" s="68">
        <f t="shared" si="17"/>
        <v>8410577.2750343513</v>
      </c>
      <c r="I67" s="12"/>
      <c r="M67" s="12"/>
      <c r="N67" s="12"/>
    </row>
    <row r="68" spans="2:14" x14ac:dyDescent="0.35">
      <c r="B68" s="51"/>
      <c r="C68" s="52"/>
      <c r="D68" s="53"/>
      <c r="E68" s="31"/>
      <c r="F68" s="70"/>
      <c r="G68" s="70"/>
      <c r="H68" s="74"/>
      <c r="I68" s="12"/>
      <c r="M68" s="12"/>
      <c r="N68" s="12"/>
    </row>
    <row r="69" spans="2:14" x14ac:dyDescent="0.35">
      <c r="B69" s="45" t="s">
        <v>75</v>
      </c>
      <c r="C69" s="46"/>
      <c r="D69" s="47"/>
      <c r="E69" s="22">
        <f>E67+E54</f>
        <v>17428529.870137833</v>
      </c>
      <c r="F69" s="68">
        <f t="shared" ref="F69:H69" si="18">F67+F54</f>
        <v>15112962.645003594</v>
      </c>
      <c r="G69" s="68">
        <f t="shared" si="18"/>
        <v>32410655.052365579</v>
      </c>
      <c r="H69" s="68">
        <f t="shared" si="18"/>
        <v>27978702.275034353</v>
      </c>
      <c r="I69" s="12"/>
      <c r="M69" s="12"/>
      <c r="N69" s="12"/>
    </row>
    <row r="70" spans="2:14" x14ac:dyDescent="0.35">
      <c r="B70" s="48"/>
      <c r="C70" s="49"/>
      <c r="D70" s="49"/>
      <c r="E70" s="35"/>
      <c r="F70" s="69"/>
      <c r="G70" s="69"/>
      <c r="H70" s="71"/>
      <c r="I70" s="12"/>
      <c r="M70" s="12"/>
      <c r="N70" s="12"/>
    </row>
    <row r="71" spans="2:14" x14ac:dyDescent="0.35">
      <c r="B71" s="48" t="s">
        <v>76</v>
      </c>
      <c r="C71" s="49"/>
      <c r="D71" s="50"/>
      <c r="E71" s="79">
        <f>E69/E43</f>
        <v>1394.2823896110267</v>
      </c>
      <c r="F71" s="79">
        <f t="shared" ref="F71:H71" si="19">F69/F43</f>
        <v>1422.3964842356324</v>
      </c>
      <c r="G71" s="79">
        <f t="shared" si="19"/>
        <v>1296.4262020946232</v>
      </c>
      <c r="H71" s="79">
        <f t="shared" si="19"/>
        <v>1316.6448129427931</v>
      </c>
      <c r="I71" s="12"/>
      <c r="M71" s="12"/>
      <c r="N71" s="12"/>
    </row>
    <row r="72" spans="2:14" x14ac:dyDescent="0.35">
      <c r="B72" s="54" t="s">
        <v>41</v>
      </c>
      <c r="C72" s="55"/>
      <c r="D72" s="56"/>
      <c r="E72" s="36"/>
      <c r="F72" s="72"/>
      <c r="G72" s="72"/>
      <c r="H72" s="77"/>
      <c r="I72" s="12"/>
      <c r="M72" s="12"/>
      <c r="N72" s="12"/>
    </row>
    <row r="73" spans="2:14" x14ac:dyDescent="0.35">
      <c r="E73" s="12"/>
      <c r="I73" s="12"/>
      <c r="M73" s="12"/>
      <c r="N73" s="12"/>
    </row>
    <row r="74" spans="2:14" ht="18.5" x14ac:dyDescent="0.45">
      <c r="B74" s="19" t="s">
        <v>67</v>
      </c>
      <c r="C74" s="19"/>
      <c r="D74" s="20"/>
      <c r="E74" s="21"/>
      <c r="I74" s="12"/>
      <c r="J74" s="11"/>
      <c r="M74" s="12"/>
      <c r="N74" s="12"/>
    </row>
    <row r="75" spans="2:14" x14ac:dyDescent="0.35">
      <c r="E75" s="12"/>
      <c r="I75" s="12"/>
      <c r="M75" s="12"/>
      <c r="N75" s="12"/>
    </row>
    <row r="76" spans="2:14" x14ac:dyDescent="0.35">
      <c r="B76" s="45" t="s">
        <v>27</v>
      </c>
      <c r="C76" s="46"/>
      <c r="D76" s="47"/>
      <c r="E76" s="37">
        <v>12500</v>
      </c>
      <c r="F76" s="40">
        <f>E76*0.85</f>
        <v>10625</v>
      </c>
      <c r="G76" s="40">
        <v>25000</v>
      </c>
      <c r="H76" s="40">
        <f>G76*0.85</f>
        <v>21250</v>
      </c>
      <c r="I76" s="12"/>
      <c r="M76" s="12"/>
      <c r="N76" s="12"/>
    </row>
    <row r="77" spans="2:14" x14ac:dyDescent="0.35">
      <c r="B77" s="45" t="s">
        <v>28</v>
      </c>
      <c r="C77" s="46"/>
      <c r="D77" s="47"/>
      <c r="E77" s="38">
        <v>1</v>
      </c>
      <c r="F77" s="42">
        <v>0.85</v>
      </c>
      <c r="G77" s="42">
        <v>1</v>
      </c>
      <c r="H77" s="42">
        <v>0.85</v>
      </c>
      <c r="I77" s="12"/>
      <c r="M77" s="12"/>
      <c r="N77" s="12"/>
    </row>
    <row r="78" spans="2:14" x14ac:dyDescent="0.35">
      <c r="B78" s="48"/>
      <c r="C78" s="49"/>
      <c r="D78" s="50"/>
      <c r="E78" s="33"/>
      <c r="F78" s="75"/>
      <c r="G78" s="75"/>
      <c r="H78" s="76"/>
      <c r="I78" s="12"/>
      <c r="M78" s="12"/>
      <c r="N78" s="12"/>
    </row>
    <row r="79" spans="2:14" x14ac:dyDescent="0.35">
      <c r="B79" s="45" t="s">
        <v>29</v>
      </c>
      <c r="C79" s="46"/>
      <c r="D79" s="47"/>
      <c r="E79" s="22">
        <f>$I$9</f>
        <v>1640</v>
      </c>
      <c r="F79" s="68">
        <f t="shared" ref="F79:H79" si="20">$I$9</f>
        <v>1640</v>
      </c>
      <c r="G79" s="68">
        <f t="shared" si="20"/>
        <v>1640</v>
      </c>
      <c r="H79" s="68">
        <f t="shared" si="20"/>
        <v>1640</v>
      </c>
      <c r="I79" s="12"/>
      <c r="M79" s="12"/>
      <c r="N79" s="12"/>
    </row>
    <row r="80" spans="2:14" x14ac:dyDescent="0.35">
      <c r="B80" s="51"/>
      <c r="C80" s="52"/>
      <c r="D80" s="53"/>
      <c r="E80" s="31"/>
      <c r="F80" s="70"/>
      <c r="G80" s="70"/>
      <c r="H80" s="74"/>
      <c r="I80" s="12"/>
      <c r="M80" s="12"/>
      <c r="N80" s="12"/>
    </row>
    <row r="81" spans="2:14" x14ac:dyDescent="0.35">
      <c r="B81" s="45" t="s">
        <v>30</v>
      </c>
      <c r="C81" s="46"/>
      <c r="D81" s="47"/>
      <c r="E81" s="22">
        <f>E71</f>
        <v>1394.2823896110267</v>
      </c>
      <c r="F81" s="68">
        <f t="shared" ref="F81:H81" si="21">F71</f>
        <v>1422.3964842356324</v>
      </c>
      <c r="G81" s="68">
        <f t="shared" si="21"/>
        <v>1296.4262020946232</v>
      </c>
      <c r="H81" s="68">
        <f t="shared" si="21"/>
        <v>1316.6448129427931</v>
      </c>
      <c r="I81" s="12"/>
      <c r="M81" s="12"/>
      <c r="N81" s="12"/>
    </row>
    <row r="82" spans="2:14" x14ac:dyDescent="0.35">
      <c r="B82" s="51"/>
      <c r="C82" s="52"/>
      <c r="D82" s="53"/>
      <c r="E82" s="31"/>
      <c r="F82" s="70"/>
      <c r="G82" s="70"/>
      <c r="H82" s="74"/>
      <c r="I82" s="12"/>
      <c r="M82" s="12"/>
      <c r="N82" s="12"/>
    </row>
    <row r="83" spans="2:14" x14ac:dyDescent="0.35">
      <c r="B83" s="45" t="s">
        <v>31</v>
      </c>
      <c r="C83" s="46"/>
      <c r="D83" s="47"/>
      <c r="E83" s="22">
        <f>E79-E71</f>
        <v>245.7176103889733</v>
      </c>
      <c r="F83" s="68">
        <f t="shared" ref="F83:H83" si="22">F79-F71</f>
        <v>217.60351576436756</v>
      </c>
      <c r="G83" s="68">
        <f t="shared" si="22"/>
        <v>343.57379790537675</v>
      </c>
      <c r="H83" s="68">
        <f t="shared" si="22"/>
        <v>323.35518705720688</v>
      </c>
      <c r="I83" s="12"/>
      <c r="M83" s="12"/>
      <c r="N83" s="12"/>
    </row>
    <row r="84" spans="2:14" x14ac:dyDescent="0.35">
      <c r="B84" s="51"/>
      <c r="C84" s="52"/>
      <c r="D84" s="53"/>
      <c r="E84" s="31"/>
      <c r="F84" s="70"/>
      <c r="G84" s="70"/>
      <c r="H84" s="74"/>
      <c r="I84" s="12"/>
      <c r="M84" s="12"/>
      <c r="N84" s="12"/>
    </row>
    <row r="85" spans="2:14" ht="15.5" x14ac:dyDescent="0.35">
      <c r="B85" s="45" t="s">
        <v>32</v>
      </c>
      <c r="C85" s="46"/>
      <c r="D85" s="47"/>
      <c r="E85" s="78">
        <f>E83*(1-($N$25/100))</f>
        <v>151.11633038921858</v>
      </c>
      <c r="F85" s="78">
        <f t="shared" ref="F85:H85" si="23">F83*(1-($N$25/100))</f>
        <v>133.82616219508606</v>
      </c>
      <c r="G85" s="78">
        <f t="shared" si="23"/>
        <v>211.29788571180669</v>
      </c>
      <c r="H85" s="78">
        <f t="shared" si="23"/>
        <v>198.86344004018221</v>
      </c>
      <c r="I85" s="12"/>
      <c r="J85" s="17"/>
      <c r="K85" s="14"/>
      <c r="L85" s="14"/>
      <c r="M85" s="15"/>
      <c r="N85" s="12"/>
    </row>
    <row r="86" spans="2:14" x14ac:dyDescent="0.35">
      <c r="B86" s="51"/>
      <c r="C86" s="52"/>
      <c r="D86" s="53"/>
      <c r="E86" s="31"/>
      <c r="F86" s="70"/>
      <c r="G86" s="70"/>
      <c r="H86" s="74"/>
      <c r="I86" s="12"/>
      <c r="M86" s="12"/>
      <c r="N86" s="12"/>
    </row>
    <row r="87" spans="2:14" x14ac:dyDescent="0.35">
      <c r="B87" s="45" t="s">
        <v>33</v>
      </c>
      <c r="C87" s="46"/>
      <c r="D87" s="47"/>
      <c r="E87" s="22">
        <f>E61/F24</f>
        <v>200.19809139923953</v>
      </c>
      <c r="F87" s="68">
        <f>F61/G24</f>
        <v>209.94257538704832</v>
      </c>
      <c r="G87" s="68">
        <f>G61/H24</f>
        <v>164.50424708579033</v>
      </c>
      <c r="H87" s="68">
        <f>H61/I24</f>
        <v>172.11352902746037</v>
      </c>
      <c r="I87" s="12"/>
      <c r="M87" s="12"/>
      <c r="N87" s="12"/>
    </row>
    <row r="88" spans="2:14" x14ac:dyDescent="0.35">
      <c r="B88" s="51"/>
      <c r="C88" s="52"/>
      <c r="D88" s="53"/>
      <c r="E88" s="31"/>
      <c r="F88" s="70"/>
      <c r="G88" s="70"/>
      <c r="H88" s="74"/>
      <c r="I88" s="12"/>
      <c r="M88" s="12"/>
      <c r="N88" s="12"/>
    </row>
    <row r="89" spans="2:14" x14ac:dyDescent="0.35">
      <c r="B89" s="45"/>
      <c r="C89" s="46" t="s">
        <v>34</v>
      </c>
      <c r="D89" s="47"/>
      <c r="E89" s="78">
        <f>E85+E87</f>
        <v>351.31442178845811</v>
      </c>
      <c r="F89" s="78">
        <f>F85+F87</f>
        <v>343.76873758213435</v>
      </c>
      <c r="G89" s="78">
        <f>G85+G87</f>
        <v>375.80213279759698</v>
      </c>
      <c r="H89" s="78">
        <f>H85+H87</f>
        <v>370.97696906764259</v>
      </c>
      <c r="I89" s="12"/>
      <c r="M89" s="12"/>
      <c r="N89" s="12"/>
    </row>
    <row r="90" spans="2:14" x14ac:dyDescent="0.35">
      <c r="B90" s="51"/>
      <c r="C90" s="52"/>
      <c r="D90" s="53"/>
      <c r="E90" s="31"/>
      <c r="F90" s="70"/>
      <c r="G90" s="70"/>
      <c r="H90" s="74"/>
      <c r="I90" s="12"/>
      <c r="M90" s="12"/>
      <c r="N90" s="12"/>
    </row>
    <row r="91" spans="2:14" x14ac:dyDescent="0.35">
      <c r="B91" s="45" t="s">
        <v>35</v>
      </c>
      <c r="C91" s="46"/>
      <c r="D91" s="47"/>
      <c r="E91" s="22">
        <f>F38</f>
        <v>25024761.424904943</v>
      </c>
      <c r="F91" s="68">
        <f>G38</f>
        <v>22306398.634873886</v>
      </c>
      <c r="G91" s="68">
        <f>H38</f>
        <v>41126061.771447584</v>
      </c>
      <c r="H91" s="68">
        <f>I38</f>
        <v>36574124.918335333</v>
      </c>
      <c r="I91" s="12"/>
      <c r="M91" s="12"/>
      <c r="N91" s="12"/>
    </row>
    <row r="92" spans="2:14" x14ac:dyDescent="0.35">
      <c r="B92" s="51"/>
      <c r="C92" s="52"/>
      <c r="D92" s="53"/>
      <c r="E92" s="31"/>
      <c r="F92" s="70"/>
      <c r="G92" s="70"/>
      <c r="H92" s="74"/>
      <c r="I92" s="12"/>
      <c r="M92" s="12"/>
      <c r="N92" s="12"/>
    </row>
    <row r="93" spans="2:14" x14ac:dyDescent="0.35">
      <c r="B93" s="45" t="s">
        <v>36</v>
      </c>
      <c r="C93" s="46"/>
      <c r="D93" s="47"/>
      <c r="E93" s="22">
        <f>E91/E76</f>
        <v>2001.9809139923955</v>
      </c>
      <c r="F93" s="68">
        <f t="shared" ref="F93:H93" si="24">F91/F76</f>
        <v>2099.4257538704833</v>
      </c>
      <c r="G93" s="68">
        <f t="shared" si="24"/>
        <v>1645.0424708579033</v>
      </c>
      <c r="H93" s="68">
        <f t="shared" si="24"/>
        <v>1721.1352902746039</v>
      </c>
      <c r="I93" s="12"/>
      <c r="M93" s="12"/>
      <c r="N93" s="12"/>
    </row>
    <row r="94" spans="2:14" x14ac:dyDescent="0.35">
      <c r="B94" s="51"/>
      <c r="C94" s="52"/>
      <c r="D94" s="53"/>
      <c r="E94" s="31"/>
      <c r="F94" s="70"/>
      <c r="G94" s="70"/>
      <c r="H94" s="74"/>
      <c r="I94" s="12"/>
      <c r="M94" s="12"/>
      <c r="N94" s="12"/>
    </row>
    <row r="95" spans="2:14" x14ac:dyDescent="0.35">
      <c r="B95" s="45" t="s">
        <v>59</v>
      </c>
      <c r="C95" s="46"/>
      <c r="D95" s="47"/>
      <c r="E95" s="78">
        <f>E93/E89</f>
        <v>5.698544636456389</v>
      </c>
      <c r="F95" s="78">
        <f t="shared" ref="F95:H95" si="25">F93/F89</f>
        <v>6.1070874816500194</v>
      </c>
      <c r="G95" s="78">
        <f t="shared" si="25"/>
        <v>4.3774165372922607</v>
      </c>
      <c r="H95" s="78">
        <f t="shared" si="25"/>
        <v>4.6394666887279961</v>
      </c>
      <c r="I95" s="12"/>
      <c r="M95" s="12"/>
      <c r="N95" s="12"/>
    </row>
    <row r="96" spans="2:14" x14ac:dyDescent="0.35">
      <c r="E96" s="12"/>
      <c r="I96" s="12"/>
      <c r="M96" s="12"/>
      <c r="N96" s="12"/>
    </row>
  </sheetData>
  <mergeCells count="2">
    <mergeCell ref="C10:D10"/>
    <mergeCell ref="K16:L16"/>
  </mergeCells>
  <phoneticPr fontId="2" type="noConversion"/>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Feuil1</vt:lpstr>
      <vt:lpstr>Améliorations1</vt:lpstr>
      <vt:lpstr>Améliorations2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Etude-de-Cas-Chap3</dc:title>
  <dc:creator/>
  <cp:lastModifiedBy/>
  <dcterms:created xsi:type="dcterms:W3CDTF">2006-09-12T15:06:44Z</dcterms:created>
  <dcterms:modified xsi:type="dcterms:W3CDTF">2024-01-02T04:31:36Z</dcterms:modified>
  <cp:version>23</cp:version>
</cp:coreProperties>
</file>