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d53ab01e2f0794/Desktop/Bootcamp_Projects/excel-challenge/"/>
    </mc:Choice>
  </mc:AlternateContent>
  <xr:revisionPtr revIDLastSave="361" documentId="13_ncr:40009_{11C9D2FE-BDF6-5C46-B9DE-A4DF0C4A6734}" xr6:coauthVersionLast="47" xr6:coauthVersionMax="47" xr10:uidLastSave="{B62437A2-CD4B-4D46-B773-7BAF3BEFAAFD}"/>
  <bookViews>
    <workbookView xWindow="-120" yWindow="-120" windowWidth="29040" windowHeight="15840" activeTab="5" xr2:uid="{00000000-000D-0000-FFFF-FFFF00000000}"/>
  </bookViews>
  <sheets>
    <sheet name="Crowdfunding" sheetId="1" r:id="rId1"/>
    <sheet name="Campaigns_Outcome" sheetId="2" r:id="rId2"/>
    <sheet name="Outcome_Sub_category" sheetId="3" r:id="rId3"/>
    <sheet name="Monthly_Outcome" sheetId="6" r:id="rId4"/>
    <sheet name="Goal_Analysis" sheetId="7" r:id="rId5"/>
    <sheet name="Statistical Analysis" sheetId="8" r:id="rId6"/>
  </sheets>
  <definedNames>
    <definedName name="_xlnm._FilterDatabase" localSheetId="0" hidden="1">Crowdfunding!$A$1:$T$1001</definedName>
    <definedName name="_xlnm._FilterDatabase" localSheetId="5" hidden="1">'Statistical Analysis'!$A$1:$E$1001</definedName>
    <definedName name="_xlchart.v1.0" hidden="1">'Statistical Analysis'!$E$2:$E$365</definedName>
    <definedName name="_xlchart.v1.1" hidden="1">'Statistical Analysis'!$B$2:$B$566</definedName>
    <definedName name="failed">'Statistical Analysis'!$E$2:$E$365</definedName>
    <definedName name="success">'Statistical Analysis'!$B$2:$B$566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8" l="1"/>
  <c r="I15" i="8"/>
  <c r="I14" i="8"/>
  <c r="I13" i="8"/>
  <c r="I12" i="8"/>
  <c r="I11" i="8"/>
  <c r="I7" i="8"/>
  <c r="I6" i="8"/>
  <c r="I5" i="8"/>
  <c r="I4" i="8"/>
  <c r="I3" i="8"/>
  <c r="I2" i="8"/>
  <c r="D13" i="7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C2" i="7"/>
  <c r="B13" i="7"/>
  <c r="B12" i="7"/>
  <c r="B11" i="7"/>
  <c r="B10" i="7"/>
  <c r="B9" i="7"/>
  <c r="B8" i="7"/>
  <c r="E8" i="7" s="1"/>
  <c r="B7" i="7"/>
  <c r="B6" i="7"/>
  <c r="B5" i="7"/>
  <c r="B4" i="7"/>
  <c r="B3" i="7"/>
  <c r="B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9" i="7" l="1"/>
  <c r="G9" i="7" s="1"/>
  <c r="H13" i="7"/>
  <c r="G8" i="7"/>
  <c r="E13" i="7"/>
  <c r="G13" i="7" s="1"/>
  <c r="E7" i="7"/>
  <c r="G7" i="7" s="1"/>
  <c r="E5" i="7"/>
  <c r="G5" i="7" s="1"/>
  <c r="F8" i="7"/>
  <c r="H8" i="7"/>
  <c r="H9" i="7"/>
  <c r="E2" i="7"/>
  <c r="H2" i="7" s="1"/>
  <c r="E6" i="7"/>
  <c r="G6" i="7" s="1"/>
  <c r="F9" i="7"/>
  <c r="E10" i="7"/>
  <c r="G10" i="7" s="1"/>
  <c r="E12" i="7"/>
  <c r="F12" i="7" s="1"/>
  <c r="E4" i="7"/>
  <c r="F4" i="7" s="1"/>
  <c r="E11" i="7"/>
  <c r="H11" i="7" s="1"/>
  <c r="E3" i="7"/>
  <c r="F3" i="7" s="1"/>
  <c r="H3" i="7" l="1"/>
  <c r="H7" i="7"/>
  <c r="F7" i="7"/>
  <c r="G11" i="7"/>
  <c r="F5" i="7"/>
  <c r="F11" i="7"/>
  <c r="G3" i="7"/>
  <c r="F10" i="7"/>
  <c r="H6" i="7"/>
  <c r="H5" i="7"/>
  <c r="F2" i="7"/>
  <c r="F6" i="7"/>
  <c r="F13" i="7"/>
  <c r="H4" i="7"/>
  <c r="H12" i="7"/>
  <c r="G12" i="7"/>
  <c r="H10" i="7"/>
  <c r="G4" i="7"/>
  <c r="G2" i="7"/>
</calcChain>
</file>

<file path=xl/sharedStrings.xml><?xml version="1.0" encoding="utf-8"?>
<sst xmlns="http://schemas.openxmlformats.org/spreadsheetml/2006/main" count="9081" uniqueCount="2118">
  <si>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</si>
  <si>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</si>
  <si>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</si>
  <si>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</si>
  <si>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</si>
  <si>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</si>
  <si>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</si>
  <si>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</si>
  <si>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</si>
  <si>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</si>
  <si>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</si>
  <si>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</si>
  <si>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</si>
  <si>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</si>
  <si>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</si>
  <si>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</si>
  <si>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</si>
  <si>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</si>
  <si>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</si>
  <si>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</si>
  <si>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</si>
  <si>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</si>
  <si>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</si>
  <si>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</si>
  <si>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</si>
  <si>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</si>
  <si>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</si>
  <si>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</si>
  <si>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</si>
  <si>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</si>
  <si>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</si>
  <si>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</si>
  <si>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</si>
  <si>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</si>
  <si>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</si>
  <si>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</si>
  <si>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</si>
  <si>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</si>
  <si>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</si>
  <si>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</si>
  <si>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</si>
  <si>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</si>
  <si>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</si>
  <si>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</si>
  <si>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</si>
  <si>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</si>
  <si>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</si>
  <si>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</si>
  <si>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</si>
  <si>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</si>
  <si>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</si>
  <si>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</si>
  <si>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</si>
  <si>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</si>
  <si>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</si>
  <si>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</si>
  <si>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</si>
  <si>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</si>
  <si>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</si>
  <si>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</si>
  <si>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</si>
  <si>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</si>
  <si>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</si>
  <si>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</si>
  <si>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</si>
  <si>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</si>
  <si>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</si>
  <si>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</si>
  <si>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</si>
  <si>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</si>
  <si>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</si>
  <si>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</si>
  <si>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</si>
  <si>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</si>
  <si>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</si>
  <si>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</si>
  <si>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</si>
  <si>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</si>
  <si>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</si>
  <si>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</si>
  <si>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</si>
  <si>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</si>
  <si>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</si>
  <si>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</si>
  <si>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</si>
  <si>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</si>
  <si>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</si>
  <si>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</si>
  <si>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</si>
  <si>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</si>
  <si>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</si>
  <si>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</si>
  <si>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</si>
  <si>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</si>
  <si>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</si>
  <si>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</si>
  <si>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</si>
  <si>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</si>
  <si>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</si>
  <si>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</si>
  <si>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</si>
  <si>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</si>
  <si>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</si>
  <si>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</si>
  <si>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</si>
  <si>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</si>
  <si>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</si>
  <si>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</si>
  <si>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</si>
  <si>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</si>
  <si>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</si>
  <si>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</si>
  <si>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</si>
  <si>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</si>
  <si>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</si>
  <si>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</si>
  <si>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</si>
  <si>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</si>
  <si>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</si>
  <si>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</si>
  <si>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</si>
  <si>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</si>
  <si>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</si>
  <si>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</si>
  <si>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</si>
  <si>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</si>
  <si>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</si>
  <si>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</si>
  <si>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</si>
  <si>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</si>
  <si>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</si>
  <si>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</si>
  <si>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</si>
  <si>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</si>
  <si>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</si>
  <si>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</si>
  <si>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</si>
  <si>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</si>
  <si>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</si>
  <si>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</si>
  <si>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</si>
  <si>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</si>
  <si>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</si>
  <si>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</si>
  <si>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</si>
  <si>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</si>
  <si>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</si>
  <si>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</si>
  <si>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</si>
  <si>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</si>
  <si>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</si>
  <si>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</si>
  <si>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</si>
  <si>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</si>
  <si>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</si>
  <si>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</si>
  <si>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</si>
  <si>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</si>
  <si>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</si>
  <si>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</si>
  <si>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</si>
  <si>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</si>
  <si>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</si>
  <si>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</si>
  <si>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</si>
  <si>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</si>
  <si>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</si>
  <si>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</si>
  <si>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</si>
  <si>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</si>
  <si>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</si>
  <si>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</si>
  <si>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</si>
  <si>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</si>
  <si>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</si>
  <si>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</si>
  <si>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</si>
  <si>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</si>
  <si>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</si>
  <si>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</si>
  <si>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</si>
  <si>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</si>
  <si>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</si>
  <si>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</si>
  <si>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</si>
  <si>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</si>
  <si>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</si>
  <si>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</si>
  <si>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</si>
  <si>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</si>
  <si>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</si>
  <si>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</si>
  <si>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</si>
  <si>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</si>
  <si>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</si>
  <si>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</si>
  <si>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</si>
  <si>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</si>
  <si>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</si>
  <si>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</si>
  <si>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</si>
  <si>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</si>
  <si>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</si>
  <si>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</si>
  <si>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</si>
  <si>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</si>
  <si>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</si>
  <si>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</si>
  <si>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</si>
  <si>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</si>
  <si>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</si>
  <si>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</si>
  <si>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</si>
  <si>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</si>
  <si>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</si>
  <si>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</si>
  <si>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</si>
  <si>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</si>
  <si>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</si>
  <si>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</si>
  <si>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</si>
  <si>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</si>
  <si>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</si>
  <si>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</si>
  <si>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</si>
  <si>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</si>
  <si>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</si>
  <si>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</si>
  <si>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</si>
  <si>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</si>
  <si>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</si>
  <si>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</si>
  <si>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</si>
  <si>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</si>
  <si>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</si>
  <si>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</si>
  <si>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</si>
  <si>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</si>
  <si>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</si>
  <si>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</si>
  <si>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</si>
  <si>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</si>
  <si>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</si>
  <si>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</si>
  <si>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</si>
  <si>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</si>
  <si>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</si>
  <si>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</si>
  <si>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</si>
  <si>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</si>
  <si>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</si>
  <si>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</si>
  <si>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</si>
  <si>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</si>
  <si>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</si>
  <si>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</si>
  <si>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</si>
  <si>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</si>
  <si>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</si>
  <si>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</si>
  <si>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</si>
  <si>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</si>
  <si>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</si>
  <si>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</si>
  <si>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</si>
  <si>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</si>
  <si>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</si>
  <si>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</si>
  <si>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</si>
  <si>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</si>
  <si>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</si>
  <si>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</si>
  <si>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</si>
  <si>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</si>
  <si>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</si>
  <si>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</si>
  <si>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</si>
  <si>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</si>
  <si>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</si>
  <si>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</si>
  <si>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</si>
  <si>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</si>
  <si>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</si>
  <si>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</si>
  <si>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</si>
  <si>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</si>
  <si>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</si>
  <si>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</si>
  <si>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</si>
  <si>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</si>
  <si>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</si>
  <si>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</si>
  <si>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</si>
  <si>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</si>
  <si>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</si>
  <si>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</si>
  <si>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</si>
  <si>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</si>
  <si>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</si>
  <si>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</si>
  <si>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</si>
  <si>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</si>
  <si>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</si>
  <si>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</si>
  <si>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</si>
  <si>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</si>
  <si>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</si>
  <si>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</si>
  <si>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</si>
  <si>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</si>
  <si>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</si>
  <si>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</si>
  <si>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</si>
  <si>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</si>
  <si>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</si>
  <si>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</si>
  <si>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</si>
  <si>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</si>
  <si>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</si>
  <si>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</si>
  <si>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</si>
  <si>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</si>
  <si>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</si>
  <si>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</si>
  <si>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</si>
  <si>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</si>
  <si>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</si>
  <si>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</si>
  <si>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</si>
  <si>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</si>
  <si>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</si>
  <si>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</si>
  <si>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</si>
  <si>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</si>
  <si>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</si>
  <si>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</si>
  <si>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</si>
  <si>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</si>
  <si>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</si>
  <si>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</si>
  <si>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</si>
  <si>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</si>
  <si>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</si>
  <si>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</si>
  <si>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</si>
  <si>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</si>
  <si>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</si>
  <si>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</si>
  <si>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</si>
  <si>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</si>
  <si>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</si>
  <si>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</si>
  <si>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</si>
  <si>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</si>
  <si>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</si>
  <si>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</si>
  <si>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</si>
  <si>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</si>
  <si>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</si>
  <si>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</si>
  <si>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</si>
  <si>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</si>
  <si>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</si>
  <si>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</si>
  <si>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</si>
  <si>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</si>
  <si>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</si>
  <si>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</si>
  <si>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</si>
  <si>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</si>
  <si>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</si>
  <si>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</si>
  <si>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</si>
  <si>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</si>
  <si>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</si>
  <si>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</si>
  <si>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</si>
  <si>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</si>
  <si>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</si>
  <si>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</si>
  <si>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</si>
  <si>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</si>
  <si>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</si>
  <si>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</si>
  <si>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</si>
  <si>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</si>
  <si>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</si>
  <si>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</si>
  <si>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</si>
  <si>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</si>
  <si>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</si>
  <si>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</si>
  <si>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</si>
  <si>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</si>
  <si>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</si>
  <si>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</si>
  <si>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</si>
  <si>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</si>
  <si>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</si>
  <si>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</si>
  <si>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</si>
  <si>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</si>
  <si>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</si>
  <si>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</si>
  <si>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</si>
  <si>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</si>
  <si>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</si>
  <si>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</si>
  <si>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</si>
  <si>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</si>
  <si>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</si>
  <si>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</si>
  <si>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</si>
  <si>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</si>
  <si>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</si>
  <si>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</si>
  <si>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</si>
  <si>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</si>
  <si>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</si>
  <si>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</si>
  <si>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</si>
  <si>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</si>
  <si>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</si>
  <si>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</si>
  <si>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</si>
  <si>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</si>
  <si>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</si>
  <si>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</si>
  <si>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</si>
  <si>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</si>
  <si>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</si>
  <si>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</si>
  <si>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</si>
  <si>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</si>
  <si>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</si>
  <si>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</si>
  <si>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</si>
  <si>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</si>
  <si>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</si>
  <si>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</si>
  <si>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</si>
  <si>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</si>
  <si>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</si>
  <si>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</si>
  <si>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</si>
  <si>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</si>
  <si>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</si>
  <si>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</si>
  <si>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</si>
  <si>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</si>
  <si>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</si>
  <si>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</si>
  <si>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</si>
  <si>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</si>
  <si>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</si>
  <si>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</si>
  <si>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</si>
  <si>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</si>
  <si>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</si>
  <si>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</si>
  <si>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</si>
  <si>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</si>
  <si>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</si>
  <si>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</si>
  <si>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</si>
  <si>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</si>
  <si>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</si>
  <si>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</si>
  <si>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</si>
  <si>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</si>
  <si>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</si>
  <si>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</si>
  <si>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</si>
  <si>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</si>
  <si>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</si>
  <si>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</si>
  <si>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</si>
  <si>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</si>
  <si>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</si>
  <si>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</si>
  <si>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</si>
  <si>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</si>
  <si>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</si>
  <si>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</si>
  <si>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</si>
  <si>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</si>
  <si>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</si>
  <si>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</si>
  <si>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</si>
  <si>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</si>
  <si>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</si>
  <si>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</si>
  <si>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</si>
  <si>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</si>
  <si>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</si>
  <si>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</si>
  <si>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</si>
  <si>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</si>
  <si>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</si>
  <si>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</si>
  <si>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</si>
  <si>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</si>
  <si>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</si>
  <si>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</si>
  <si>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</si>
  <si>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</si>
  <si>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</si>
  <si>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</si>
  <si>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</si>
  <si>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</si>
  <si>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</si>
  <si>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</si>
  <si>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</si>
  <si>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</si>
  <si>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</si>
  <si>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</si>
  <si>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</si>
  <si>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</si>
  <si>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</si>
  <si>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</si>
  <si>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</si>
  <si>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</si>
  <si>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</si>
  <si>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</si>
  <si>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</si>
  <si>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</si>
  <si>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</si>
  <si>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</si>
  <si>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</si>
  <si>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</si>
  <si>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</si>
  <si>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</si>
  <si>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</si>
  <si>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</si>
  <si>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</si>
  <si>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</si>
  <si>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</si>
  <si>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</si>
  <si>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</si>
  <si>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</si>
  <si>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</si>
  <si>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</si>
  <si>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</si>
  <si>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</si>
  <si>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</si>
  <si>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</si>
  <si>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</si>
  <si>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</si>
  <si>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</si>
  <si>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</si>
  <si>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</si>
  <si>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</si>
  <si>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</si>
  <si>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</si>
  <si>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</si>
  <si>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</si>
  <si>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</si>
  <si>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</si>
  <si>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</si>
  <si>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</si>
  <si>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</si>
  <si>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</si>
  <si>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</si>
  <si>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</si>
  <si>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</si>
  <si>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</si>
  <si>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</si>
  <si>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</si>
  <si>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</si>
  <si>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</si>
  <si>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</si>
  <si>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</si>
  <si>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</si>
  <si>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</si>
  <si>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</si>
  <si>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</si>
  <si>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</si>
  <si>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</si>
  <si>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</si>
  <si>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</si>
  <si>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</si>
  <si>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</si>
  <si>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</si>
  <si>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</si>
  <si>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</si>
  <si>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</si>
  <si>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</si>
  <si>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</si>
  <si>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</si>
  <si>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</si>
  <si>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</si>
  <si>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</si>
  <si>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</si>
  <si>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</si>
  <si>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</si>
  <si>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</si>
  <si>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</si>
  <si>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</si>
  <si>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</si>
  <si>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</si>
  <si>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</si>
  <si>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</si>
  <si>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</si>
  <si>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</si>
  <si>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</si>
  <si>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</si>
  <si>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</si>
  <si>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</si>
  <si>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</si>
  <si>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</si>
  <si>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</si>
  <si>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</si>
  <si>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</si>
  <si>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</si>
  <si>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</si>
  <si>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</si>
  <si>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</si>
  <si>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</si>
  <si>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</si>
  <si>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</si>
  <si>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</si>
  <si>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</si>
  <si>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</si>
  <si>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</si>
  <si>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</si>
  <si>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</si>
  <si>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</si>
  <si>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</si>
  <si>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</si>
  <si>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</si>
  <si>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</si>
  <si>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</si>
  <si>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</si>
  <si>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</si>
  <si>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</si>
  <si>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</si>
  <si>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</si>
  <si>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</si>
  <si>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</si>
  <si>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</si>
  <si>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</si>
  <si>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</si>
  <si>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</si>
  <si>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</si>
  <si>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</si>
  <si>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</si>
  <si>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</si>
  <si>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</si>
  <si>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</si>
  <si>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</si>
  <si>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</si>
  <si>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</si>
  <si>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</si>
  <si>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</si>
  <si>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</si>
  <si>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</si>
  <si>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</si>
  <si>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</si>
  <si>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</si>
  <si>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</si>
  <si>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</si>
  <si>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</si>
  <si>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</si>
  <si>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</si>
  <si>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</si>
  <si>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</si>
  <si>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</si>
  <si>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</si>
  <si>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</si>
  <si>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</si>
  <si>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</si>
  <si>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</si>
  <si>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</si>
  <si>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</si>
  <si>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</si>
  <si>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</si>
  <si>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</si>
  <si>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</si>
  <si>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</si>
  <si>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</si>
  <si>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</si>
  <si>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</si>
  <si>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</si>
  <si>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</si>
  <si>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</si>
  <si>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</si>
  <si>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</si>
  <si>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</si>
  <si>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</si>
  <si>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</si>
  <si>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</si>
  <si>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</si>
  <si>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</si>
  <si>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</si>
  <si>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</si>
  <si>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</si>
  <si>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</si>
  <si>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</si>
  <si>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</si>
  <si>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</si>
  <si>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</si>
  <si>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</si>
  <si>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</si>
  <si>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</si>
  <si>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</si>
  <si>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</si>
  <si>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</si>
  <si>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</si>
  <si>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</si>
  <si>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</si>
  <si>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</si>
  <si>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</si>
  <si>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</si>
  <si>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</si>
  <si>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</si>
  <si>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</si>
  <si>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</si>
  <si>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</si>
  <si>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</si>
  <si>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</si>
  <si>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</si>
  <si>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</si>
  <si>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</si>
  <si>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</si>
  <si>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</si>
  <si>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</si>
  <si>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</si>
  <si>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</si>
  <si>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</si>
  <si>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</si>
  <si>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</si>
  <si>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</si>
  <si>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</si>
  <si>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</si>
  <si>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</si>
  <si>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</si>
  <si>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</si>
  <si>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</si>
  <si>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</si>
  <si>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</si>
  <si>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</si>
  <si>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</si>
  <si>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</si>
  <si>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</si>
  <si>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</si>
  <si>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</si>
  <si>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</si>
  <si>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</si>
  <si>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</si>
  <si>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</si>
  <si>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</si>
  <si>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</si>
  <si>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</si>
  <si>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</si>
  <si>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</si>
  <si>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</si>
  <si>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</si>
  <si>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</si>
  <si>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</si>
  <si>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</si>
  <si>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</si>
  <si>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</si>
  <si>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</si>
  <si>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</si>
  <si>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</si>
  <si>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</si>
  <si>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</si>
  <si>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</si>
  <si>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</si>
  <si>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</si>
  <si>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</si>
  <si>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</si>
  <si>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</si>
  <si>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</si>
  <si>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</si>
  <si>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</si>
  <si>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</si>
  <si>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</si>
  <si>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</si>
  <si>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</si>
  <si>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</si>
  <si>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</si>
  <si>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</si>
  <si>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</si>
  <si>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</si>
  <si>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</si>
  <si>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</si>
  <si>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</si>
  <si>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</si>
  <si>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</si>
  <si>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</si>
  <si>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</si>
  <si>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</si>
  <si>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</si>
  <si>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</si>
  <si>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</si>
  <si>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</si>
  <si>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</si>
  <si>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</si>
  <si>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</si>
  <si>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</si>
  <si>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</si>
  <si>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</si>
  <si>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</si>
  <si>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</si>
  <si>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</si>
  <si>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</si>
  <si>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</si>
  <si>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</si>
  <si>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</si>
  <si>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</si>
  <si>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</si>
  <si>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</si>
  <si>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</si>
  <si>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</si>
  <si>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</si>
  <si>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</si>
  <si>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</si>
  <si>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</si>
  <si>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</si>
  <si>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</si>
  <si>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</si>
  <si>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</si>
  <si>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</si>
  <si>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</si>
  <si>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</si>
  <si>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</si>
  <si>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</si>
  <si>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</si>
  <si>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</si>
  <si>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</si>
  <si>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</si>
  <si>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</si>
  <si>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</si>
  <si>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</si>
  <si>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</si>
  <si>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</si>
  <si>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</si>
  <si>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</si>
  <si>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</si>
  <si>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</si>
  <si>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</si>
  <si>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</si>
  <si>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</si>
  <si>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</si>
  <si>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</si>
  <si>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</si>
  <si>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</si>
  <si>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</si>
  <si>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</si>
  <si>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</si>
  <si>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</si>
  <si>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</si>
  <si>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</si>
  <si>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</si>
  <si>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</si>
  <si>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</si>
  <si>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</si>
  <si>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</si>
  <si>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</si>
  <si>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</si>
  <si>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</si>
  <si>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</si>
  <si>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</si>
  <si>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</si>
  <si>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</si>
  <si>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</si>
  <si>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</si>
  <si>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</si>
  <si>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</si>
  <si>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</si>
  <si>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</si>
  <si>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</si>
  <si>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</si>
  <si>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</si>
  <si>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</si>
  <si>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</si>
  <si>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</si>
  <si>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</si>
  <si>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</si>
  <si>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</si>
  <si>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</si>
  <si>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</si>
  <si>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</si>
  <si>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</si>
  <si>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</si>
  <si>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</si>
  <si>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</si>
  <si>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</si>
  <si>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</si>
  <si>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</si>
  <si>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</si>
  <si>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</si>
  <si>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</si>
  <si>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</si>
  <si>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</si>
  <si>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</si>
  <si>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</si>
  <si>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</si>
  <si>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</si>
  <si>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</si>
  <si>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</si>
  <si>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</si>
  <si>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</si>
  <si>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</si>
  <si>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</si>
  <si>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</si>
  <si>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</si>
  <si>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</si>
  <si>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</si>
  <si>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</si>
  <si>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</si>
  <si>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</si>
  <si>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</si>
  <si>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</si>
  <si>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</si>
  <si>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</si>
  <si>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</si>
  <si>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</si>
  <si>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</si>
  <si>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</si>
  <si>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</si>
  <si>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</si>
  <si>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</si>
  <si>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</si>
  <si>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</si>
  <si>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</si>
  <si>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</si>
  <si>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</si>
  <si>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</si>
  <si>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</si>
  <si>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</si>
  <si>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</si>
  <si>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</si>
  <si>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</si>
  <si>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</si>
  <si>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</si>
  <si>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</si>
  <si>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</si>
  <si>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</si>
  <si>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</si>
  <si>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</si>
  <si>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</si>
  <si>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</si>
  <si>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</si>
  <si>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</si>
  <si>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</si>
  <si>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</si>
  <si>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</si>
  <si>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</si>
  <si>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</si>
  <si>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</si>
  <si>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</si>
  <si>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</si>
  <si>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</si>
  <si>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</si>
  <si>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</si>
  <si>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</si>
  <si>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</si>
  <si>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</si>
  <si>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</si>
  <si>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</si>
  <si>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</si>
  <si>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</si>
  <si>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</si>
  <si>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</si>
  <si>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</si>
  <si>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</si>
  <si>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</si>
  <si>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</si>
  <si>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</si>
  <si>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</si>
  <si>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</si>
  <si>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</si>
  <si>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</si>
  <si>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</si>
  <si>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</si>
  <si>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</si>
  <si>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</si>
  <si>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</si>
  <si>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</si>
  <si>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</si>
  <si>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</si>
  <si>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</si>
  <si>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</si>
  <si>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</si>
  <si>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</si>
  <si>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</si>
  <si>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</si>
  <si>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</si>
  <si>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</si>
  <si>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</si>
  <si>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</si>
  <si>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</si>
  <si>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</si>
  <si>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</si>
  <si>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</si>
  <si>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</si>
  <si>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</si>
  <si>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</si>
  <si>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</si>
  <si>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</si>
  <si>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</si>
  <si>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</si>
  <si>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</si>
  <si>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</si>
  <si>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</si>
  <si>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</si>
  <si>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</si>
  <si>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</si>
  <si>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</si>
  <si>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</si>
  <si>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</si>
  <si>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</si>
  <si>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</si>
  <si>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</si>
  <si>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</si>
  <si>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</si>
  <si>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</si>
  <si>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</si>
  <si>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</si>
  <si>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</si>
  <si>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</si>
  <si>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</si>
  <si>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</si>
  <si>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</si>
  <si>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</si>
  <si>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</si>
  <si>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</si>
  <si>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</si>
  <si>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</si>
  <si>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</si>
  <si>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</si>
  <si>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</si>
  <si>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</si>
  <si>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</si>
  <si>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</si>
  <si>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</si>
  <si>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</si>
  <si>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</si>
  <si>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</si>
  <si>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</si>
  <si>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</si>
  <si>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</si>
  <si>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</si>
  <si>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</si>
  <si>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</si>
  <si>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</si>
  <si>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</si>
  <si>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</si>
  <si>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</si>
  <si>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</si>
  <si>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</si>
  <si>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</si>
  <si>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</si>
  <si>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</si>
  <si>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</si>
  <si>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</si>
  <si>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</si>
  <si>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</si>
  <si>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</si>
  <si>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</si>
  <si>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</si>
  <si>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</si>
  <si>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</si>
  <si>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</si>
  <si>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</si>
  <si>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</si>
  <si>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</si>
  <si>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</si>
  <si>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</si>
  <si>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</si>
  <si>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</si>
  <si>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</si>
  <si>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</si>
  <si>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</si>
  <si>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</si>
  <si>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</si>
  <si>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</si>
  <si>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</si>
  <si>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</si>
  <si>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</si>
  <si>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</si>
  <si>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</si>
  <si>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</si>
  <si>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</si>
  <si>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</si>
  <si>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</si>
  <si>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</si>
  <si>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</si>
  <si>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</si>
  <si>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</si>
  <si>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</si>
  <si>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</si>
  <si>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</si>
  <si>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</si>
  <si>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</si>
  <si>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</si>
  <si>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</si>
  <si>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</si>
  <si>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</si>
  <si>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</si>
  <si>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</si>
  <si>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</si>
  <si>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</si>
  <si>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</si>
  <si>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</si>
  <si>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</si>
  <si>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</si>
  <si>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</si>
  <si>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</si>
  <si>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</si>
  <si>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</si>
  <si>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</si>
  <si>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</si>
  <si>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</si>
  <si>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</si>
  <si>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</si>
  <si>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</si>
  <si>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</si>
  <si>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</si>
  <si>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</si>
  <si>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</si>
  <si>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</si>
  <si>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</si>
  <si>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</si>
  <si>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</si>
  <si>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</si>
  <si>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</si>
  <si>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</si>
  <si>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</si>
  <si>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</si>
  <si>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</si>
  <si>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</si>
  <si>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</si>
  <si>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</si>
  <si>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</si>
  <si>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</si>
  <si>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</si>
  <si>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</si>
  <si>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</si>
  <si>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</si>
  <si>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</si>
  <si>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</si>
  <si>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</si>
  <si>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</si>
  <si>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</si>
  <si>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</si>
  <si>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</si>
  <si>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</si>
  <si>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</si>
  <si>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</si>
  <si>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</si>
  <si>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</si>
  <si>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</si>
  <si>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</si>
  <si>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</si>
  <si>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</si>
  <si>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</si>
  <si>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</si>
  <si>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</si>
  <si>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</si>
  <si>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</si>
  <si>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</si>
  <si>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</si>
  <si>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</si>
  <si>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</si>
  <si>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</si>
  <si>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</si>
  <si>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</si>
  <si>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</si>
  <si>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</si>
  <si>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</si>
  <si>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</si>
  <si>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</si>
  <si>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</si>
  <si>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</si>
  <si>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</si>
  <si>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</si>
  <si>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</si>
  <si>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</si>
  <si>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</si>
  <si>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</si>
  <si>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</si>
  <si>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</si>
  <si>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</si>
  <si>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</si>
  <si>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</si>
  <si>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</si>
  <si>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</si>
  <si>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</si>
  <si>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</si>
  <si>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</si>
  <si>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</si>
  <si>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</si>
  <si>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</si>
  <si>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</si>
  <si>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</si>
  <si>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</si>
  <si>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</si>
  <si>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</si>
  <si>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</si>
  <si>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</si>
  <si>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</si>
  <si>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</si>
  <si>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</si>
  <si>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</si>
  <si>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</si>
  <si>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</si>
  <si>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</si>
  <si>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</si>
  <si>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</si>
  <si>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</si>
  <si>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</si>
  <si>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</si>
  <si>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</si>
  <si>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</si>
  <si>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</si>
  <si>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</si>
  <si>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</si>
  <si>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</si>
  <si>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</si>
  <si>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</si>
  <si>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</si>
  <si>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</si>
  <si>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</si>
  <si>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</si>
  <si>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</si>
  <si>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</si>
  <si>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</si>
  <si>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</si>
  <si>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</si>
  <si>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</si>
  <si>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</si>
  <si>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</si>
  <si>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</si>
  <si>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</si>
  <si>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</si>
  <si>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</si>
  <si>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</si>
  <si>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</si>
  <si>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</si>
  <si>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</si>
  <si>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</si>
  <si>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</si>
  <si>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</si>
  <si>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</si>
  <si>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</si>
  <si>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</si>
  <si>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</si>
  <si>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</si>
  <si>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</si>
  <si>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</si>
  <si>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</si>
  <si>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</si>
  <si>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</si>
  <si>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</si>
  <si>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</si>
  <si>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</si>
  <si>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</si>
  <si>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</si>
  <si>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</si>
  <si>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</si>
  <si>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</si>
  <si>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</si>
  <si>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</si>
  <si>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</si>
  <si>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</si>
  <si>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</si>
  <si>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</si>
  <si>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</si>
  <si>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</si>
  <si>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</si>
  <si>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</si>
  <si>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</si>
  <si>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</si>
  <si>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</si>
  <si>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</si>
  <si>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</si>
  <si>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</si>
  <si>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</si>
  <si>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</si>
  <si>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</si>
  <si>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</si>
  <si>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</si>
  <si>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</si>
  <si>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</si>
  <si>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</si>
  <si>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</si>
  <si>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</si>
  <si>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</si>
  <si>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</si>
  <si>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</si>
  <si>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</si>
  <si>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</si>
  <si>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</si>
  <si>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</si>
  <si>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</si>
  <si>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</si>
  <si>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</si>
  <si>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</si>
  <si>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</si>
  <si>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</si>
  <si>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</si>
  <si>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</si>
  <si>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</si>
  <si>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</si>
  <si>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</si>
  <si>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</si>
  <si>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</si>
  <si>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</si>
  <si>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</si>
  <si>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</si>
  <si>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</si>
  <si>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</si>
  <si>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</si>
  <si>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</si>
  <si>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</si>
  <si>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</si>
  <si>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</si>
  <si>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</si>
  <si>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</si>
  <si>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</si>
  <si>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</si>
  <si>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</si>
  <si>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</si>
  <si>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</si>
  <si>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</si>
  <si>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</si>
  <si>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</si>
  <si>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</si>
  <si>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</si>
  <si>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</si>
  <si>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</si>
  <si>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</si>
  <si>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</si>
  <si>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</si>
  <si>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</si>
  <si>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</si>
  <si>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</si>
  <si>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</si>
  <si>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</si>
  <si>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</si>
  <si>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</si>
  <si>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</si>
  <si>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</si>
  <si>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</si>
  <si>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</si>
  <si>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</si>
  <si>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</si>
  <si>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</si>
  <si>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</si>
  <si>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</si>
  <si>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</si>
  <si>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</si>
  <si>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</si>
  <si>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</si>
  <si>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</si>
  <si>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</si>
  <si>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</si>
  <si>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</si>
  <si>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</si>
  <si>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</si>
  <si>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</si>
  <si>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</si>
  <si>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</si>
  <si>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</si>
  <si>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</si>
  <si>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</si>
  <si>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</si>
  <si>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</si>
  <si>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</si>
  <si>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</si>
  <si>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</si>
  <si>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</si>
  <si>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</si>
  <si>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</si>
  <si>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</si>
  <si>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</si>
  <si>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</si>
  <si>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</si>
  <si>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</si>
  <si>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</si>
  <si>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</si>
  <si>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</si>
  <si>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</si>
  <si>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</si>
  <si>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</si>
  <si>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</si>
  <si>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</si>
  <si>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</si>
  <si>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</si>
  <si>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</si>
  <si>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</si>
  <si>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</si>
  <si>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</si>
  <si>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</si>
  <si>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</si>
  <si>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</si>
  <si>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</si>
  <si>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</si>
  <si>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</si>
  <si>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</si>
  <si>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</si>
  <si>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</si>
  <si>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</si>
  <si>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</si>
  <si>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</si>
  <si>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</si>
  <si>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</si>
  <si>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</si>
  <si>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</si>
  <si>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</si>
  <si>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</si>
  <si>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</si>
  <si>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</si>
  <si>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</si>
  <si>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</si>
  <si>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</si>
  <si>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</si>
  <si>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</si>
  <si>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</si>
  <si>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</si>
  <si>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</si>
  <si>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</si>
  <si>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</si>
  <si>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</si>
  <si>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</si>
  <si>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</si>
  <si>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</si>
  <si>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</si>
  <si>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</si>
  <si>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</si>
  <si>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</si>
  <si>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</si>
  <si>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</si>
  <si>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</si>
  <si>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</si>
  <si>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</si>
  <si>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</si>
  <si>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</si>
  <si>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</si>
  <si>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</si>
  <si>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</si>
  <si>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</si>
  <si>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</si>
  <si>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</si>
  <si>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</si>
  <si>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</si>
  <si>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</si>
  <si>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</si>
  <si>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</si>
  <si>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</si>
  <si>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</si>
  <si>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</si>
  <si>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</si>
  <si>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</si>
  <si>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</si>
  <si>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</si>
  <si>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</si>
  <si>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</si>
  <si>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</si>
  <si>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</si>
  <si>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</si>
  <si>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</si>
  <si>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</si>
  <si>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</si>
  <si>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</si>
  <si>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</si>
  <si>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</si>
  <si>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</si>
  <si>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</si>
  <si>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</si>
  <si>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</si>
  <si>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</si>
  <si>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</si>
  <si>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</si>
  <si>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</si>
  <si>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</si>
  <si>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</si>
  <si>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</si>
  <si>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</si>
  <si>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</si>
  <si>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</si>
  <si>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</si>
  <si>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</si>
  <si>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</si>
  <si>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</si>
  <si>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</si>
  <si>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</si>
  <si>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</si>
  <si>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</si>
  <si>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</si>
  <si>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</si>
  <si>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</si>
  <si>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</si>
  <si>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</si>
  <si>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</si>
  <si>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</si>
  <si>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</si>
  <si>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</si>
  <si>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</si>
  <si>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</si>
  <si>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</si>
  <si>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</si>
  <si>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</si>
  <si>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</si>
  <si>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</si>
  <si>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</si>
  <si>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</si>
  <si>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</si>
  <si>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</si>
  <si>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</si>
  <si>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</si>
  <si>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</si>
  <si>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</si>
  <si>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</si>
  <si>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</si>
  <si>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</si>
  <si>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</si>
  <si>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</si>
  <si>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</si>
  <si>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</si>
  <si>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</si>
  <si>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</si>
  <si>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</si>
  <si>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</si>
  <si>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</si>
  <si>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</si>
  <si>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</si>
  <si>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</si>
  <si>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</si>
  <si>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</si>
  <si>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</si>
  <si>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</si>
  <si>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</si>
  <si>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</si>
  <si>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</si>
  <si>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</si>
  <si>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</si>
  <si>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</si>
  <si>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</si>
  <si>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</si>
  <si>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</si>
  <si>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</si>
  <si>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</si>
  <si>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</si>
  <si>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</si>
  <si>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</si>
  <si>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</si>
  <si>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</si>
  <si>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</si>
  <si>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</si>
  <si>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</si>
  <si>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</si>
  <si>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</si>
  <si>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</si>
  <si>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</si>
  <si>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</si>
  <si>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</si>
  <si>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</si>
  <si>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</si>
  <si>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</si>
  <si>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</si>
  <si>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</si>
  <si>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</si>
  <si>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</si>
  <si>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</si>
  <si>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</si>
  <si>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</si>
  <si>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</si>
  <si>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</si>
  <si>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</si>
  <si>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</si>
  <si>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</si>
  <si>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</si>
  <si>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</si>
  <si>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</si>
  <si>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</si>
  <si>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</si>
  <si>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</si>
  <si>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</si>
  <si>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</si>
  <si>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</si>
  <si>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</si>
  <si>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</si>
  <si>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</si>
  <si>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</si>
  <si>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</si>
  <si>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</si>
  <si>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</si>
  <si>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</si>
  <si>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</si>
  <si>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</si>
  <si>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</si>
  <si>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</si>
  <si>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</si>
  <si>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</si>
  <si>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</si>
  <si>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</si>
  <si>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</si>
  <si>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</si>
  <si>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</si>
  <si>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</si>
  <si>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</si>
  <si>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</si>
  <si>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</si>
  <si>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</si>
  <si>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</si>
  <si>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</si>
  <si>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</si>
  <si>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</si>
  <si>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</si>
  <si>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</si>
  <si>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</si>
  <si>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</si>
  <si>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</si>
  <si>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</si>
  <si>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</si>
  <si>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</si>
  <si>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</si>
  <si>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</si>
  <si>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</si>
  <si>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</si>
  <si>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</si>
  <si>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</si>
  <si>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</si>
  <si>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</si>
  <si>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</si>
  <si>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</si>
  <si>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</si>
  <si>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</si>
  <si>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</si>
  <si>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</si>
  <si>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</si>
  <si>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</si>
  <si>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</si>
  <si>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</si>
  <si>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</si>
  <si>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</si>
  <si>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</si>
  <si>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</si>
  <si>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</si>
  <si>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</si>
  <si>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</si>
  <si>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</si>
  <si>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</si>
  <si>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</si>
  <si>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</si>
  <si>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</si>
  <si>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</si>
  <si>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</si>
  <si>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</si>
  <si>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</si>
  <si>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</si>
  <si>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</si>
  <si>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</si>
  <si>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</si>
  <si>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</si>
  <si>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</si>
  <si>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</si>
  <si>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</si>
  <si>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</si>
  <si>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</si>
  <si>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</si>
  <si>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</si>
  <si>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</si>
  <si>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</si>
  <si>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</si>
  <si>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</si>
  <si>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</si>
  <si>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</si>
  <si>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</si>
  <si>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</si>
  <si>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</si>
  <si>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</si>
  <si>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</si>
  <si>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</si>
  <si>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</si>
  <si>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</si>
  <si>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</si>
  <si>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</si>
  <si>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</si>
  <si>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</si>
  <si>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</si>
  <si>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</si>
  <si>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</si>
  <si>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</si>
  <si>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</si>
  <si>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</si>
  <si>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</si>
  <si>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</si>
  <si>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</si>
  <si>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</si>
  <si>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</si>
  <si>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</si>
  <si>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</si>
  <si>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</si>
  <si>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</si>
  <si>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</si>
  <si>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</si>
  <si>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</si>
  <si>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</si>
  <si>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</si>
  <si>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</si>
  <si>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</si>
  <si>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</si>
  <si>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</si>
  <si>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</si>
  <si>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</si>
  <si>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</si>
  <si>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</si>
  <si>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</si>
  <si>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</si>
  <si>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</si>
  <si>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</si>
  <si>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</si>
  <si>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</si>
  <si>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</si>
  <si>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</si>
  <si>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</si>
  <si>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</si>
  <si>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</si>
  <si>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</si>
  <si>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</si>
  <si>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</si>
  <si>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</si>
  <si>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</si>
  <si>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</si>
  <si>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</si>
  <si>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</si>
  <si>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</si>
  <si>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</si>
  <si>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</si>
  <si>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</si>
  <si>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</si>
  <si>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</si>
  <si>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</si>
  <si>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</si>
  <si>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</si>
  <si>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</si>
  <si>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</si>
  <si>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</si>
  <si>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</si>
  <si>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</si>
  <si>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</si>
  <si>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</si>
  <si>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</si>
  <si>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</si>
  <si>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</si>
  <si>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</si>
  <si>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</si>
  <si>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</si>
  <si>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</si>
  <si>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</si>
  <si>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</si>
  <si>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</si>
  <si>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</si>
  <si>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</si>
  <si>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</si>
  <si>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</si>
  <si>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</si>
  <si>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</si>
  <si>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</si>
  <si>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</si>
  <si>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</si>
  <si>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</si>
  <si>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</si>
  <si>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</si>
  <si>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</si>
  <si>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</si>
  <si>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</si>
  <si>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</si>
  <si>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</si>
  <si>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</si>
  <si>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</si>
  <si>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</si>
  <si>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</si>
  <si>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</si>
  <si>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</si>
  <si>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</si>
  <si>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</si>
  <si>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</si>
  <si>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</si>
  <si>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</si>
  <si>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</si>
  <si>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</si>
  <si>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</si>
  <si>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</si>
  <si>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</si>
  <si>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</si>
  <si>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</si>
  <si>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</si>
  <si>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</si>
  <si>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</si>
  <si>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</si>
  <si>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</si>
  <si>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</si>
  <si>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</si>
  <si>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</si>
  <si>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</si>
  <si>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</si>
  <si>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</si>
  <si>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</si>
  <si>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</si>
  <si>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</si>
  <si>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</si>
  <si>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</si>
  <si>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</si>
  <si>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</si>
  <si>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</si>
  <si>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</si>
  <si>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</si>
  <si>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</si>
  <si>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</si>
  <si>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</si>
  <si>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</si>
  <si>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</si>
  <si>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</si>
  <si>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</si>
  <si>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</si>
  <si>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</si>
  <si>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</si>
  <si>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</si>
  <si>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</si>
  <si>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</si>
  <si>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</si>
  <si>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</si>
  <si>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</si>
  <si>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</si>
  <si>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</si>
  <si>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</si>
  <si>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</si>
  <si>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</si>
  <si>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</si>
  <si>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</si>
  <si>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</si>
  <si>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</si>
  <si>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</si>
  <si>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</si>
  <si>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</si>
  <si>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</si>
  <si>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</si>
  <si>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</si>
  <si>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</si>
  <si>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</si>
  <si>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</si>
  <si>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</si>
  <si>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</si>
  <si>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</si>
  <si>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</si>
  <si>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</si>
  <si>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</si>
  <si>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</si>
  <si>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</si>
  <si>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</si>
  <si>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</si>
  <si>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</si>
  <si>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</si>
  <si>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</si>
  <si>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</si>
  <si>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</si>
  <si>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</si>
  <si>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</si>
  <si>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</si>
  <si>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</si>
  <si>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</si>
  <si>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</si>
  <si>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</si>
  <si>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</si>
  <si>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</si>
  <si>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</si>
  <si>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</si>
  <si>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</si>
  <si>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</si>
  <si>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</si>
  <si>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</si>
  <si>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</si>
  <si>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</si>
  <si>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</si>
  <si>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</si>
  <si>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</si>
  <si>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</si>
  <si>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</si>
  <si>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</si>
  <si>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</si>
  <si>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</si>
  <si>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</si>
  <si>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</si>
  <si>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</si>
  <si>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</si>
  <si>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</si>
  <si>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</si>
  <si>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</si>
  <si>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</si>
  <si>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</si>
  <si>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</si>
  <si>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</si>
  <si>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</si>
  <si>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</si>
  <si>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</si>
  <si>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</si>
  <si>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</si>
  <si>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</si>
  <si>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</si>
  <si>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</si>
  <si>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</si>
  <si>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</si>
  <si>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</si>
  <si>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</si>
  <si>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</si>
  <si>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</si>
  <si>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</si>
  <si>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</si>
  <si>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</si>
  <si>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</si>
  <si>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</si>
  <si>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</si>
  <si>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</si>
  <si>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</si>
  <si>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</si>
  <si>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</si>
  <si>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</si>
  <si>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</si>
  <si>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</si>
  <si>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</si>
  <si>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</si>
  <si>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</si>
  <si>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</si>
  <si>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</si>
  <si>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</si>
  <si>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</si>
  <si>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</si>
  <si>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</si>
  <si>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</si>
  <si>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</si>
  <si>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</si>
  <si>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</si>
  <si>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</si>
  <si>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</si>
  <si>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</si>
  <si>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</si>
  <si>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</si>
  <si>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</si>
  <si>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</si>
  <si>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</si>
  <si>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</si>
  <si>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</si>
  <si>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</si>
  <si>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</si>
  <si>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</si>
  <si>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</si>
  <si>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</si>
  <si>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</si>
  <si>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</si>
  <si>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</si>
  <si>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</si>
  <si>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</si>
  <si>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</si>
  <si>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</si>
  <si>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</si>
  <si>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</si>
  <si>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</si>
  <si>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</si>
  <si>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</si>
  <si>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</si>
  <si>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</si>
  <si>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</si>
  <si>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</si>
  <si>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</si>
  <si>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</si>
  <si>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</si>
  <si>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</si>
  <si>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</si>
  <si>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</si>
  <si>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</si>
  <si>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</si>
  <si>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</si>
  <si>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</si>
  <si>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</si>
  <si>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</si>
  <si>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</si>
  <si>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</si>
  <si>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</si>
  <si>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</si>
  <si>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</si>
  <si>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</si>
  <si>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</si>
  <si>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</si>
  <si>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</si>
  <si>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</si>
  <si>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</si>
  <si>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</si>
  <si>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</si>
  <si>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</si>
  <si>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</si>
  <si>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</si>
  <si>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</si>
  <si>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</si>
  <si>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</si>
  <si>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</si>
  <si>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</si>
  <si>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</si>
  <si>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</si>
  <si>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</si>
  <si>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</si>
  <si>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</si>
  <si>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</si>
  <si>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</si>
  <si>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</si>
  <si>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</si>
  <si>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</si>
  <si>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</si>
  <si>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</si>
  <si>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</si>
  <si>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</si>
  <si>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</si>
  <si>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</si>
  <si>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</si>
  <si>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</si>
  <si>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</si>
  <si>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</si>
  <si>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</si>
  <si>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</si>
  <si>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</si>
  <si>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</si>
  <si>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</si>
  <si>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</si>
  <si>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</si>
  <si>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</si>
  <si>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</si>
  <si>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</si>
  <si>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</si>
  <si>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</si>
  <si>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</si>
  <si>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</si>
  <si>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</si>
  <si>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</si>
  <si>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</si>
  <si>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</si>
  <si>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</si>
  <si>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</si>
  <si>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</si>
  <si>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</si>
  <si>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</si>
  <si>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</si>
  <si>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</si>
  <si>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</si>
  <si>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</si>
  <si>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</si>
  <si>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</si>
  <si>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</si>
  <si>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</si>
  <si>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</si>
  <si>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</si>
  <si>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</si>
  <si>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</si>
  <si>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</si>
  <si>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</si>
  <si>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</si>
  <si>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</si>
  <si>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</si>
  <si>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</si>
  <si>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</si>
  <si>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</si>
  <si>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</si>
  <si>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</si>
  <si>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</si>
  <si>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</si>
  <si>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</si>
  <si>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</si>
  <si>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</si>
  <si>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</si>
  <si>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</si>
  <si>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</si>
  <si>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</si>
  <si>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</si>
  <si>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</si>
  <si>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</si>
  <si>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</si>
  <si>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</si>
  <si>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</si>
  <si>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</si>
  <si>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</si>
  <si>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</si>
  <si>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</si>
  <si>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</si>
  <si>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</si>
  <si>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</si>
  <si>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Total Projects</t>
  </si>
  <si>
    <t>Percentage Successful</t>
  </si>
  <si>
    <t>Percentage Failed</t>
  </si>
  <si>
    <t xml:space="preserve">Percentage Canceled </t>
  </si>
  <si>
    <t>Number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</si>
  <si>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</si>
  <si>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</si>
  <si>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</si>
  <si>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</si>
  <si>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</si>
  <si>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</si>
  <si>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</si>
  <si>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</si>
  <si>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</si>
  <si>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</si>
  <si>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</si>
  <si>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</si>
  <si>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 Summary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</si>
  <si>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</si>
  <si>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</si>
  <si>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</si>
  <si>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</si>
  <si>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</si>
  <si>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</si>
  <si>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Failed Campaign Summary</t>
  </si>
  <si>
    <t>ºUse your data to determine whether the mean or the median better summarizes the data.</t>
  </si>
  <si>
    <t>As there are many outliers in both successful and failed campaign, it is better to use median rather than the mean so that it will not overestimate/underestimate the average.</t>
  </si>
  <si>
    <t>ºUse your data to determine if there is more variability with successful or unsuccessful campaigns. Does this make sense? Why or why not?</t>
  </si>
  <si>
    <t>There are more variability in successful campaign than failed campaign. It makes sense because the successful campaigns cover wider range and has more datasets.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</si>
</sst>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  <font>
      <sz val="12"/>
      <color rgb="FF2B2B2B"/>
      <name val="Calibri"/>
      <family val="2"/>
      <scheme val="minor"/>
    </font>
    <font>
      <sz val="15"/>
      <color rgb="FF2B2B2B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18" fillId="0" borderId="0" xfId="0" applyNumberFormat="1" applyFont="1"/>
    <xf numFmtId="164" fontId="0" fillId="0" borderId="0" xfId="0" applyNumberFormat="1"/>
    <xf numFmtId="0" fontId="19" fillId="0" borderId="0" xfId="0" applyFont="1" applyAlignment="1">
      <alignment horizontal="left" vertical="center" wrapText="1"/>
    </xf>
    <xf numFmtId="9" fontId="0" fillId="0" borderId="0" xfId="42" applyFont="1"/>
    <xf numFmtId="0" fontId="16" fillId="0" borderId="0" xfId="0" applyFont="1"/>
    <xf numFmtId="0" fontId="16" fillId="33" borderId="0" xfId="0" applyFont="1" applyFill="1"/>
    <xf numFmtId="0" fontId="20" fillId="0" borderId="0" xfId="0" applyFont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[CrowdfundingBook.xlsx]Campaigns_Outcome!PivotTable1</c:name>
    <c:fmtId val="7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Campaigns_Outcome!$B$3:$B$4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Campaigns_Outcome!$A$5:$A$14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Campaigns_Outcome!$B$5:$B$14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F-468D-8490-FA7DFCE465AB}"/>
            </c:ext>
          </c:extLst>
        </c:ser>
        <c:ser>
          <c:idx val="1"/>
          <c:order val="1"/>
          <c:tx>
            <c:strRef>
              <c:f>Campaigns_Outcome!$C$3:$C$4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Campaigns_Outcome!$A$5:$A$14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Campaigns_Outcome!$C$5:$C$14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F-468D-8490-FA7DFCE465AB}"/>
            </c:ext>
          </c:extLst>
        </c:ser>
        <c:ser>
          <c:idx val="2"/>
          <c:order val="2"/>
          <c:tx>
            <c:strRef>
              <c:f>Campaigns_Outcome!$D$3:$D$4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Campaigns_Outcome!$A$5:$A$14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Campaigns_Outcome!$D$5:$D$14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8F-468D-8490-FA7DFCE465AB}"/>
            </c:ext>
          </c:extLst>
        </c:ser>
        <c:ser>
          <c:idx val="3"/>
          <c:order val="3"/>
          <c:tx>
            <c:strRef>
              <c:f>Campaigns_Outcome!$E$3:$E$4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Campaigns_Outcome!$A$5:$A$14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Campaigns_Outcome!$E$5:$E$14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8F-468D-8490-FA7DFCE46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2989760"/>
        <c:axId val="862989280"/>
      </c:barChart>
      <c:catAx>
        <c:axId val="8629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989280"/>
        <c:crosses val="autoZero"/>
        <c:auto val="1"/>
        <c:lblAlgn val="ctr"/>
        <c:lblOffset val="100"/>
        <c:noMultiLvlLbl val="0"/>
      </c:catAx>
      <c:valAx>
        <c:axId val="8629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98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[CrowdfundingBook.xlsx]Outcome_Sub_category!PivotTable2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Outcome_Sub_category!$B$4:$B$5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Outcome_Sub_category!$A$6:$A$30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Outcome_Sub_category!$B$6:$B$30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E-4445-91C0-BDCDC7D117F2}"/>
            </c:ext>
          </c:extLst>
        </c:ser>
        <c:ser>
          <c:idx val="1"/>
          <c:order val="1"/>
          <c:tx>
            <c:strRef>
              <c:f>Outcome_Sub_category!$C$4:$C$5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Outcome_Sub_category!$A$6:$A$30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Outcome_Sub_category!$C$6:$C$30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E-4445-91C0-BDCDC7D117F2}"/>
            </c:ext>
          </c:extLst>
        </c:ser>
        <c:ser>
          <c:idx val="2"/>
          <c:order val="2"/>
          <c:tx>
            <c:strRef>
              <c:f>Outcome_Sub_category!$D$4:$D$5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Outcome_Sub_category!$A$6:$A$30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Outcome_Sub_category!$D$6:$D$30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8E-4445-91C0-BDCDC7D117F2}"/>
            </c:ext>
          </c:extLst>
        </c:ser>
        <c:ser>
          <c:idx val="3"/>
          <c:order val="3"/>
          <c:tx>
            <c:strRef>
              <c:f>Outcome_Sub_category!$E$4:$E$5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Outcome_Sub_category!$A$6:$A$30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Outcome_Sub_category!$E$6:$E$30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8E-4445-91C0-BDCDC7D11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7674624"/>
        <c:axId val="977669824"/>
      </c:barChart>
      <c:catAx>
        <c:axId val="97767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69824"/>
        <c:crosses val="autoZero"/>
        <c:auto val="1"/>
        <c:lblAlgn val="ctr"/>
        <c:lblOffset val="100"/>
        <c:noMultiLvlLbl val="0"/>
      </c:catAx>
      <c:valAx>
        <c:axId val="9776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7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[CrowdfundingBook.xlsx]Monthly_Outcome!PivotTable5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Monthly_Outcome!$B$4:$B$5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Monthly_Outcome!$A$6:$A$18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Monthly_Outcome!$B$6:$B$18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2-4BE5-89B3-FF50B89FE478}"/>
            </c:ext>
          </c:extLst>
        </c:ser>
        <c:ser>
          <c:idx val="1"/>
          <c:order val="1"/>
          <c:tx>
            <c:strRef>
              <c:f>Monthly_Outcome!$C$4:$C$5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Monthly_Outcome!$A$6:$A$18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Monthly_Outcome!$C$6:$C$18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2-4BE5-89B3-FF50B89FE478}"/>
            </c:ext>
          </c:extLst>
        </c:ser>
        <c:ser>
          <c:idx val="2"/>
          <c:order val="2"/>
          <c:tx>
            <c:strRef>
              <c:f>Monthly_Outcome!$D$4:$D$5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Monthly_Outcome!$A$6:$A$18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Monthly_Outcome!$D$6:$D$18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02-4BE5-89B3-FF50B89FE478}"/>
            </c:ext>
          </c:extLst>
        </c:ser>
        <c:ser>
          <c:idx val="3"/>
          <c:order val="3"/>
          <c:tx>
            <c:strRef>
              <c:f>Monthly_Outcome!$E$4:$E$5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Monthly_Outcome!$A$6:$A$18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Monthly_Outcome!$E$6:$E$18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46-4700-99A8-960C61F87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220864"/>
        <c:axId val="1667210304"/>
      </c:lineChart>
      <c:catAx>
        <c:axId val="166722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210304"/>
        <c:crosses val="autoZero"/>
        <c:auto val="1"/>
        <c:lblAlgn val="ctr"/>
        <c:lblOffset val="100"/>
        <c:noMultiLvlLbl val="0"/>
      </c:catAx>
      <c:valAx>
        <c:axId val="16672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22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Goal_Analysis!$F$1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3-4D3B-B334-DDCC03965894}"/>
            </c:ext>
          </c:extLst>
        </c:ser>
        <c:ser>
          <c:idx val="1"/>
          <c:order val="1"/>
          <c:tx>
            <c:strRef>
              <c:f>Goal_Analysis!$G$1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13-4D3B-B334-DDCC03965894}"/>
            </c:ext>
          </c:extLst>
        </c:ser>
        <c:ser>
          <c:idx val="2"/>
          <c:order val="2"/>
          <c:tx>
            <c:strRef>
              <c:f>Goal_Analysis!$H$1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13-4D3B-B334-DDCC039658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68659823"/>
        <c:axId val="1268669903"/>
      </c:lineChart>
      <c:catAx>
        <c:axId val="126865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669903"/>
        <c:crosses val="autoZero"/>
        <c:auto val="1"/>
        <c:lblAlgn val="ctr"/>
        <c:lblOffset val="100"/>
        <c:noMultiLvlLbl val="0"/>
      </c:catAx>
      <c:valAx>
        <c:axId val="126866990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26865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Successful Campaign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Campaign</a:t>
          </a:r>
        </a:p>
      </cx:txPr>
    </cx:title>
    <cx:plotArea>
      <cx:plotAreaRegion>
        <cx:series layoutId="boxWhisker" uniqueId="{02F302E3-7A72-464A-B0C3-76A9A311D95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Failed Campaign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Campaign</a:t>
          </a:r>
        </a:p>
      </cx:txPr>
    </cx:title>
    <cx:plotArea>
      <cx:plotAreaRegion>
        <cx:series layoutId="boxWhisker" uniqueId="{147DCBC6-BD54-4DFE-A67B-C69537B7152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</xdr:colOff>
      <xdr:row>15</xdr:row>
      <xdr:rowOff>0</xdr:rowOff>
    </xdr:from>
    <xdr:to>
      <xdr:col>5</xdr:col>
      <xdr:colOff>814387</xdr:colOff>
      <xdr:row>28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B694C9-8432-A14A-5BE6-25DE67A9C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2</xdr:row>
      <xdr:rowOff>200024</xdr:rowOff>
    </xdr:from>
    <xdr:to>
      <xdr:col>15</xdr:col>
      <xdr:colOff>323850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C87B8E-353D-962C-59E3-51854EFA2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33336</xdr:colOff>
      <xdr:row>1</xdr:row>
      <xdr:rowOff>9524</xdr:rowOff>
    </xdr:from>
    <xdr:to>
      <xdr:col>15</xdr:col>
      <xdr:colOff>590549</xdr:colOff>
      <xdr:row>18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B35F8-4F30-9F51-B5A9-2A57444C3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1643061</xdr:colOff>
      <xdr:row>13</xdr:row>
      <xdr:rowOff>180975</xdr:rowOff>
    </xdr:from>
    <xdr:to>
      <xdr:col>6</xdr:col>
      <xdr:colOff>866774</xdr:colOff>
      <xdr:row>31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549AE6-ED98-85C2-0538-91921F5DF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20</xdr:row>
      <xdr:rowOff>9525</xdr:rowOff>
    </xdr:from>
    <xdr:to>
      <xdr:col>9</xdr:col>
      <xdr:colOff>542925</xdr:colOff>
      <xdr:row>33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610980F-DD49-4476-B4E3-D647B8A1AC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48450" y="40481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9525</xdr:colOff>
      <xdr:row>20</xdr:row>
      <xdr:rowOff>0</xdr:rowOff>
    </xdr:from>
    <xdr:to>
      <xdr:col>16</xdr:col>
      <xdr:colOff>466725</xdr:colOff>
      <xdr:row>33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752854F-5283-421E-8070-FA2A5CD509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72850" y="4038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nzin nordon" refreshedDate="45077.786868402778" createdVersion="8" refreshedVersion="8" minRefreshableVersion="3" recordCount="1000" xr:uid="{329CE11E-B083-4B08-85E7-90E6487B0360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nzin nordon" refreshedDate="45077.808183564812" createdVersion="8" refreshedVersion="8" minRefreshableVersion="3" recordCount="1001" xr:uid="{0D777F5C-6905-4D42-BCCF-B9EFE09D0ECB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6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16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x v="3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x v="4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x v="5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x v="6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x v="7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x v="8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x v="9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x v="11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x v="13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x v="14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x v="15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x v="16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x v="17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x v="18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x v="19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x v="2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x v="21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x v="22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x v="24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x v="25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x v="26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x v="27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x v="28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x v="29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x v="31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x v="33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x v="35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x v="37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x v="38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x v="39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x v="4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x v="41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x v="42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x v="43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x v="44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x v="45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x v="46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x v="47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x v="48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x v="51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x v="52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x v="53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x v="56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x v="57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x v="58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x v="59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x v="6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x v="61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x v="62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x v="63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x v="64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x v="65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x v="66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x v="67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x v="68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x v="69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x v="7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x v="49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x v="71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x v="72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x v="73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x v="75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x v="77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x v="78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x v="79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x v="8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x v="4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x v="81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x v="83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x v="84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x v="85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x v="87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x v="88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x v="4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x v="9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x v="91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x v="92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x v="36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x v="93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x v="94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6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x v="97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x v="98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x v="1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x v="101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x v="102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x v="103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x v="106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x v="107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x v="108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x v="109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x v="11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x v="112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x v="115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x v="116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x v="117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x v="95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x v="118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x v="119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x v="12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x v="121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x v="122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x v="123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x v="97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x v="125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x v="126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x v="127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x v="128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x v="129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x v="13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x v="132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x v="134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x v="135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x v="136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x v="138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x v="139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x v="14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x v="141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x v="142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4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x v="146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x v="147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x v="148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x v="149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x v="15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x v="151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x v="152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x v="153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x v="154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x v="155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x v="156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x v="158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x v="159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x v="16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x v="161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x v="162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x v="163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x v="164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x v="165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x v="166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x v="167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x v="169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x v="17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x v="171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x v="172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x v="173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x v="174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x v="177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x v="178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x v="179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x v="18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x v="182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x v="183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x v="184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x v="185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x v="186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x v="187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x v="188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x v="189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x v="19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x v="191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x v="192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x v="195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x v="197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x v="198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x v="199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x v="2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x v="201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x v="202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x v="203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x v="205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x v="206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x v="207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x v="208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x v="209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x v="21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x v="212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x v="213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x v="214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x v="215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x v="217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x v="219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x v="22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x v="221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x v="222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x v="223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x v="224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x v="225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x v="226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x v="228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x v="229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x v="231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x v="232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x v="233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x v="234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x v="235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x v="236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x v="237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x v="238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x v="24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x v="241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243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x v="244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x v="246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x v="248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x v="25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x v="251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x v="252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x v="253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x v="254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x v="255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x v="256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x v="257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x v="258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x v="259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x v="26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x v="263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x v="265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x v="266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x v="153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x v="268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x v="269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x v="27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x v="271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x v="272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x v="273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x v="148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x v="275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x v="276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x v="72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x v="277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x v="278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x v="71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x v="28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x v="281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x v="282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x v="284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x v="285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x v="286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x v="287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89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x v="18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x v="291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x v="292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x v="293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x v="294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x v="295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x v="296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x v="297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x v="298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x v="299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x v="3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x v="301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x v="302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x v="303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x v="304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x v="305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x v="306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x v="309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x v="311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x v="312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x v="314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x v="315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x v="316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x v="317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x v="319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x v="32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x v="321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x v="322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x v="323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x v="324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x v="325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x v="326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x v="328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x v="329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x v="151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x v="33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x v="331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x v="332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x v="333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x v="334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6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x v="337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x v="338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x v="339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x v="34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x v="341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x v="342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x v="343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x v="344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x v="345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x v="346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x v="347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x v="348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x v="349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x v="35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x v="351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x v="33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x v="352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x v="354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x v="355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x v="356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x v="357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x v="359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x v="36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x v="361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x v="364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x v="365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x v="366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x v="285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x v="369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x v="37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x v="371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x v="372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x v="373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x v="376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x v="378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x v="379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x v="38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2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x v="383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x v="384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x v="385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x v="386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x v="387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x v="388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x v="389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x v="39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x v="391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x v="277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x v="392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x v="393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x v="395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x v="396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x v="397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x v="398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x v="399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x v="348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x v="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x v="402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x v="403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x v="404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x v="405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x v="406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x v="407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x v="408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x v="409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x v="41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x v="312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x v="411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x v="412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x v="413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x v="414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x v="354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x v="416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x v="417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x v="418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x v="42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x v="421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x v="422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x v="423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8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x v="429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x v="43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x v="431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x v="434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x v="435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x v="436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x v="438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x v="439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x v="44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x v="441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x v="442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x v="444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x v="445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x v="368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x v="446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x v="178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x v="449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x v="451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x v="452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x v="453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x v="454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x v="455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x v="457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x v="458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x v="459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x v="46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x v="461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x v="462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x v="463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x v="464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x v="465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x v="466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x v="467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x v="468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x v="471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x v="472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x v="473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x v="474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38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x v="353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x v="476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x v="477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x v="478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x v="481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x v="482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x v="483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x v="484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x v="265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x v="412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x v="487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x v="488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x v="489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x v="442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x v="437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x v="49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x v="492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x v="493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x v="495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x v="496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x v="497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x v="498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x v="499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x v="5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x v="501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x v="502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x v="52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x v="504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x v="505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x v="507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x v="508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x v="509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x v="51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x v="511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3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x v="514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6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x v="517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x v="519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x v="52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x v="219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x v="521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x v="522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x v="523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x v="524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x v="348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x v="28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x v="525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x v="527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x v="528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x v="529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x v="36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x v="254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x v="53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x v="531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x v="532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x v="533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x v="534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x v="535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x v="536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x v="537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x v="538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x v="539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x v="54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x v="541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x v="542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x v="543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x v="545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x v="546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x v="547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x v="548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x v="298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x v="549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x v="55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x v="551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x v="552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x v="553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x v="554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x v="496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x v="555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x v="556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8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x v="559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x v="56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x v="561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x v="562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x v="563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x v="529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x v="564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x v="565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x v="567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x v="568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x v="57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x v="571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x v="572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x v="573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x v="471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x v="574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x v="575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x v="577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x v="578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x v="477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x v="581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x v="582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x v="581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x v="583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x v="584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x v="585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x v="586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x v="588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x v="589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x v="59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x v="591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x v="592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x v="594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x v="595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x v="596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x v="597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x v="598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x v="599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x v="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x v="601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603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x v="604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x v="292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x v="605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x v="608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x v="61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x v="611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x v="612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x v="613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x v="614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x v="615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x v="616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x v="453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x v="617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x v="618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x v="619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x v="62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x v="621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x v="622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x v="623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x v="624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x v="625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x v="626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x v="627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x v="491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x v="628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x v="629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x v="63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x v="631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x v="632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x v="633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x v="634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x v="415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x v="607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x v="636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x v="637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x v="638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x v="639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x v="64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x v="641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x v="642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x v="445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x v="116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x v="643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x v="644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46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x v="647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x v="467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x v="649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x v="65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x v="651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x v="652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x v="653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x v="654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x v="655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x v="656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x v="657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x v="658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x v="438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x v="66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x v="236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x v="663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x v="202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x v="664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x v="665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x v="666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x v="667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x v="668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x v="669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x v="67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x v="601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x v="671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x v="672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x v="673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x v="674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x v="676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x v="678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x v="679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x v="68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x v="681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x v="683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x v="684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x v="685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x v="488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x v="686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8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x v="689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x v="69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x v="424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x v="692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x v="693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x v="694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x v="236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x v="695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x v="696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x v="697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x v="698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x v="699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x v="489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701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x v="34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x v="702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x v="703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x v="704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x v="705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x v="706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x v="707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x v="708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x v="709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x v="71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x v="711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x v="712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x v="7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x v="714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x v="716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x v="717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x v="718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x v="719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x v="115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x v="72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x v="722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x v="451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x v="642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x v="723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x v="724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x v="725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x v="726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56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x v="35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x v="729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x v="241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x v="322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x v="731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x v="157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x v="733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x v="734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x v="735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x v="736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x v="737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x v="738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x v="739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x v="74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x v="697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x v="741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x v="742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x v="743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x v="744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x v="269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x v="503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x v="33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x v="451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x v="752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x v="753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x v="754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x v="755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x v="756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x v="757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x v="758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x v="759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x v="76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x v="761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x v="78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x v="762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x v="763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x v="764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539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x v="766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x v="422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x v="768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x v="214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x v="769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x v="771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x v="25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x v="772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x v="773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x v="774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x v="331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x v="776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x v="778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x v="779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x v="78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x v="781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x v="782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x v="393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x v="784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x v="785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x v="786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x v="787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x v="788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9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x v="791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x v="792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x v="556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x v="488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x v="232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x v="793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x v="796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x v="797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x v="799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x v="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x v="368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x v="801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3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x v="482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x v="496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x v="804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x v="806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x v="808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x v="104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x v="809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x v="81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x v="812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x v="814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x v="414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x v="816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x v="82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x v="817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x v="818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x v="819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x v="32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x v="82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x v="822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x v="823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x v="824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x v="497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x v="825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x v="826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x v="827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x v="828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x v="829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x v="94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x v="831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x v="832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x v="834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x v="835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x v="836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x v="837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x v="839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x v="216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x v="84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354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x v="721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x v="844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x v="846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x v="847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x v="688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x v="848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x v="849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x v="851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x v="852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x v="853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x v="854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x v="855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x v="856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x v="858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x v="859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x v="86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x v="65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x v="454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x v="863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x v="864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x v="865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x v="867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x v="868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x v="296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x v="274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x v="354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x v="87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x v="871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x v="98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x v="526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x v="874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x v="875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x v="876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x v="877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7DCEE0-CCF7-434E-B820-A697A10B68D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C523FD-5240-4D84-A449-30A08D30788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68FACA-7BBC-4E3D-BA7E-DC022FAA78D8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2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I8" sqref="I8"/>
    </sheetView>
  </sheetViews>
  <sheetFormatPr defaultColWidth="11" defaultRowHeight="15.75" x14ac:dyDescent="0.25"/>
  <cols>
    <col min="1" max="1" width="6.5" bestFit="1" customWidth="1"/>
    <col min="2" max="2" width="30.375" bestFit="1" customWidth="1"/>
    <col min="3" max="3" width="33.625" style="3" bestFit="1" customWidth="1"/>
    <col min="4" max="4" width="8.5" bestFit="1" customWidth="1"/>
    <col min="5" max="5" width="11.75" bestFit="1" customWidth="1"/>
    <col min="6" max="6" width="18.5" bestFit="1" customWidth="1"/>
    <col min="7" max="7" width="12.5" bestFit="1" customWidth="1"/>
    <col min="8" max="8" width="17.5" bestFit="1" customWidth="1"/>
    <col min="9" max="9" width="20.5" bestFit="1" customWidth="1"/>
    <col min="10" max="10" width="11.625" bestFit="1" customWidth="1"/>
    <col min="11" max="11" width="12.375" bestFit="1" customWidth="1"/>
    <col min="12" max="12" width="15.5" bestFit="1" customWidth="1"/>
    <col min="13" max="13" width="12.25" bestFit="1" customWidth="1"/>
    <col min="14" max="14" width="26.375" style="8" bestFit="1" customWidth="1"/>
    <col min="15" max="15" width="25" style="8" bestFit="1" customWidth="1"/>
    <col min="16" max="16" width="13.125" bestFit="1" customWidth="1"/>
    <col min="17" max="17" width="12.5" bestFit="1" customWidth="1"/>
    <col min="18" max="18" width="27.625" bestFit="1" customWidth="1"/>
    <col min="19" max="19" width="18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6" t="s">
        <v>2071</v>
      </c>
      <c r="O1" s="6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7">
        <f>(((L2/60)/60)/24)+DATE(1970,1,1)</f>
        <v>42336.25</v>
      </c>
      <c r="O2" s="7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>ROUND(E3/H3,2)</f>
        <v>92.15</v>
      </c>
      <c r="J3" t="s">
        <v>21</v>
      </c>
      <c r="K3" t="s">
        <v>22</v>
      </c>
      <c r="L3">
        <v>1408424400</v>
      </c>
      <c r="M3">
        <v>1408597200</v>
      </c>
      <c r="N3" s="7">
        <f t="shared" ref="N3:N66" si="1">(((L3/60)/60)/24)+DATE(1970,1,1)</f>
        <v>41870.208333333336</v>
      </c>
      <c r="O3" s="7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ref="I4:I67" si="3">ROUND(E4/H4,2)</f>
        <v>100.02</v>
      </c>
      <c r="J4" t="s">
        <v>26</v>
      </c>
      <c r="K4" t="s">
        <v>27</v>
      </c>
      <c r="L4">
        <v>1384668000</v>
      </c>
      <c r="M4">
        <v>1384840800</v>
      </c>
      <c r="N4" s="7">
        <f t="shared" si="1"/>
        <v>41595.25</v>
      </c>
      <c r="O4" s="7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3"/>
        <v>103.21</v>
      </c>
      <c r="J5" t="s">
        <v>21</v>
      </c>
      <c r="K5" t="s">
        <v>22</v>
      </c>
      <c r="L5">
        <v>1565499600</v>
      </c>
      <c r="M5">
        <v>1568955600</v>
      </c>
      <c r="N5" s="7">
        <f t="shared" si="1"/>
        <v>43688.208333333328</v>
      </c>
      <c r="O5" s="7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3"/>
        <v>99.34</v>
      </c>
      <c r="J6" t="s">
        <v>21</v>
      </c>
      <c r="K6" t="s">
        <v>22</v>
      </c>
      <c r="L6">
        <v>1547964000</v>
      </c>
      <c r="M6">
        <v>1548309600</v>
      </c>
      <c r="N6" s="7">
        <f t="shared" si="1"/>
        <v>43485.25</v>
      </c>
      <c r="O6" s="7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3"/>
        <v>75.83</v>
      </c>
      <c r="J7" t="s">
        <v>36</v>
      </c>
      <c r="K7" t="s">
        <v>37</v>
      </c>
      <c r="L7">
        <v>1346130000</v>
      </c>
      <c r="M7">
        <v>1347080400</v>
      </c>
      <c r="N7" s="7">
        <f t="shared" si="1"/>
        <v>41149.208333333336</v>
      </c>
      <c r="O7" s="7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3"/>
        <v>60.56</v>
      </c>
      <c r="J8" t="s">
        <v>40</v>
      </c>
      <c r="K8" t="s">
        <v>41</v>
      </c>
      <c r="L8">
        <v>1505278800</v>
      </c>
      <c r="M8">
        <v>1505365200</v>
      </c>
      <c r="N8" s="7">
        <f t="shared" si="1"/>
        <v>42991.208333333328</v>
      </c>
      <c r="O8" s="7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3"/>
        <v>64.94</v>
      </c>
      <c r="J9" t="s">
        <v>36</v>
      </c>
      <c r="K9" t="s">
        <v>37</v>
      </c>
      <c r="L9">
        <v>1439442000</v>
      </c>
      <c r="M9">
        <v>1439614800</v>
      </c>
      <c r="N9" s="7">
        <f t="shared" si="1"/>
        <v>42229.208333333328</v>
      </c>
      <c r="O9" s="7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3"/>
        <v>31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1"/>
        <v>40399.208333333336</v>
      </c>
      <c r="O10" s="7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3"/>
        <v>72.91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1"/>
        <v>41536.208333333336</v>
      </c>
      <c r="O11" s="7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1"/>
        <v>40404.208333333336</v>
      </c>
      <c r="O12" s="7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3"/>
        <v>112.22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1"/>
        <v>40442.208333333336</v>
      </c>
      <c r="O13" s="7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3"/>
        <v>102.35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1"/>
        <v>43760.208333333328</v>
      </c>
      <c r="O14" s="7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3"/>
        <v>105.05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1"/>
        <v>42532.208333333328</v>
      </c>
      <c r="O15" s="7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3"/>
        <v>94.15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1"/>
        <v>40974.25</v>
      </c>
      <c r="O16" s="7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3"/>
        <v>84.99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1"/>
        <v>43809.25</v>
      </c>
      <c r="O17" s="7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1"/>
        <v>41661.25</v>
      </c>
      <c r="O18" s="7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3"/>
        <v>107.96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1"/>
        <v>40555.25</v>
      </c>
      <c r="O19" s="7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3"/>
        <v>45.1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1"/>
        <v>43351.208333333328</v>
      </c>
      <c r="O20" s="7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3"/>
        <v>45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1"/>
        <v>43528.25</v>
      </c>
      <c r="O21" s="7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3"/>
        <v>105.97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1"/>
        <v>41848.208333333336</v>
      </c>
      <c r="O22" s="7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3"/>
        <v>69.06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1"/>
        <v>40770.208333333336</v>
      </c>
      <c r="O23" s="7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3"/>
        <v>85.04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1"/>
        <v>43193.208333333328</v>
      </c>
      <c r="O24" s="7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3"/>
        <v>105.23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1"/>
        <v>43510.25</v>
      </c>
      <c r="O25" s="7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3"/>
        <v>39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1"/>
        <v>41811.208333333336</v>
      </c>
      <c r="O26" s="7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3"/>
        <v>73.03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1"/>
        <v>40681.208333333336</v>
      </c>
      <c r="O27" s="7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3"/>
        <v>35.01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1"/>
        <v>43312.208333333328</v>
      </c>
      <c r="O28" s="7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1"/>
        <v>42280.208333333328</v>
      </c>
      <c r="O29" s="7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3"/>
        <v>62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1"/>
        <v>40218.25</v>
      </c>
      <c r="O30" s="7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3"/>
        <v>94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1"/>
        <v>43301.208333333328</v>
      </c>
      <c r="O31" s="7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3"/>
        <v>112.05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1"/>
        <v>43609.208333333328</v>
      </c>
      <c r="O32" s="7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9.5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3"/>
        <v>48.01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1"/>
        <v>42374.25</v>
      </c>
      <c r="O33" s="7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9.5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3"/>
        <v>38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1"/>
        <v>43110.25</v>
      </c>
      <c r="O34" s="7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9.5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3"/>
        <v>35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1"/>
        <v>41917.208333333336</v>
      </c>
      <c r="O35" s="7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3.75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1"/>
        <v>42817.208333333328</v>
      </c>
      <c r="O36" s="7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9.5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3"/>
        <v>95.99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1"/>
        <v>43484.25</v>
      </c>
      <c r="O37" s="7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9.5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3"/>
        <v>68.81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1"/>
        <v>40600.25</v>
      </c>
      <c r="O38" s="7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3.75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3"/>
        <v>105.97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1"/>
        <v>43744.208333333328</v>
      </c>
      <c r="O39" s="7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9.5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3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1"/>
        <v>40469.208333333336</v>
      </c>
      <c r="O40" s="7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9.5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3"/>
        <v>57.13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1"/>
        <v>41330.25</v>
      </c>
      <c r="O41" s="7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9.5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3"/>
        <v>75.14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1"/>
        <v>40334.208333333336</v>
      </c>
      <c r="O42" s="7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9.5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3"/>
        <v>107.42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1"/>
        <v>41156.208333333336</v>
      </c>
      <c r="O43" s="7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9.5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3"/>
        <v>36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1"/>
        <v>40728.208333333336</v>
      </c>
      <c r="O44" s="7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9.5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3"/>
        <v>27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1"/>
        <v>41844.208333333336</v>
      </c>
      <c r="O45" s="7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9.5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3"/>
        <v>107.56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1"/>
        <v>43541.208333333328</v>
      </c>
      <c r="O46" s="7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3.7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3"/>
        <v>94.38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1"/>
        <v>42676.208333333328</v>
      </c>
      <c r="O47" s="7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9.5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3"/>
        <v>46.16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1"/>
        <v>40367.208333333336</v>
      </c>
      <c r="O48" s="7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9.5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3"/>
        <v>47.85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1"/>
        <v>41727.208333333336</v>
      </c>
      <c r="O49" s="7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9.5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3"/>
        <v>53.01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1"/>
        <v>42180.208333333328</v>
      </c>
      <c r="O50" s="7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9.5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3"/>
        <v>45.06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1"/>
        <v>43758.208333333328</v>
      </c>
      <c r="O51" s="7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3.7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1"/>
        <v>41487.208333333336</v>
      </c>
      <c r="O52" s="7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9.5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3"/>
        <v>99.01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1"/>
        <v>40995.208333333336</v>
      </c>
      <c r="O53" s="7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9.5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3"/>
        <v>32.79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1"/>
        <v>40436.208333333336</v>
      </c>
      <c r="O54" s="7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9.5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3"/>
        <v>59.12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1"/>
        <v>41779.208333333336</v>
      </c>
      <c r="O55" s="7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3.7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3"/>
        <v>44.93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1"/>
        <v>43170.25</v>
      </c>
      <c r="O56" s="7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3.75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3"/>
        <v>89.66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1"/>
        <v>43311.208333333328</v>
      </c>
      <c r="O57" s="7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3.75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3"/>
        <v>70.08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1"/>
        <v>42014.25</v>
      </c>
      <c r="O58" s="7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9.5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3"/>
        <v>31.06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1"/>
        <v>42979.208333333328</v>
      </c>
      <c r="O59" s="7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9.5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3"/>
        <v>29.06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1"/>
        <v>42268.208333333328</v>
      </c>
      <c r="O60" s="7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9.5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3"/>
        <v>30.09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1"/>
        <v>42898.208333333328</v>
      </c>
      <c r="O61" s="7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9.5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3"/>
        <v>85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1"/>
        <v>41107.208333333336</v>
      </c>
      <c r="O62" s="7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3.7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3"/>
        <v>82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1"/>
        <v>40595.25</v>
      </c>
      <c r="O63" s="7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19.5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3"/>
        <v>58.04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1"/>
        <v>42160.208333333328</v>
      </c>
      <c r="O64" s="7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9.5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1"/>
        <v>42853.208333333328</v>
      </c>
      <c r="O65" s="7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9.5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3"/>
        <v>71.95</v>
      </c>
      <c r="J66" t="s">
        <v>21</v>
      </c>
      <c r="K66" t="s">
        <v>22</v>
      </c>
      <c r="L66">
        <v>1530507600</v>
      </c>
      <c r="M66">
        <v>1531803600</v>
      </c>
      <c r="N66" s="7">
        <f t="shared" si="1"/>
        <v>43283.208333333328</v>
      </c>
      <c r="O66" s="7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9.5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ROUND((E67/D67)*100,0)</f>
        <v>236</v>
      </c>
      <c r="G67" t="s">
        <v>20</v>
      </c>
      <c r="H67">
        <v>236</v>
      </c>
      <c r="I67">
        <f t="shared" si="3"/>
        <v>61.04</v>
      </c>
      <c r="J67" t="s">
        <v>21</v>
      </c>
      <c r="K67" t="s">
        <v>22</v>
      </c>
      <c r="L67">
        <v>1296108000</v>
      </c>
      <c r="M67">
        <v>1296712800</v>
      </c>
      <c r="N67" s="7">
        <f t="shared" ref="N67:N130" si="5">(((L67/60)/60)/24)+DATE(1970,1,1)</f>
        <v>40570.25</v>
      </c>
      <c r="O67" s="7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9.5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ref="I68:I131" si="7">ROUND(E68/H68,2)</f>
        <v>108.92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5"/>
        <v>42102.208333333328</v>
      </c>
      <c r="O68" s="7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3.75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5"/>
        <v>40203.25</v>
      </c>
      <c r="O69" s="7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9.5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si="5"/>
        <v>42943.208333333328</v>
      </c>
      <c r="O70" s="7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9.5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5"/>
        <v>40531.25</v>
      </c>
      <c r="O71" s="7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9.5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5"/>
        <v>40484.208333333336</v>
      </c>
      <c r="O72" s="7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3.75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5"/>
        <v>43799.25</v>
      </c>
      <c r="O73" s="7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9.5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5"/>
        <v>42186.208333333328</v>
      </c>
      <c r="O74" s="7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9.5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5"/>
        <v>42701.25</v>
      </c>
      <c r="O75" s="7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9.5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5"/>
        <v>42456.208333333328</v>
      </c>
      <c r="O76" s="7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9.5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5"/>
        <v>43296.208333333328</v>
      </c>
      <c r="O77" s="7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9.5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5"/>
        <v>42027.25</v>
      </c>
      <c r="O78" s="7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9.5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5"/>
        <v>40448.208333333336</v>
      </c>
      <c r="O79" s="7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19.5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5"/>
        <v>43206.208333333328</v>
      </c>
      <c r="O80" s="7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9.5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5"/>
        <v>43267.208333333328</v>
      </c>
      <c r="O81" s="7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9.5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5"/>
        <v>42976.208333333328</v>
      </c>
      <c r="O82" s="7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9.5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5"/>
        <v>43062.25</v>
      </c>
      <c r="O83" s="7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9.5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5"/>
        <v>43482.25</v>
      </c>
      <c r="O84" s="7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5"/>
        <v>42579.208333333328</v>
      </c>
      <c r="O85" s="7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9.5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5"/>
        <v>41118.208333333336</v>
      </c>
      <c r="O86" s="7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9.5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5"/>
        <v>40797.208333333336</v>
      </c>
      <c r="O87" s="7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9.5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5"/>
        <v>42128.208333333328</v>
      </c>
      <c r="O88" s="7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3.7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5"/>
        <v>40610.25</v>
      </c>
      <c r="O89" s="7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9.5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5"/>
        <v>42110.208333333328</v>
      </c>
      <c r="O90" s="7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9.5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5"/>
        <v>40283.208333333336</v>
      </c>
      <c r="O91" s="7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5"/>
        <v>42425.25</v>
      </c>
      <c r="O92" s="7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5"/>
        <v>42588.208333333328</v>
      </c>
      <c r="O93" s="7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3.75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5"/>
        <v>40352.208333333336</v>
      </c>
      <c r="O94" s="7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9.5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5"/>
        <v>41202.208333333336</v>
      </c>
      <c r="O95" s="7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9.5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5"/>
        <v>43562.208333333328</v>
      </c>
      <c r="O96" s="7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3.75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5"/>
        <v>43752.208333333328</v>
      </c>
      <c r="O97" s="7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9.5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5"/>
        <v>40612.25</v>
      </c>
      <c r="O98" s="7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9.5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5"/>
        <v>42180.208333333328</v>
      </c>
      <c r="O99" s="7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5"/>
        <v>42212.208333333328</v>
      </c>
      <c r="O100" s="7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19.5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5"/>
        <v>41968.25</v>
      </c>
      <c r="O101" s="7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5"/>
        <v>40835.208333333336</v>
      </c>
      <c r="O102" s="7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9.5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5"/>
        <v>42056.25</v>
      </c>
      <c r="O103" s="7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9.5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5"/>
        <v>43234.208333333328</v>
      </c>
      <c r="O104" s="7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5"/>
        <v>40475.208333333336</v>
      </c>
      <c r="O105" s="7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9.5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5"/>
        <v>42878.208333333328</v>
      </c>
      <c r="O106" s="7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9.5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5"/>
        <v>41366.208333333336</v>
      </c>
      <c r="O107" s="7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9.5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5"/>
        <v>43716.208333333328</v>
      </c>
      <c r="O108" s="7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3.75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5"/>
        <v>43213.208333333328</v>
      </c>
      <c r="O109" s="7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3.75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5"/>
        <v>41005.208333333336</v>
      </c>
      <c r="O110" s="7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5"/>
        <v>41651.25</v>
      </c>
      <c r="O111" s="7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3.7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5"/>
        <v>43354.208333333328</v>
      </c>
      <c r="O112" s="7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9.5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5"/>
        <v>41174.208333333336</v>
      </c>
      <c r="O113" s="7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9.5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5"/>
        <v>41875.208333333336</v>
      </c>
      <c r="O114" s="7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9.5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5"/>
        <v>42990.208333333328</v>
      </c>
      <c r="O115" s="7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9.5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5"/>
        <v>43564.208333333328</v>
      </c>
      <c r="O116" s="7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5"/>
        <v>43056.25</v>
      </c>
      <c r="O117" s="7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3.7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5"/>
        <v>42265.208333333328</v>
      </c>
      <c r="O118" s="7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9.5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5"/>
        <v>40808.208333333336</v>
      </c>
      <c r="O119" s="7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9.5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5"/>
        <v>41665.25</v>
      </c>
      <c r="O120" s="7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3.75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5"/>
        <v>41806.208333333336</v>
      </c>
      <c r="O121" s="7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9.5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5"/>
        <v>42111.208333333328</v>
      </c>
      <c r="O122" s="7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9.5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5"/>
        <v>41917.208333333336</v>
      </c>
      <c r="O123" s="7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5"/>
        <v>41970.25</v>
      </c>
      <c r="O124" s="7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5"/>
        <v>42332.25</v>
      </c>
      <c r="O125" s="7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9.5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5"/>
        <v>43598.208333333328</v>
      </c>
      <c r="O126" s="7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9.5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5"/>
        <v>43362.208333333328</v>
      </c>
      <c r="O127" s="7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5"/>
        <v>42596.208333333328</v>
      </c>
      <c r="O128" s="7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5"/>
        <v>40310.208333333336</v>
      </c>
      <c r="O129" s="7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9.5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si="5"/>
        <v>40417.208333333336</v>
      </c>
      <c r="O130" s="7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9.5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ROUND((E131/D131)*100,0)</f>
        <v>3</v>
      </c>
      <c r="G131" t="s">
        <v>74</v>
      </c>
      <c r="H131">
        <v>55</v>
      </c>
      <c r="I131">
        <f t="shared" si="7"/>
        <v>86.47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ref="N131:N194" si="9">(((L131/60)/60)/24)+DATE(1970,1,1)</f>
        <v>42038.25</v>
      </c>
      <c r="O131" s="7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9.5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ref="I132:I195" si="11">ROUND(E132/H132,2)</f>
        <v>28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9"/>
        <v>40842.208333333336</v>
      </c>
      <c r="O132" s="7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3.75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11"/>
        <v>68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9"/>
        <v>41607.25</v>
      </c>
      <c r="O133" s="7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9.5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11"/>
        <v>43.08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si="9"/>
        <v>43112.25</v>
      </c>
      <c r="O134" s="7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9.5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11"/>
        <v>87.96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9"/>
        <v>40767.208333333336</v>
      </c>
      <c r="O135" s="7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11"/>
        <v>94.99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9"/>
        <v>40713.208333333336</v>
      </c>
      <c r="O136" s="7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11"/>
        <v>46.91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9"/>
        <v>41340.25</v>
      </c>
      <c r="O137" s="7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9.5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11"/>
        <v>46.91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9"/>
        <v>41797.208333333336</v>
      </c>
      <c r="O138" s="7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9.5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9"/>
        <v>40457.208333333336</v>
      </c>
      <c r="O139" s="7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3.7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11"/>
        <v>80.14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9"/>
        <v>41180.208333333336</v>
      </c>
      <c r="O140" s="7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11"/>
        <v>59.04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9"/>
        <v>42115.208333333328</v>
      </c>
      <c r="O141" s="7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3.75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11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9"/>
        <v>43156.25</v>
      </c>
      <c r="O142" s="7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9.5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11"/>
        <v>60.99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9"/>
        <v>42167.208333333328</v>
      </c>
      <c r="O143" s="7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19.5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11"/>
        <v>98.31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9"/>
        <v>41005.208333333336</v>
      </c>
      <c r="O144" s="7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9.5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9"/>
        <v>40357.208333333336</v>
      </c>
      <c r="O145" s="7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9.5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11"/>
        <v>86.07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9"/>
        <v>43633.208333333328</v>
      </c>
      <c r="O146" s="7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9.5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11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9"/>
        <v>41889.208333333336</v>
      </c>
      <c r="O147" s="7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3.75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11"/>
        <v>29.76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9"/>
        <v>40855.25</v>
      </c>
      <c r="O148" s="7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19.5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11"/>
        <v>46.92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9"/>
        <v>42534.208333333328</v>
      </c>
      <c r="O149" s="7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9.5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11"/>
        <v>105.19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9"/>
        <v>42941.208333333328</v>
      </c>
      <c r="O150" s="7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9.5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11"/>
        <v>69.91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9"/>
        <v>41275.25</v>
      </c>
      <c r="O151" s="7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9"/>
        <v>43450.25</v>
      </c>
      <c r="O152" s="7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11"/>
        <v>60.01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9"/>
        <v>41799.208333333336</v>
      </c>
      <c r="O153" s="7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9.5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11"/>
        <v>52.01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9"/>
        <v>42783.25</v>
      </c>
      <c r="O154" s="7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11"/>
        <v>31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9"/>
        <v>41201.208333333336</v>
      </c>
      <c r="O155" s="7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11"/>
        <v>95.04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9"/>
        <v>42502.208333333328</v>
      </c>
      <c r="O156" s="7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11"/>
        <v>75.97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9"/>
        <v>40262.208333333336</v>
      </c>
      <c r="O157" s="7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9.5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11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9"/>
        <v>43743.208333333328</v>
      </c>
      <c r="O158" s="7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11"/>
        <v>73.73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9"/>
        <v>41638.25</v>
      </c>
      <c r="O159" s="7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9.5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11"/>
        <v>113.17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9"/>
        <v>42346.25</v>
      </c>
      <c r="O160" s="7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9.5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11"/>
        <v>105.01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9"/>
        <v>43551.208333333328</v>
      </c>
      <c r="O161" s="7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9.5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11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9"/>
        <v>43582.208333333328</v>
      </c>
      <c r="O162" s="7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3.7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11"/>
        <v>57.33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9"/>
        <v>42270.208333333328</v>
      </c>
      <c r="O163" s="7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3.75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11"/>
        <v>58.18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9"/>
        <v>43442.25</v>
      </c>
      <c r="O164" s="7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9.5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11"/>
        <v>36.03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9"/>
        <v>43028.208333333328</v>
      </c>
      <c r="O165" s="7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9.5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11"/>
        <v>107.99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9"/>
        <v>43016.208333333328</v>
      </c>
      <c r="O166" s="7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9.5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11"/>
        <v>44.01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9"/>
        <v>42948.208333333328</v>
      </c>
      <c r="O167" s="7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9.5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11"/>
        <v>55.08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9"/>
        <v>40534.25</v>
      </c>
      <c r="O168" s="7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9.5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9"/>
        <v>41435.208333333336</v>
      </c>
      <c r="O169" s="7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11"/>
        <v>42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9"/>
        <v>43518.25</v>
      </c>
      <c r="O170" s="7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9.5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11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9"/>
        <v>41077.208333333336</v>
      </c>
      <c r="O171" s="7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11"/>
        <v>82.51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9"/>
        <v>42950.208333333328</v>
      </c>
      <c r="O172" s="7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3.7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9"/>
        <v>41718.208333333336</v>
      </c>
      <c r="O173" s="7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9"/>
        <v>41839.208333333336</v>
      </c>
      <c r="O174" s="7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19.5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11"/>
        <v>100.98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9"/>
        <v>41412.208333333336</v>
      </c>
      <c r="O175" s="7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9.5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11"/>
        <v>111.83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9"/>
        <v>42282.208333333328</v>
      </c>
      <c r="O176" s="7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11"/>
        <v>42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9"/>
        <v>42613.208333333328</v>
      </c>
      <c r="O177" s="7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3.7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11"/>
        <v>110.05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9"/>
        <v>42616.208333333328</v>
      </c>
      <c r="O178" s="7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9.5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11"/>
        <v>59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9"/>
        <v>40497.25</v>
      </c>
      <c r="O179" s="7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11"/>
        <v>32.99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9"/>
        <v>42999.208333333328</v>
      </c>
      <c r="O180" s="7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3.75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11"/>
        <v>45.01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9"/>
        <v>41350.208333333336</v>
      </c>
      <c r="O181" s="7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9.5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11"/>
        <v>81.98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9"/>
        <v>40259.208333333336</v>
      </c>
      <c r="O182" s="7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11"/>
        <v>39.08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9"/>
        <v>43012.208333333328</v>
      </c>
      <c r="O183" s="7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3.75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11"/>
        <v>59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9"/>
        <v>43631.208333333328</v>
      </c>
      <c r="O184" s="7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3.7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11"/>
        <v>40.99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9"/>
        <v>40430.208333333336</v>
      </c>
      <c r="O185" s="7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9.5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11"/>
        <v>31.03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9"/>
        <v>43588.208333333328</v>
      </c>
      <c r="O186" s="7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11"/>
        <v>37.79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9"/>
        <v>43233.208333333328</v>
      </c>
      <c r="O187" s="7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11"/>
        <v>32.01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9"/>
        <v>41782.208333333336</v>
      </c>
      <c r="O188" s="7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9.5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11"/>
        <v>95.97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9"/>
        <v>41328.25</v>
      </c>
      <c r="O189" s="7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9"/>
        <v>41975.25</v>
      </c>
      <c r="O190" s="7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9.5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11"/>
        <v>102.05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9"/>
        <v>42433.25</v>
      </c>
      <c r="O191" s="7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9"/>
        <v>41429.208333333336</v>
      </c>
      <c r="O192" s="7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11"/>
        <v>37.07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9"/>
        <v>43536.208333333328</v>
      </c>
      <c r="O193" s="7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9.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11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si="9"/>
        <v>41817.208333333336</v>
      </c>
      <c r="O194" s="7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ROUND((E195/D195)*100,0)</f>
        <v>46</v>
      </c>
      <c r="G195" t="s">
        <v>14</v>
      </c>
      <c r="H195">
        <v>65</v>
      </c>
      <c r="I195">
        <f t="shared" si="11"/>
        <v>46.34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ref="N195:N258" si="13">(((L195/60)/60)/24)+DATE(1970,1,1)</f>
        <v>43198.208333333328</v>
      </c>
      <c r="O195" s="7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9.5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ref="I196:I259" si="15">ROUND(E196/H196,2)</f>
        <v>69.17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13"/>
        <v>42261.208333333328</v>
      </c>
      <c r="O196" s="7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9.5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5"/>
        <v>109.08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13"/>
        <v>43310.208333333328</v>
      </c>
      <c r="O197" s="7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si="13"/>
        <v>42616.208333333328</v>
      </c>
      <c r="O198" s="7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9.5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5"/>
        <v>82.01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13"/>
        <v>42909.208333333328</v>
      </c>
      <c r="O199" s="7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5"/>
        <v>35.96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13"/>
        <v>40396.208333333336</v>
      </c>
      <c r="O200" s="7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5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13"/>
        <v>42192.208333333328</v>
      </c>
      <c r="O201" s="7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13"/>
        <v>40262.208333333336</v>
      </c>
      <c r="O202" s="7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19.5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5"/>
        <v>91.11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13"/>
        <v>41845.208333333336</v>
      </c>
      <c r="O203" s="7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9.5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5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13"/>
        <v>40818.208333333336</v>
      </c>
      <c r="O204" s="7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3.75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5"/>
        <v>43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13"/>
        <v>42752.25</v>
      </c>
      <c r="O205" s="7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5"/>
        <v>63.23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13"/>
        <v>40636.208333333336</v>
      </c>
      <c r="O206" s="7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9.5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5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13"/>
        <v>43390.208333333328</v>
      </c>
      <c r="O207" s="7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9.5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5"/>
        <v>61.33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13"/>
        <v>40236.25</v>
      </c>
      <c r="O208" s="7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3.75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13"/>
        <v>43340.208333333328</v>
      </c>
      <c r="O209" s="7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9.5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5"/>
        <v>96.98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13"/>
        <v>43048.25</v>
      </c>
      <c r="O210" s="7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9.5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5"/>
        <v>51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13"/>
        <v>42496.208333333328</v>
      </c>
      <c r="O211" s="7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5"/>
        <v>28.04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13"/>
        <v>42797.25</v>
      </c>
      <c r="O212" s="7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3.7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5"/>
        <v>60.98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13"/>
        <v>41513.208333333336</v>
      </c>
      <c r="O213" s="7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19.5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5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13"/>
        <v>43814.25</v>
      </c>
      <c r="O214" s="7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3.75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5"/>
        <v>40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13"/>
        <v>40488.208333333336</v>
      </c>
      <c r="O215" s="7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9.5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5"/>
        <v>86.81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13"/>
        <v>40409.208333333336</v>
      </c>
      <c r="O216" s="7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5"/>
        <v>42.13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13"/>
        <v>43509.25</v>
      </c>
      <c r="O217" s="7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9.5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5"/>
        <v>103.98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13"/>
        <v>40869.25</v>
      </c>
      <c r="O218" s="7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5"/>
        <v>62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13"/>
        <v>43583.208333333328</v>
      </c>
      <c r="O219" s="7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9.5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5"/>
        <v>31.01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13"/>
        <v>40858.25</v>
      </c>
      <c r="O220" s="7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9.5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5"/>
        <v>89.99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13"/>
        <v>41137.208333333336</v>
      </c>
      <c r="O221" s="7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5"/>
        <v>39.24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13"/>
        <v>40725.208333333336</v>
      </c>
      <c r="O222" s="7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3.7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5"/>
        <v>54.99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13"/>
        <v>41081.208333333336</v>
      </c>
      <c r="O223" s="7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9.5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5"/>
        <v>47.99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13"/>
        <v>41914.208333333336</v>
      </c>
      <c r="O224" s="7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5"/>
        <v>87.97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13"/>
        <v>42445.208333333328</v>
      </c>
      <c r="O225" s="7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9.5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5"/>
        <v>52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13"/>
        <v>41906.208333333336</v>
      </c>
      <c r="O226" s="7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9.5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5"/>
        <v>30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13"/>
        <v>41762.208333333336</v>
      </c>
      <c r="O227" s="7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9.5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5"/>
        <v>98.21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13"/>
        <v>40276.208333333336</v>
      </c>
      <c r="O228" s="7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9.5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5"/>
        <v>108.96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13"/>
        <v>42139.208333333328</v>
      </c>
      <c r="O229" s="7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9.5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5"/>
        <v>67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13"/>
        <v>42613.208333333328</v>
      </c>
      <c r="O230" s="7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9.5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5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13"/>
        <v>42887.208333333328</v>
      </c>
      <c r="O231" s="7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9.5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5"/>
        <v>99.84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13"/>
        <v>43805.25</v>
      </c>
      <c r="O232" s="7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9.5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5"/>
        <v>82.43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13"/>
        <v>41415.208333333336</v>
      </c>
      <c r="O233" s="7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9.5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5"/>
        <v>63.29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13"/>
        <v>42576.208333333328</v>
      </c>
      <c r="O234" s="7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9.5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5"/>
        <v>96.77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13"/>
        <v>40706.208333333336</v>
      </c>
      <c r="O235" s="7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9.5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5"/>
        <v>54.91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13"/>
        <v>42969.208333333328</v>
      </c>
      <c r="O236" s="7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3.7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5"/>
        <v>39.01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13"/>
        <v>42779.25</v>
      </c>
      <c r="O237" s="7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5"/>
        <v>75.84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13"/>
        <v>43641.208333333328</v>
      </c>
      <c r="O238" s="7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3.75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5"/>
        <v>45.05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13"/>
        <v>41754.208333333336</v>
      </c>
      <c r="O239" s="7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9.5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5"/>
        <v>104.52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13"/>
        <v>43083.25</v>
      </c>
      <c r="O240" s="7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19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5"/>
        <v>76.27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13"/>
        <v>42245.208333333328</v>
      </c>
      <c r="O241" s="7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9.5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5"/>
        <v>69.02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13"/>
        <v>40396.208333333336</v>
      </c>
      <c r="O242" s="7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9.5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5"/>
        <v>101.98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13"/>
        <v>41742.208333333336</v>
      </c>
      <c r="O243" s="7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9.5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5"/>
        <v>42.92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13"/>
        <v>42865.208333333328</v>
      </c>
      <c r="O244" s="7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3.75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5"/>
        <v>43.03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13"/>
        <v>43163.25</v>
      </c>
      <c r="O245" s="7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3.75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5"/>
        <v>75.25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13"/>
        <v>41834.208333333336</v>
      </c>
      <c r="O246" s="7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9.5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5"/>
        <v>69.02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13"/>
        <v>41736.208333333336</v>
      </c>
      <c r="O247" s="7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9.5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5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13"/>
        <v>41491.208333333336</v>
      </c>
      <c r="O248" s="7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9.5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5"/>
        <v>98.01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13"/>
        <v>42726.25</v>
      </c>
      <c r="O249" s="7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9.5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5"/>
        <v>60.11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13"/>
        <v>42004.25</v>
      </c>
      <c r="O250" s="7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9.5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5"/>
        <v>26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13"/>
        <v>42006.25</v>
      </c>
      <c r="O251" s="7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13"/>
        <v>40203.25</v>
      </c>
      <c r="O252" s="7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5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13"/>
        <v>41252.25</v>
      </c>
      <c r="O253" s="7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3.75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5"/>
        <v>106.15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13"/>
        <v>41572.208333333336</v>
      </c>
      <c r="O254" s="7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5"/>
        <v>81.02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13"/>
        <v>40641.208333333336</v>
      </c>
      <c r="O255" s="7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3.75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5"/>
        <v>96.65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13"/>
        <v>42787.25</v>
      </c>
      <c r="O256" s="7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3.75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5"/>
        <v>57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13"/>
        <v>40590.25</v>
      </c>
      <c r="O257" s="7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5"/>
        <v>63.93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si="13"/>
        <v>42393.25</v>
      </c>
      <c r="O258" s="7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9.5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ROUND((E259/D259)*100,0)</f>
        <v>146</v>
      </c>
      <c r="G259" t="s">
        <v>20</v>
      </c>
      <c r="H259">
        <v>92</v>
      </c>
      <c r="I259">
        <f t="shared" si="15"/>
        <v>90.46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ref="N259:N322" si="17">(((L259/60)/60)/24)+DATE(1970,1,1)</f>
        <v>41338.25</v>
      </c>
      <c r="O259" s="7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9.5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ref="I260:I323" si="19">ROUND(E260/H260,2)</f>
        <v>72.17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17"/>
        <v>42712.25</v>
      </c>
      <c r="O260" s="7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3.75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17"/>
        <v>41251.25</v>
      </c>
      <c r="O261" s="7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9.5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9"/>
        <v>38.07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si="17"/>
        <v>41180.208333333336</v>
      </c>
      <c r="O262" s="7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3.7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9"/>
        <v>57.94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17"/>
        <v>40415.208333333336</v>
      </c>
      <c r="O263" s="7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9.5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9"/>
        <v>49.79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17"/>
        <v>40638.208333333336</v>
      </c>
      <c r="O264" s="7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9.5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9"/>
        <v>54.05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17"/>
        <v>40187.25</v>
      </c>
      <c r="O265" s="7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9.5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9"/>
        <v>30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17"/>
        <v>41317.25</v>
      </c>
      <c r="O266" s="7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9.5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9"/>
        <v>70.13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17"/>
        <v>42372.25</v>
      </c>
      <c r="O267" s="7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9"/>
        <v>27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17"/>
        <v>41950.25</v>
      </c>
      <c r="O268" s="7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9.5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9"/>
        <v>51.99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17"/>
        <v>41206.208333333336</v>
      </c>
      <c r="O269" s="7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9.5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9"/>
        <v>56.42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17"/>
        <v>41186.208333333336</v>
      </c>
      <c r="O270" s="7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9.5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9"/>
        <v>101.63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17"/>
        <v>43496.25</v>
      </c>
      <c r="O271" s="7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9.5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9"/>
        <v>25.01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17"/>
        <v>40514.25</v>
      </c>
      <c r="O272" s="7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3.7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17"/>
        <v>42345.25</v>
      </c>
      <c r="O273" s="7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9.5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9"/>
        <v>82.02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17"/>
        <v>43656.208333333328</v>
      </c>
      <c r="O274" s="7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9.5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9"/>
        <v>37.96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17"/>
        <v>42995.208333333328</v>
      </c>
      <c r="O275" s="7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3.7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9"/>
        <v>51.53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17"/>
        <v>43045.25</v>
      </c>
      <c r="O276" s="7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3.75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9"/>
        <v>81.2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17"/>
        <v>43561.208333333328</v>
      </c>
      <c r="O277" s="7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9"/>
        <v>40.03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17"/>
        <v>41018.208333333336</v>
      </c>
      <c r="O278" s="7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3.75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9"/>
        <v>89.94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17"/>
        <v>40378.208333333336</v>
      </c>
      <c r="O279" s="7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9.5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9"/>
        <v>96.69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17"/>
        <v>41239.25</v>
      </c>
      <c r="O280" s="7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9.5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9"/>
        <v>25.01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17"/>
        <v>43346.208333333328</v>
      </c>
      <c r="O281" s="7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3.75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9"/>
        <v>36.99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17"/>
        <v>43060.25</v>
      </c>
      <c r="O282" s="7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17"/>
        <v>40979.25</v>
      </c>
      <c r="O283" s="7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9.5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17"/>
        <v>42701.25</v>
      </c>
      <c r="O284" s="7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3.7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9"/>
        <v>52.31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17"/>
        <v>42520.208333333328</v>
      </c>
      <c r="O285" s="7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9"/>
        <v>61.77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17"/>
        <v>41030.208333333336</v>
      </c>
      <c r="O286" s="7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9.5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9"/>
        <v>25.03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17"/>
        <v>42623.208333333328</v>
      </c>
      <c r="O287" s="7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9.5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9"/>
        <v>106.29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17"/>
        <v>42697.25</v>
      </c>
      <c r="O288" s="7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9.5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17"/>
        <v>42122.208333333328</v>
      </c>
      <c r="O289" s="7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9"/>
        <v>39.97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17"/>
        <v>40982.208333333336</v>
      </c>
      <c r="O290" s="7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9.5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17"/>
        <v>42219.208333333328</v>
      </c>
      <c r="O291" s="7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9"/>
        <v>101.02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17"/>
        <v>41404.208333333336</v>
      </c>
      <c r="O292" s="7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9.5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9"/>
        <v>76.81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17"/>
        <v>40831.208333333336</v>
      </c>
      <c r="O293" s="7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17"/>
        <v>40984.208333333336</v>
      </c>
      <c r="O294" s="7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9.5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17"/>
        <v>40456.208333333336</v>
      </c>
      <c r="O295" s="7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9.5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9"/>
        <v>43.92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17"/>
        <v>43399.208333333328</v>
      </c>
      <c r="O296" s="7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3.7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9"/>
        <v>36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17"/>
        <v>41562.208333333336</v>
      </c>
      <c r="O297" s="7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3.7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9"/>
        <v>88.21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17"/>
        <v>43493.25</v>
      </c>
      <c r="O298" s="7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17"/>
        <v>41653.25</v>
      </c>
      <c r="O299" s="7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9.5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17"/>
        <v>42426.25</v>
      </c>
      <c r="O300" s="7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3.7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17"/>
        <v>42432.25</v>
      </c>
      <c r="O301" s="7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17"/>
        <v>42977.208333333328</v>
      </c>
      <c r="O302" s="7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19.5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9"/>
        <v>41.02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17"/>
        <v>42061.25</v>
      </c>
      <c r="O303" s="7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9"/>
        <v>98.91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17"/>
        <v>43345.208333333328</v>
      </c>
      <c r="O304" s="7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9"/>
        <v>87.78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17"/>
        <v>42376.25</v>
      </c>
      <c r="O305" s="7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9.5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9"/>
        <v>80.77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17"/>
        <v>42589.208333333328</v>
      </c>
      <c r="O306" s="7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9.5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9"/>
        <v>94.28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17"/>
        <v>42448.208333333328</v>
      </c>
      <c r="O307" s="7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3.7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17"/>
        <v>42930.208333333328</v>
      </c>
      <c r="O308" s="7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9.5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9"/>
        <v>65.97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17"/>
        <v>41066.208333333336</v>
      </c>
      <c r="O309" s="7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9"/>
        <v>109.04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17"/>
        <v>40651.208333333336</v>
      </c>
      <c r="O310" s="7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9.5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17"/>
        <v>40807.208333333336</v>
      </c>
      <c r="O311" s="7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9"/>
        <v>99.13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17"/>
        <v>40277.208333333336</v>
      </c>
      <c r="O312" s="7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9.5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9"/>
        <v>105.88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17"/>
        <v>40590.25</v>
      </c>
      <c r="O313" s="7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9.5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9"/>
        <v>49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17"/>
        <v>41572.208333333336</v>
      </c>
      <c r="O314" s="7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9.5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17"/>
        <v>40966.25</v>
      </c>
      <c r="O315" s="7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9.5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9"/>
        <v>31.02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17"/>
        <v>43536.208333333328</v>
      </c>
      <c r="O316" s="7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3.7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9"/>
        <v>103.87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17"/>
        <v>41783.208333333336</v>
      </c>
      <c r="O317" s="7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17"/>
        <v>43788.25</v>
      </c>
      <c r="O318" s="7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17"/>
        <v>42869.208333333328</v>
      </c>
      <c r="O319" s="7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3.7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9"/>
        <v>53.12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17"/>
        <v>41684.25</v>
      </c>
      <c r="O320" s="7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9.5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9"/>
        <v>50.8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17"/>
        <v>40402.208333333336</v>
      </c>
      <c r="O321" s="7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si="17"/>
        <v>40673.208333333336</v>
      </c>
      <c r="O322" s="7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3.7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ROUND((E323/D323)*100,0)</f>
        <v>94</v>
      </c>
      <c r="G323" t="s">
        <v>14</v>
      </c>
      <c r="H323">
        <v>2468</v>
      </c>
      <c r="I323">
        <f t="shared" si="19"/>
        <v>65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ref="N323:N386" si="21">(((L323/60)/60)/24)+DATE(1970,1,1)</f>
        <v>40634.208333333336</v>
      </c>
      <c r="O323" s="7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3.75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ref="I324:I387" si="23">ROUND(E324/H324,2)</f>
        <v>38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21"/>
        <v>40507.25</v>
      </c>
      <c r="O324" s="7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3"/>
        <v>82.62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21"/>
        <v>41725.208333333336</v>
      </c>
      <c r="O325" s="7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9.5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3"/>
        <v>37.94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si="21"/>
        <v>42176.208333333328</v>
      </c>
      <c r="O326" s="7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3.7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3"/>
        <v>80.78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21"/>
        <v>43267.208333333328</v>
      </c>
      <c r="O327" s="7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3.7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3"/>
        <v>25.98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21"/>
        <v>42364.25</v>
      </c>
      <c r="O328" s="7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3"/>
        <v>30.36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21"/>
        <v>43705.208333333328</v>
      </c>
      <c r="O329" s="7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3.75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3"/>
        <v>54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21"/>
        <v>43434.25</v>
      </c>
      <c r="O330" s="7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9.5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3"/>
        <v>101.79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21"/>
        <v>42716.25</v>
      </c>
      <c r="O331" s="7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3.75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3"/>
        <v>45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21"/>
        <v>43077.25</v>
      </c>
      <c r="O332" s="7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9.5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3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21"/>
        <v>40896.25</v>
      </c>
      <c r="O333" s="7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3.75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3"/>
        <v>88.08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21"/>
        <v>41361.208333333336</v>
      </c>
      <c r="O334" s="7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9.5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3"/>
        <v>47.04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21"/>
        <v>43424.25</v>
      </c>
      <c r="O335" s="7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9.5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3"/>
        <v>111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21"/>
        <v>43110.25</v>
      </c>
      <c r="O336" s="7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9.5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3"/>
        <v>87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21"/>
        <v>43784.25</v>
      </c>
      <c r="O337" s="7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3"/>
        <v>63.99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21"/>
        <v>40527.25</v>
      </c>
      <c r="O338" s="7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9.5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3"/>
        <v>105.99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21"/>
        <v>43780.25</v>
      </c>
      <c r="O339" s="7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9.5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3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21"/>
        <v>40821.208333333336</v>
      </c>
      <c r="O340" s="7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9.5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3"/>
        <v>84.02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21"/>
        <v>42949.208333333328</v>
      </c>
      <c r="O341" s="7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3"/>
        <v>88.97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21"/>
        <v>40889.25</v>
      </c>
      <c r="O342" s="7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19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3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21"/>
        <v>42244.208333333328</v>
      </c>
      <c r="O343" s="7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3"/>
        <v>97.15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21"/>
        <v>41475.208333333336</v>
      </c>
      <c r="O344" s="7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3"/>
        <v>33.01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21"/>
        <v>41597.25</v>
      </c>
      <c r="O345" s="7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3"/>
        <v>99.95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21"/>
        <v>43122.25</v>
      </c>
      <c r="O346" s="7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3"/>
        <v>69.97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21"/>
        <v>42194.208333333328</v>
      </c>
      <c r="O347" s="7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21"/>
        <v>42971.208333333328</v>
      </c>
      <c r="O348" s="7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9.5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3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21"/>
        <v>42046.25</v>
      </c>
      <c r="O349" s="7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3"/>
        <v>41.01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21"/>
        <v>42782.25</v>
      </c>
      <c r="O350" s="7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3"/>
        <v>103.96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21"/>
        <v>42930.208333333328</v>
      </c>
      <c r="O351" s="7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21"/>
        <v>42144.208333333328</v>
      </c>
      <c r="O352" s="7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9.5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3"/>
        <v>47.01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21"/>
        <v>42240.208333333328</v>
      </c>
      <c r="O353" s="7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3"/>
        <v>29.61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21"/>
        <v>42315.25</v>
      </c>
      <c r="O354" s="7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9.5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3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21"/>
        <v>43651.208333333328</v>
      </c>
      <c r="O355" s="7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9.5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21"/>
        <v>41520.208333333336</v>
      </c>
      <c r="O356" s="7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9.5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3"/>
        <v>26.06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21"/>
        <v>42757.25</v>
      </c>
      <c r="O357" s="7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3"/>
        <v>85.78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21"/>
        <v>40922.25</v>
      </c>
      <c r="O358" s="7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9.5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3"/>
        <v>103.73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21"/>
        <v>42250.208333333328</v>
      </c>
      <c r="O359" s="7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3"/>
        <v>49.83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21"/>
        <v>43322.208333333328</v>
      </c>
      <c r="O360" s="7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9.5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3"/>
        <v>63.89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21"/>
        <v>40782.208333333336</v>
      </c>
      <c r="O361" s="7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9.5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3"/>
        <v>47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21"/>
        <v>40544.25</v>
      </c>
      <c r="O362" s="7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9.5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3"/>
        <v>108.48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21"/>
        <v>43015.208333333328</v>
      </c>
      <c r="O363" s="7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9.5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3"/>
        <v>72.02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21"/>
        <v>40570.25</v>
      </c>
      <c r="O364" s="7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9.5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3"/>
        <v>59.93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21"/>
        <v>40904.25</v>
      </c>
      <c r="O365" s="7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9.5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3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21"/>
        <v>43164.25</v>
      </c>
      <c r="O366" s="7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9.5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3"/>
        <v>104.78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21"/>
        <v>42733.25</v>
      </c>
      <c r="O367" s="7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9.5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3"/>
        <v>105.52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21"/>
        <v>40546.25</v>
      </c>
      <c r="O368" s="7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3"/>
        <v>24.93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21"/>
        <v>41930.208333333336</v>
      </c>
      <c r="O369" s="7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9.5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3"/>
        <v>69.87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21"/>
        <v>40464.208333333336</v>
      </c>
      <c r="O370" s="7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9.5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3"/>
        <v>95.73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21"/>
        <v>41308.25</v>
      </c>
      <c r="O371" s="7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9.5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3"/>
        <v>30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21"/>
        <v>43570.208333333328</v>
      </c>
      <c r="O372" s="7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3"/>
        <v>59.01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21"/>
        <v>42043.25</v>
      </c>
      <c r="O373" s="7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3.75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3"/>
        <v>84.76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21"/>
        <v>42012.25</v>
      </c>
      <c r="O374" s="7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9.5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3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21"/>
        <v>42964.208333333328</v>
      </c>
      <c r="O375" s="7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3.7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3"/>
        <v>50.05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21"/>
        <v>43476.25</v>
      </c>
      <c r="O376" s="7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3.7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21"/>
        <v>42293.208333333328</v>
      </c>
      <c r="O377" s="7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9.5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3"/>
        <v>93.7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21"/>
        <v>41826.208333333336</v>
      </c>
      <c r="O378" s="7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3"/>
        <v>40.14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21"/>
        <v>43760.208333333328</v>
      </c>
      <c r="O379" s="7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3"/>
        <v>70.09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21"/>
        <v>43241.208333333328</v>
      </c>
      <c r="O380" s="7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3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21"/>
        <v>40843.208333333336</v>
      </c>
      <c r="O381" s="7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3.75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3"/>
        <v>47.71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21"/>
        <v>41448.208333333336</v>
      </c>
      <c r="O382" s="7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9.5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3"/>
        <v>62.9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21"/>
        <v>42163.208333333328</v>
      </c>
      <c r="O383" s="7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3.7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3"/>
        <v>86.61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21"/>
        <v>43024.208333333328</v>
      </c>
      <c r="O384" s="7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9.5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3"/>
        <v>75.13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21"/>
        <v>43509.25</v>
      </c>
      <c r="O385" s="7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9.5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3"/>
        <v>41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si="21"/>
        <v>42776.25</v>
      </c>
      <c r="O386" s="7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3.75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ROUND((E387/D387)*100,0)</f>
        <v>146</v>
      </c>
      <c r="G387" t="s">
        <v>20</v>
      </c>
      <c r="H387">
        <v>1137</v>
      </c>
      <c r="I387">
        <f t="shared" si="23"/>
        <v>50.01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ref="N387:N450" si="25">(((L387/60)/60)/24)+DATE(1970,1,1)</f>
        <v>43553.208333333328</v>
      </c>
      <c r="O387" s="7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3.7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ref="I388:I451" si="27">ROUND(E388/H388,2)</f>
        <v>96.96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25"/>
        <v>40355.208333333336</v>
      </c>
      <c r="O388" s="7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7"/>
        <v>100.93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25"/>
        <v>41072.208333333336</v>
      </c>
      <c r="O389" s="7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9.5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7"/>
        <v>89.23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si="25"/>
        <v>40912.25</v>
      </c>
      <c r="O390" s="7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9.5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7"/>
        <v>87.98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25"/>
        <v>40479.208333333336</v>
      </c>
      <c r="O391" s="7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9.5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25"/>
        <v>41530.208333333336</v>
      </c>
      <c r="O392" s="7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7"/>
        <v>29.09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25"/>
        <v>41653.25</v>
      </c>
      <c r="O393" s="7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3.7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7"/>
        <v>42.01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25"/>
        <v>40549.25</v>
      </c>
      <c r="O394" s="7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9.5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7"/>
        <v>47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25"/>
        <v>42933.208333333328</v>
      </c>
      <c r="O395" s="7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9.5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7"/>
        <v>110.44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25"/>
        <v>41484.208333333336</v>
      </c>
      <c r="O396" s="7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3.75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7"/>
        <v>41.99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25"/>
        <v>40885.25</v>
      </c>
      <c r="O397" s="7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9.5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7"/>
        <v>48.01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25"/>
        <v>43378.208333333328</v>
      </c>
      <c r="O398" s="7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9.5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7"/>
        <v>31.02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25"/>
        <v>41417.208333333336</v>
      </c>
      <c r="O399" s="7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19.5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7"/>
        <v>99.2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25"/>
        <v>43228.208333333328</v>
      </c>
      <c r="O400" s="7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7"/>
        <v>66.02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25"/>
        <v>40576.25</v>
      </c>
      <c r="O401" s="7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3.7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25"/>
        <v>41502.208333333336</v>
      </c>
      <c r="O402" s="7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9.5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7"/>
        <v>46.06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25"/>
        <v>43765.208333333328</v>
      </c>
      <c r="O403" s="7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25"/>
        <v>40914.25</v>
      </c>
      <c r="O404" s="7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7"/>
        <v>55.99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25"/>
        <v>40310.208333333336</v>
      </c>
      <c r="O405" s="7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9.5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25"/>
        <v>43053.25</v>
      </c>
      <c r="O406" s="7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7"/>
        <v>60.98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25"/>
        <v>43255.208333333328</v>
      </c>
      <c r="O407" s="7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9.5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7"/>
        <v>110.98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25"/>
        <v>41304.25</v>
      </c>
      <c r="O408" s="7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9.5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25"/>
        <v>43751.208333333328</v>
      </c>
      <c r="O409" s="7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9.5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25"/>
        <v>42541.208333333328</v>
      </c>
      <c r="O410" s="7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7"/>
        <v>87.96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25"/>
        <v>42843.208333333328</v>
      </c>
      <c r="O411" s="7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9.5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7"/>
        <v>49.99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25"/>
        <v>42122.208333333328</v>
      </c>
      <c r="O412" s="7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9.5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7"/>
        <v>99.52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25"/>
        <v>42884.208333333328</v>
      </c>
      <c r="O413" s="7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9.5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7"/>
        <v>104.82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25"/>
        <v>41642.25</v>
      </c>
      <c r="O414" s="7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9.5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7"/>
        <v>108.01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25"/>
        <v>43431.25</v>
      </c>
      <c r="O415" s="7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7"/>
        <v>29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25"/>
        <v>40288.208333333336</v>
      </c>
      <c r="O416" s="7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7"/>
        <v>30.03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25"/>
        <v>40921.25</v>
      </c>
      <c r="O417" s="7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3.7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7"/>
        <v>41.01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25"/>
        <v>40560.25</v>
      </c>
      <c r="O418" s="7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7"/>
        <v>62.87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25"/>
        <v>43407.208333333328</v>
      </c>
      <c r="O419" s="7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7"/>
        <v>47.01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25"/>
        <v>41035.208333333336</v>
      </c>
      <c r="O420" s="7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9.5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7"/>
        <v>27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25"/>
        <v>40899.25</v>
      </c>
      <c r="O421" s="7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9.5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7"/>
        <v>68.33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25"/>
        <v>42911.208333333328</v>
      </c>
      <c r="O422" s="7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7"/>
        <v>50.97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25"/>
        <v>42915.208333333328</v>
      </c>
      <c r="O423" s="7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3.75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7"/>
        <v>54.02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25"/>
        <v>40285.208333333336</v>
      </c>
      <c r="O424" s="7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7"/>
        <v>97.06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25"/>
        <v>40808.208333333336</v>
      </c>
      <c r="O425" s="7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7"/>
        <v>24.87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25"/>
        <v>43208.208333333328</v>
      </c>
      <c r="O426" s="7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9.5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7"/>
        <v>84.42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25"/>
        <v>42213.208333333328</v>
      </c>
      <c r="O427" s="7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9.5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7"/>
        <v>47.09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25"/>
        <v>41332.25</v>
      </c>
      <c r="O428" s="7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9.5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7"/>
        <v>78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25"/>
        <v>41895.208333333336</v>
      </c>
      <c r="O429" s="7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7"/>
        <v>62.97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25"/>
        <v>40585.25</v>
      </c>
      <c r="O430" s="7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9.5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25"/>
        <v>41680.25</v>
      </c>
      <c r="O431" s="7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19.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25"/>
        <v>43737.208333333328</v>
      </c>
      <c r="O432" s="7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9.5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7"/>
        <v>104.44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25"/>
        <v>43273.208333333328</v>
      </c>
      <c r="O433" s="7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9.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25"/>
        <v>41761.208333333336</v>
      </c>
      <c r="O434" s="7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7"/>
        <v>83.02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25"/>
        <v>41603.25</v>
      </c>
      <c r="O435" s="7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9.5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25"/>
        <v>42705.25</v>
      </c>
      <c r="O436" s="7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9.5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25"/>
        <v>41988.25</v>
      </c>
      <c r="O437" s="7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9.5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7"/>
        <v>54.93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25"/>
        <v>43575.208333333328</v>
      </c>
      <c r="O438" s="7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9.5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7"/>
        <v>51.92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25"/>
        <v>42260.208333333328</v>
      </c>
      <c r="O439" s="7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3.75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7"/>
        <v>60.03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25"/>
        <v>41337.25</v>
      </c>
      <c r="O440" s="7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9.5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7"/>
        <v>44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25"/>
        <v>42680.208333333328</v>
      </c>
      <c r="O441" s="7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9.5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7"/>
        <v>53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25"/>
        <v>42916.208333333328</v>
      </c>
      <c r="O442" s="7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25"/>
        <v>41025.208333333336</v>
      </c>
      <c r="O443" s="7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9.5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25"/>
        <v>42980.208333333328</v>
      </c>
      <c r="O444" s="7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9.5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25"/>
        <v>40451.208333333336</v>
      </c>
      <c r="O445" s="7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9.5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25"/>
        <v>40748.208333333336</v>
      </c>
      <c r="O446" s="7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3.75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7"/>
        <v>63.17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25"/>
        <v>40515.25</v>
      </c>
      <c r="O447" s="7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7"/>
        <v>29.99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25"/>
        <v>41261.25</v>
      </c>
      <c r="O448" s="7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3.75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25"/>
        <v>43088.25</v>
      </c>
      <c r="O449" s="7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si="25"/>
        <v>41378.208333333336</v>
      </c>
      <c r="O450" s="7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9.5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ROUND((E451/D451)*100,0)</f>
        <v>967</v>
      </c>
      <c r="G451" t="s">
        <v>20</v>
      </c>
      <c r="H451">
        <v>86</v>
      </c>
      <c r="I451">
        <f t="shared" si="27"/>
        <v>101.2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ref="N451:N514" si="29">(((L451/60)/60)/24)+DATE(1970,1,1)</f>
        <v>43530.25</v>
      </c>
      <c r="O451" s="7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ref="I452:I515" si="31">ROUND(E452/H452,2)</f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29"/>
        <v>43394.208333333328</v>
      </c>
      <c r="O452" s="7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9.5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31"/>
        <v>29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29"/>
        <v>42935.208333333328</v>
      </c>
      <c r="O453" s="7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3.7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31"/>
        <v>98.23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si="29"/>
        <v>40365.208333333336</v>
      </c>
      <c r="O454" s="7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3.7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31"/>
        <v>87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29"/>
        <v>42705.25</v>
      </c>
      <c r="O455" s="7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31"/>
        <v>45.21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29"/>
        <v>41568.208333333336</v>
      </c>
      <c r="O456" s="7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9.5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31"/>
        <v>37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29"/>
        <v>40809.208333333336</v>
      </c>
      <c r="O457" s="7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3.75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31"/>
        <v>94.98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29"/>
        <v>43141.25</v>
      </c>
      <c r="O458" s="7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31"/>
        <v>28.96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29"/>
        <v>42657.208333333328</v>
      </c>
      <c r="O459" s="7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9.5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31"/>
        <v>55.99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29"/>
        <v>40265.208333333336</v>
      </c>
      <c r="O460" s="7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31"/>
        <v>54.04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29"/>
        <v>42001.25</v>
      </c>
      <c r="O461" s="7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9.5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29"/>
        <v>40399.208333333336</v>
      </c>
      <c r="O462" s="7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9.5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31"/>
        <v>67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29"/>
        <v>41757.208333333336</v>
      </c>
      <c r="O463" s="7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31"/>
        <v>107.91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29"/>
        <v>41304.25</v>
      </c>
      <c r="O464" s="7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3.75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31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29"/>
        <v>41639.25</v>
      </c>
      <c r="O465" s="7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9.5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31"/>
        <v>39.01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29"/>
        <v>43142.25</v>
      </c>
      <c r="O466" s="7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9.5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31"/>
        <v>110.36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29"/>
        <v>43127.25</v>
      </c>
      <c r="O467" s="7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9.5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31"/>
        <v>94.86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29"/>
        <v>41409.208333333336</v>
      </c>
      <c r="O468" s="7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3.75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31"/>
        <v>57.94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29"/>
        <v>42331.25</v>
      </c>
      <c r="O469" s="7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29"/>
        <v>43569.208333333328</v>
      </c>
      <c r="O470" s="7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9.5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31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29"/>
        <v>42142.208333333328</v>
      </c>
      <c r="O471" s="7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9.5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31"/>
        <v>27.01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29"/>
        <v>42716.25</v>
      </c>
      <c r="O472" s="7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9.5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31"/>
        <v>50.97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29"/>
        <v>41031.208333333336</v>
      </c>
      <c r="O473" s="7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19.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31"/>
        <v>104.94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29"/>
        <v>43535.208333333328</v>
      </c>
      <c r="O474" s="7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9.5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31"/>
        <v>84.03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29"/>
        <v>43277.208333333328</v>
      </c>
      <c r="O475" s="7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9.5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31"/>
        <v>102.86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29"/>
        <v>41989.25</v>
      </c>
      <c r="O476" s="7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3.75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31"/>
        <v>39.96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29"/>
        <v>41450.208333333336</v>
      </c>
      <c r="O477" s="7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3.7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31"/>
        <v>51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29"/>
        <v>43322.208333333328</v>
      </c>
      <c r="O478" s="7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31"/>
        <v>40.82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29"/>
        <v>40720.208333333336</v>
      </c>
      <c r="O479" s="7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9.5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31"/>
        <v>59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29"/>
        <v>42072.208333333328</v>
      </c>
      <c r="O480" s="7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9.5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31"/>
        <v>71.16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29"/>
        <v>42945.208333333328</v>
      </c>
      <c r="O481" s="7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9.5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31"/>
        <v>99.49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29"/>
        <v>40248.25</v>
      </c>
      <c r="O482" s="7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3.7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31"/>
        <v>103.99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29"/>
        <v>41913.208333333336</v>
      </c>
      <c r="O483" s="7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3.7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31"/>
        <v>76.56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29"/>
        <v>40963.25</v>
      </c>
      <c r="O484" s="7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31"/>
        <v>87.07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29"/>
        <v>43811.25</v>
      </c>
      <c r="O485" s="7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9.5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31"/>
        <v>49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29"/>
        <v>41855.208333333336</v>
      </c>
      <c r="O486" s="7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3.7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31"/>
        <v>42.97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29"/>
        <v>43626.208333333328</v>
      </c>
      <c r="O487" s="7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3.7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31"/>
        <v>33.43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29"/>
        <v>43168.25</v>
      </c>
      <c r="O488" s="7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9.5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31"/>
        <v>83.98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29"/>
        <v>42845.208333333328</v>
      </c>
      <c r="O489" s="7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9.5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31"/>
        <v>101.42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29"/>
        <v>42403.25</v>
      </c>
      <c r="O490" s="7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9.5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31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29"/>
        <v>40406.208333333336</v>
      </c>
      <c r="O491" s="7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9.5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31"/>
        <v>31.92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29"/>
        <v>43786.25</v>
      </c>
      <c r="O492" s="7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3.75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31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29"/>
        <v>41456.208333333336</v>
      </c>
      <c r="O493" s="7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9.5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31"/>
        <v>77.03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29"/>
        <v>40336.208333333336</v>
      </c>
      <c r="O494" s="7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9.5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31"/>
        <v>101.78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29"/>
        <v>43645.208333333328</v>
      </c>
      <c r="O495" s="7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9.5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31"/>
        <v>51.06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29"/>
        <v>40990.208333333336</v>
      </c>
      <c r="O496" s="7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9.5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31"/>
        <v>68.02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29"/>
        <v>41800.208333333336</v>
      </c>
      <c r="O497" s="7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31"/>
        <v>30.87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29"/>
        <v>42876.208333333328</v>
      </c>
      <c r="O498" s="7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31"/>
        <v>27.91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29"/>
        <v>42724.25</v>
      </c>
      <c r="O499" s="7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31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29"/>
        <v>42005.25</v>
      </c>
      <c r="O500" s="7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3.7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31"/>
        <v>38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29"/>
        <v>42444.208333333328</v>
      </c>
      <c r="O501" s="7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29"/>
        <v>41395.208333333336</v>
      </c>
      <c r="O502" s="7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31"/>
        <v>59.99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29"/>
        <v>41345.208333333336</v>
      </c>
      <c r="O503" s="7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9.5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31"/>
        <v>37.04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29"/>
        <v>41117.208333333336</v>
      </c>
      <c r="O504" s="7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3.75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31"/>
        <v>99.96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29"/>
        <v>42186.208333333328</v>
      </c>
      <c r="O505" s="7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31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29"/>
        <v>42142.208333333328</v>
      </c>
      <c r="O506" s="7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31"/>
        <v>36.01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29"/>
        <v>41341.25</v>
      </c>
      <c r="O507" s="7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9.5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31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29"/>
        <v>43062.25</v>
      </c>
      <c r="O508" s="7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3.7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31"/>
        <v>44.05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29"/>
        <v>41373.208333333336</v>
      </c>
      <c r="O509" s="7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9.5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31"/>
        <v>53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29"/>
        <v>43310.208333333328</v>
      </c>
      <c r="O510" s="7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29"/>
        <v>41034.208333333336</v>
      </c>
      <c r="O511" s="7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9.5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31"/>
        <v>70.91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29"/>
        <v>43251.208333333328</v>
      </c>
      <c r="O512" s="7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31"/>
        <v>98.06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29"/>
        <v>43671.208333333328</v>
      </c>
      <c r="O513" s="7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9.5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31"/>
        <v>53.05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si="29"/>
        <v>41825.208333333336</v>
      </c>
      <c r="O514" s="7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9.5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ROUND((E515/D515)*100,0)</f>
        <v>39</v>
      </c>
      <c r="G515" t="s">
        <v>74</v>
      </c>
      <c r="H515">
        <v>35</v>
      </c>
      <c r="I515">
        <f t="shared" si="31"/>
        <v>93.14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ref="N515:N578" si="33">(((L515/60)/60)/24)+DATE(1970,1,1)</f>
        <v>40430.208333333336</v>
      </c>
      <c r="O515" s="7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9.5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ref="I516:I579" si="35">ROUND(E516/H516,2)</f>
        <v>58.95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33"/>
        <v>41614.25</v>
      </c>
      <c r="O516" s="7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5"/>
        <v>36.07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33"/>
        <v>40900.25</v>
      </c>
      <c r="O517" s="7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5"/>
        <v>63.03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si="33"/>
        <v>40396.208333333336</v>
      </c>
      <c r="O518" s="7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9.5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5"/>
        <v>84.72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33"/>
        <v>42860.208333333328</v>
      </c>
      <c r="O519" s="7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3.7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33"/>
        <v>43154.25</v>
      </c>
      <c r="O520" s="7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9.5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5"/>
        <v>101.98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33"/>
        <v>42012.25</v>
      </c>
      <c r="O521" s="7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9.5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5"/>
        <v>106.44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33"/>
        <v>43574.208333333328</v>
      </c>
      <c r="O522" s="7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9.5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5"/>
        <v>29.98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33"/>
        <v>42605.208333333328</v>
      </c>
      <c r="O523" s="7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3.7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5"/>
        <v>85.81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33"/>
        <v>41093.208333333336</v>
      </c>
      <c r="O524" s="7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9.5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5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33"/>
        <v>40241.25</v>
      </c>
      <c r="O525" s="7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5"/>
        <v>41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33"/>
        <v>40294.208333333336</v>
      </c>
      <c r="O526" s="7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19.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5"/>
        <v>28.06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33"/>
        <v>40505.25</v>
      </c>
      <c r="O527" s="7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3.75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5"/>
        <v>88.05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33"/>
        <v>42364.25</v>
      </c>
      <c r="O528" s="7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33"/>
        <v>42405.25</v>
      </c>
      <c r="O529" s="7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5"/>
        <v>90.34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33"/>
        <v>41601.25</v>
      </c>
      <c r="O530" s="7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5"/>
        <v>63.78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33"/>
        <v>41769.208333333336</v>
      </c>
      <c r="O531" s="7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19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5"/>
        <v>54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33"/>
        <v>40421.208333333336</v>
      </c>
      <c r="O532" s="7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3.7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5"/>
        <v>48.99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33"/>
        <v>41589.25</v>
      </c>
      <c r="O533" s="7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9.5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5"/>
        <v>63.86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33"/>
        <v>43125.25</v>
      </c>
      <c r="O534" s="7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9.5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5"/>
        <v>83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33"/>
        <v>41479.208333333336</v>
      </c>
      <c r="O535" s="7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5"/>
        <v>55.08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33"/>
        <v>43329.208333333328</v>
      </c>
      <c r="O536" s="7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9.5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5"/>
        <v>62.04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33"/>
        <v>43259.208333333328</v>
      </c>
      <c r="O537" s="7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9.5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5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33"/>
        <v>40414.208333333336</v>
      </c>
      <c r="O538" s="7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9.5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5"/>
        <v>94.04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33"/>
        <v>43342.208333333328</v>
      </c>
      <c r="O539" s="7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5"/>
        <v>44.01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33"/>
        <v>41539.208333333336</v>
      </c>
      <c r="O540" s="7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5"/>
        <v>92.47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33"/>
        <v>43647.208333333328</v>
      </c>
      <c r="O541" s="7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9.5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5"/>
        <v>57.07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33"/>
        <v>43225.208333333328</v>
      </c>
      <c r="O542" s="7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5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33"/>
        <v>42165.208333333328</v>
      </c>
      <c r="O543" s="7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5"/>
        <v>39.39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33"/>
        <v>42391.25</v>
      </c>
      <c r="O544" s="7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5"/>
        <v>77.02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33"/>
        <v>41528.208333333336</v>
      </c>
      <c r="O545" s="7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3.75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5"/>
        <v>92.17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33"/>
        <v>42377.25</v>
      </c>
      <c r="O546" s="7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5"/>
        <v>61.01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33"/>
        <v>43824.25</v>
      </c>
      <c r="O547" s="7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9.5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5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33"/>
        <v>43360.208333333328</v>
      </c>
      <c r="O548" s="7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9.5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33"/>
        <v>42029.25</v>
      </c>
      <c r="O549" s="7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9.5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5"/>
        <v>59.99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33"/>
        <v>42461.208333333328</v>
      </c>
      <c r="O550" s="7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3.75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5"/>
        <v>110.03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33"/>
        <v>41422.208333333336</v>
      </c>
      <c r="O551" s="7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3.75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33"/>
        <v>40968.25</v>
      </c>
      <c r="O552" s="7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5"/>
        <v>38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33"/>
        <v>41993.25</v>
      </c>
      <c r="O553" s="7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5"/>
        <v>96.37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33"/>
        <v>42700.25</v>
      </c>
      <c r="O554" s="7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3.7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5"/>
        <v>72.98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33"/>
        <v>40545.25</v>
      </c>
      <c r="O555" s="7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3.75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5"/>
        <v>26.01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33"/>
        <v>42723.25</v>
      </c>
      <c r="O556" s="7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9.5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5"/>
        <v>104.36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33"/>
        <v>41731.208333333336</v>
      </c>
      <c r="O557" s="7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9.5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5"/>
        <v>102.19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33"/>
        <v>40792.208333333336</v>
      </c>
      <c r="O558" s="7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9.5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5"/>
        <v>54.12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33"/>
        <v>42279.208333333328</v>
      </c>
      <c r="O559" s="7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9.5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5"/>
        <v>63.22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33"/>
        <v>42424.25</v>
      </c>
      <c r="O560" s="7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9.5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5"/>
        <v>104.03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33"/>
        <v>42584.208333333328</v>
      </c>
      <c r="O561" s="7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9.5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5"/>
        <v>49.99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33"/>
        <v>40865.25</v>
      </c>
      <c r="O562" s="7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9.5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5"/>
        <v>56.02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33"/>
        <v>40833.208333333336</v>
      </c>
      <c r="O563" s="7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3.7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5"/>
        <v>48.81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33"/>
        <v>43536.208333333328</v>
      </c>
      <c r="O564" s="7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9.5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5"/>
        <v>60.08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33"/>
        <v>43417.25</v>
      </c>
      <c r="O565" s="7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5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33"/>
        <v>42078.208333333328</v>
      </c>
      <c r="O566" s="7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9.5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5"/>
        <v>53.99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33"/>
        <v>40862.25</v>
      </c>
      <c r="O567" s="7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5"/>
        <v>111.46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33"/>
        <v>42424.25</v>
      </c>
      <c r="O568" s="7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3.75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5"/>
        <v>60.92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33"/>
        <v>41830.208333333336</v>
      </c>
      <c r="O569" s="7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9.5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5"/>
        <v>26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33"/>
        <v>40374.208333333336</v>
      </c>
      <c r="O570" s="7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9.5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5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33"/>
        <v>40554.25</v>
      </c>
      <c r="O571" s="7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9.5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5"/>
        <v>35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33"/>
        <v>41993.25</v>
      </c>
      <c r="O572" s="7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5"/>
        <v>94.14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33"/>
        <v>42174.208333333328</v>
      </c>
      <c r="O573" s="7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9.5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5"/>
        <v>52.09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33"/>
        <v>42275.208333333328</v>
      </c>
      <c r="O574" s="7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9.5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5"/>
        <v>24.99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33"/>
        <v>41761.208333333336</v>
      </c>
      <c r="O575" s="7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9.5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5"/>
        <v>69.22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33"/>
        <v>43806.25</v>
      </c>
      <c r="O576" s="7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5"/>
        <v>93.94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33"/>
        <v>41779.208333333336</v>
      </c>
      <c r="O577" s="7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3.7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5"/>
        <v>98.41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si="33"/>
        <v>43040.208333333328</v>
      </c>
      <c r="O578" s="7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9.5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ROUND((E579/D579)*100,0)</f>
        <v>19</v>
      </c>
      <c r="G579" t="s">
        <v>74</v>
      </c>
      <c r="H579">
        <v>37</v>
      </c>
      <c r="I579">
        <f t="shared" si="35"/>
        <v>41.78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ref="N579:N642" si="37">(((L579/60)/60)/24)+DATE(1970,1,1)</f>
        <v>40613.25</v>
      </c>
      <c r="O579" s="7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ref="I580:I643" si="39">ROUND(E580/H580,2)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37"/>
        <v>40878.25</v>
      </c>
      <c r="O580" s="7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9.5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9"/>
        <v>72.06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37"/>
        <v>40762.208333333336</v>
      </c>
      <c r="O581" s="7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9.5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9"/>
        <v>48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si="37"/>
        <v>41696.25</v>
      </c>
      <c r="O582" s="7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9"/>
        <v>54.1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37"/>
        <v>40662.208333333336</v>
      </c>
      <c r="O583" s="7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9"/>
        <v>107.88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37"/>
        <v>42165.208333333328</v>
      </c>
      <c r="O584" s="7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3.75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9"/>
        <v>67.03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37"/>
        <v>40959.25</v>
      </c>
      <c r="O585" s="7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19.5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37"/>
        <v>41024.208333333336</v>
      </c>
      <c r="O586" s="7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9.5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9"/>
        <v>96.07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37"/>
        <v>40255.208333333336</v>
      </c>
      <c r="O587" s="7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9.5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9"/>
        <v>51.18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37"/>
        <v>40499.25</v>
      </c>
      <c r="O588" s="7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9"/>
        <v>43.92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37"/>
        <v>43484.25</v>
      </c>
      <c r="O589" s="7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9"/>
        <v>91.02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37"/>
        <v>40262.208333333336</v>
      </c>
      <c r="O590" s="7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9"/>
        <v>50.13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37"/>
        <v>42190.208333333328</v>
      </c>
      <c r="O591" s="7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3.7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9"/>
        <v>67.72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37"/>
        <v>41994.25</v>
      </c>
      <c r="O592" s="7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9.5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9"/>
        <v>61.04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37"/>
        <v>40373.208333333336</v>
      </c>
      <c r="O593" s="7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3.7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37"/>
        <v>41789.208333333336</v>
      </c>
      <c r="O594" s="7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9.5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9"/>
        <v>47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37"/>
        <v>41724.208333333336</v>
      </c>
      <c r="O595" s="7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3.7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9"/>
        <v>71.13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37"/>
        <v>42548.208333333328</v>
      </c>
      <c r="O596" s="7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3.75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9"/>
        <v>89.99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37"/>
        <v>40253.208333333336</v>
      </c>
      <c r="O597" s="7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9"/>
        <v>43.03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37"/>
        <v>42434.25</v>
      </c>
      <c r="O598" s="7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9.5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9"/>
        <v>68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37"/>
        <v>43786.25</v>
      </c>
      <c r="O599" s="7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9.5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9"/>
        <v>73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37"/>
        <v>40344.208333333336</v>
      </c>
      <c r="O600" s="7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9"/>
        <v>62.34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37"/>
        <v>42047.25</v>
      </c>
      <c r="O601" s="7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37"/>
        <v>41485.208333333336</v>
      </c>
      <c r="O602" s="7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9.5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37"/>
        <v>41789.208333333336</v>
      </c>
      <c r="O603" s="7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19.5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9"/>
        <v>79.98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37"/>
        <v>42160.208333333328</v>
      </c>
      <c r="O604" s="7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9.5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9"/>
        <v>62.18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37"/>
        <v>43573.208333333328</v>
      </c>
      <c r="O605" s="7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9.5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9"/>
        <v>53.01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37"/>
        <v>40565.25</v>
      </c>
      <c r="O606" s="7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9.5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9"/>
        <v>57.74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37"/>
        <v>42280.208333333328</v>
      </c>
      <c r="O607" s="7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9.5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9"/>
        <v>40.03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37"/>
        <v>42436.25</v>
      </c>
      <c r="O608" s="7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9.5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9"/>
        <v>81.02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37"/>
        <v>41721.208333333336</v>
      </c>
      <c r="O609" s="7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9.5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37"/>
        <v>43530.25</v>
      </c>
      <c r="O610" s="7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9.5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9"/>
        <v>102.92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37"/>
        <v>43481.25</v>
      </c>
      <c r="O611" s="7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3.75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9"/>
        <v>28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37"/>
        <v>41259.25</v>
      </c>
      <c r="O612" s="7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9.5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9"/>
        <v>75.73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37"/>
        <v>41480.208333333336</v>
      </c>
      <c r="O613" s="7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9.5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9"/>
        <v>45.03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37"/>
        <v>40474.208333333336</v>
      </c>
      <c r="O614" s="7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19.5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9"/>
        <v>73.62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37"/>
        <v>42973.208333333328</v>
      </c>
      <c r="O615" s="7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3.75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9"/>
        <v>56.99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37"/>
        <v>42746.25</v>
      </c>
      <c r="O616" s="7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9.5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9"/>
        <v>85.22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37"/>
        <v>42489.208333333328</v>
      </c>
      <c r="O617" s="7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9.5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9"/>
        <v>50.96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37"/>
        <v>41537.208333333336</v>
      </c>
      <c r="O618" s="7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9.5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9"/>
        <v>63.56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37"/>
        <v>41794.208333333336</v>
      </c>
      <c r="O619" s="7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9"/>
        <v>81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37"/>
        <v>41396.208333333336</v>
      </c>
      <c r="O620" s="7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9"/>
        <v>86.04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37"/>
        <v>40669.208333333336</v>
      </c>
      <c r="O621" s="7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9.5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9"/>
        <v>90.04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37"/>
        <v>42559.208333333328</v>
      </c>
      <c r="O622" s="7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9.5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37"/>
        <v>42626.208333333328</v>
      </c>
      <c r="O623" s="7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9"/>
        <v>92.44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37"/>
        <v>43205.208333333328</v>
      </c>
      <c r="O624" s="7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9.5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9"/>
        <v>56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37"/>
        <v>42201.208333333328</v>
      </c>
      <c r="O625" s="7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9.5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37"/>
        <v>42029.25</v>
      </c>
      <c r="O626" s="7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9"/>
        <v>93.6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37"/>
        <v>43857.25</v>
      </c>
      <c r="O627" s="7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3.75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9"/>
        <v>69.87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37"/>
        <v>40449.208333333336</v>
      </c>
      <c r="O628" s="7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9.5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9"/>
        <v>72.13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37"/>
        <v>40345.208333333336</v>
      </c>
      <c r="O629" s="7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9.5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9"/>
        <v>30.04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37"/>
        <v>40455.208333333336</v>
      </c>
      <c r="O630" s="7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9"/>
        <v>73.97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37"/>
        <v>42557.208333333328</v>
      </c>
      <c r="O631" s="7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9.5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9"/>
        <v>68.66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37"/>
        <v>43586.208333333328</v>
      </c>
      <c r="O632" s="7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9.5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9"/>
        <v>59.99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37"/>
        <v>43550.208333333328</v>
      </c>
      <c r="O633" s="7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9.5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9"/>
        <v>111.16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37"/>
        <v>41945.208333333336</v>
      </c>
      <c r="O634" s="7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9"/>
        <v>53.04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37"/>
        <v>42315.25</v>
      </c>
      <c r="O635" s="7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9.5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9"/>
        <v>55.99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37"/>
        <v>42819.208333333328</v>
      </c>
      <c r="O636" s="7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9.5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37"/>
        <v>41314.25</v>
      </c>
      <c r="O637" s="7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9"/>
        <v>49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37"/>
        <v>40926.25</v>
      </c>
      <c r="O638" s="7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9"/>
        <v>103.85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37"/>
        <v>42688.25</v>
      </c>
      <c r="O639" s="7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9"/>
        <v>99.13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37"/>
        <v>40386.208333333336</v>
      </c>
      <c r="O640" s="7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9.5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9"/>
        <v>107.38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37"/>
        <v>43309.208333333328</v>
      </c>
      <c r="O641" s="7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9"/>
        <v>76.92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si="37"/>
        <v>42387.25</v>
      </c>
      <c r="O642" s="7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3.75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ROUND((E643/D643)*100,0)</f>
        <v>120</v>
      </c>
      <c r="G643" t="s">
        <v>20</v>
      </c>
      <c r="H643">
        <v>194</v>
      </c>
      <c r="I643">
        <f t="shared" si="39"/>
        <v>58.13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ref="N643:N706" si="41">(((L643/60)/60)/24)+DATE(1970,1,1)</f>
        <v>42786.25</v>
      </c>
      <c r="O643" s="7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9.5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ref="I644:I707" si="43">ROUND(E644/H644,2)</f>
        <v>103.74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41"/>
        <v>43451.25</v>
      </c>
      <c r="O644" s="7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9.5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3"/>
        <v>87.96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41"/>
        <v>42795.25</v>
      </c>
      <c r="O645" s="7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si="41"/>
        <v>43452.25</v>
      </c>
      <c r="O646" s="7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3"/>
        <v>38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41"/>
        <v>43369.208333333328</v>
      </c>
      <c r="O647" s="7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3"/>
        <v>30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41"/>
        <v>41346.208333333336</v>
      </c>
      <c r="O648" s="7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41"/>
        <v>43199.208333333328</v>
      </c>
      <c r="O649" s="7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9.5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3"/>
        <v>85.99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41"/>
        <v>42922.208333333328</v>
      </c>
      <c r="O650" s="7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3"/>
        <v>98.01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41"/>
        <v>40471.208333333336</v>
      </c>
      <c r="O651" s="7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41"/>
        <v>41828.208333333336</v>
      </c>
      <c r="O652" s="7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3"/>
        <v>44.99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41"/>
        <v>41692.25</v>
      </c>
      <c r="O653" s="7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9.5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3"/>
        <v>31.01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41"/>
        <v>42587.208333333328</v>
      </c>
      <c r="O654" s="7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9.5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3"/>
        <v>59.97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41"/>
        <v>42468.208333333328</v>
      </c>
      <c r="O655" s="7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9.5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3"/>
        <v>59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41"/>
        <v>42240.208333333328</v>
      </c>
      <c r="O656" s="7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9.5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3"/>
        <v>50.05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41"/>
        <v>42796.25</v>
      </c>
      <c r="O657" s="7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3"/>
        <v>98.97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41"/>
        <v>43097.25</v>
      </c>
      <c r="O658" s="7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3"/>
        <v>58.86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41"/>
        <v>43096.25</v>
      </c>
      <c r="O659" s="7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9.5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3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41"/>
        <v>42246.208333333328</v>
      </c>
      <c r="O660" s="7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3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41"/>
        <v>40570.25</v>
      </c>
      <c r="O661" s="7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3"/>
        <v>96.6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41"/>
        <v>42237.208333333328</v>
      </c>
      <c r="O662" s="7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3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41"/>
        <v>40996.208333333336</v>
      </c>
      <c r="O663" s="7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3"/>
        <v>67.98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41"/>
        <v>43443.25</v>
      </c>
      <c r="O664" s="7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3"/>
        <v>88.78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41"/>
        <v>40458.208333333336</v>
      </c>
      <c r="O665" s="7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3"/>
        <v>25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41"/>
        <v>40959.25</v>
      </c>
      <c r="O666" s="7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9.5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3"/>
        <v>44.92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41"/>
        <v>40733.208333333336</v>
      </c>
      <c r="O667" s="7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9.5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41"/>
        <v>41516.208333333336</v>
      </c>
      <c r="O668" s="7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3.75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3"/>
        <v>29.01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41"/>
        <v>41892.208333333336</v>
      </c>
      <c r="O669" s="7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3"/>
        <v>73.59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41"/>
        <v>41122.208333333336</v>
      </c>
      <c r="O670" s="7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9.5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3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41"/>
        <v>42912.208333333328</v>
      </c>
      <c r="O671" s="7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3.75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3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41"/>
        <v>42425.25</v>
      </c>
      <c r="O672" s="7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3.75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3"/>
        <v>111.02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41"/>
        <v>40390.208333333336</v>
      </c>
      <c r="O673" s="7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3"/>
        <v>25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41"/>
        <v>43180.208333333328</v>
      </c>
      <c r="O674" s="7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3"/>
        <v>42.16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41"/>
        <v>42475.208333333328</v>
      </c>
      <c r="O675" s="7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9.5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3"/>
        <v>47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41"/>
        <v>40774.208333333336</v>
      </c>
      <c r="O676" s="7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9.5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3"/>
        <v>36.04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41"/>
        <v>43719.208333333328</v>
      </c>
      <c r="O677" s="7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9.5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3"/>
        <v>101.04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41"/>
        <v>41178.208333333336</v>
      </c>
      <c r="O678" s="7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3"/>
        <v>39.93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41"/>
        <v>42561.208333333328</v>
      </c>
      <c r="O679" s="7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9.5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3"/>
        <v>83.16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41"/>
        <v>43484.25</v>
      </c>
      <c r="O680" s="7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9.5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3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41"/>
        <v>43756.208333333328</v>
      </c>
      <c r="O681" s="7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3.7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3"/>
        <v>47.99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41"/>
        <v>43813.25</v>
      </c>
      <c r="O682" s="7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3"/>
        <v>95.98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41"/>
        <v>40898.25</v>
      </c>
      <c r="O683" s="7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9.5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3"/>
        <v>78.73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41"/>
        <v>41619.25</v>
      </c>
      <c r="O684" s="7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9.5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3"/>
        <v>56.08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41"/>
        <v>43359.208333333328</v>
      </c>
      <c r="O685" s="7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9.5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3"/>
        <v>69.09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41"/>
        <v>40358.208333333336</v>
      </c>
      <c r="O686" s="7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3"/>
        <v>102.05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41"/>
        <v>42239.208333333328</v>
      </c>
      <c r="O687" s="7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9.5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3"/>
        <v>107.32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41"/>
        <v>43186.208333333328</v>
      </c>
      <c r="O688" s="7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9.5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3"/>
        <v>51.97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41"/>
        <v>42806.25</v>
      </c>
      <c r="O689" s="7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9.5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3"/>
        <v>71.14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41"/>
        <v>43475.25</v>
      </c>
      <c r="O690" s="7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9.5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3"/>
        <v>106.49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41"/>
        <v>41576.208333333336</v>
      </c>
      <c r="O691" s="7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9.5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3"/>
        <v>42.94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41"/>
        <v>40874.25</v>
      </c>
      <c r="O692" s="7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9.5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3"/>
        <v>30.04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41"/>
        <v>41185.208333333336</v>
      </c>
      <c r="O693" s="7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3"/>
        <v>70.62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41"/>
        <v>43655.208333333328</v>
      </c>
      <c r="O694" s="7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3.7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3"/>
        <v>66.02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41"/>
        <v>43025.208333333328</v>
      </c>
      <c r="O695" s="7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3"/>
        <v>96.91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41"/>
        <v>43066.25</v>
      </c>
      <c r="O696" s="7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9.5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3"/>
        <v>62.87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41"/>
        <v>42322.25</v>
      </c>
      <c r="O697" s="7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3"/>
        <v>108.99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41"/>
        <v>42114.208333333328</v>
      </c>
      <c r="O698" s="7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19.5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3"/>
        <v>27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41"/>
        <v>43190.208333333328</v>
      </c>
      <c r="O699" s="7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9.5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3"/>
        <v>65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41"/>
        <v>40871.25</v>
      </c>
      <c r="O700" s="7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3"/>
        <v>111.52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41"/>
        <v>43641.208333333328</v>
      </c>
      <c r="O701" s="7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3.7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41"/>
        <v>40203.25</v>
      </c>
      <c r="O702" s="7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3.75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3"/>
        <v>110.99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41"/>
        <v>40629.208333333336</v>
      </c>
      <c r="O703" s="7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3.7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3"/>
        <v>56.75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41"/>
        <v>41477.208333333336</v>
      </c>
      <c r="O704" s="7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9.5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3"/>
        <v>97.02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41"/>
        <v>41020.208333333336</v>
      </c>
      <c r="O705" s="7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3.75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3"/>
        <v>92.09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si="41"/>
        <v>42555.208333333328</v>
      </c>
      <c r="O706" s="7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ROUND((E707/D707)*100,0)</f>
        <v>99</v>
      </c>
      <c r="G707" t="s">
        <v>14</v>
      </c>
      <c r="H707">
        <v>2025</v>
      </c>
      <c r="I707">
        <f t="shared" si="43"/>
        <v>82.99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ref="N707:N770" si="45">(((L707/60)/60)/24)+DATE(1970,1,1)</f>
        <v>41619.25</v>
      </c>
      <c r="O707" s="7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3.75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ref="I708:I771" si="47">ROUND(E708/H708,2)</f>
        <v>103.04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45"/>
        <v>43471.25</v>
      </c>
      <c r="O708" s="7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3.75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7"/>
        <v>68.92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45"/>
        <v>43442.25</v>
      </c>
      <c r="O709" s="7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9.5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7"/>
        <v>87.74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si="45"/>
        <v>42877.208333333328</v>
      </c>
      <c r="O710" s="7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9.5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45"/>
        <v>41018.208333333336</v>
      </c>
      <c r="O711" s="7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3.75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7"/>
        <v>50.86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45"/>
        <v>43295.208333333328</v>
      </c>
      <c r="O712" s="7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3.7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45"/>
        <v>42393.25</v>
      </c>
      <c r="O713" s="7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3.75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45"/>
        <v>42559.208333333328</v>
      </c>
      <c r="O714" s="7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9.5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7"/>
        <v>108.49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45"/>
        <v>42604.208333333328</v>
      </c>
      <c r="O715" s="7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9.5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7"/>
        <v>101.98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45"/>
        <v>41870.208333333336</v>
      </c>
      <c r="O716" s="7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7"/>
        <v>44.01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45"/>
        <v>40397.208333333336</v>
      </c>
      <c r="O717" s="7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9.5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7"/>
        <v>65.94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45"/>
        <v>41465.208333333336</v>
      </c>
      <c r="O718" s="7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3.75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7"/>
        <v>24.99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45"/>
        <v>40777.208333333336</v>
      </c>
      <c r="O719" s="7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9.5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7"/>
        <v>28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45"/>
        <v>41442.208333333336</v>
      </c>
      <c r="O720" s="7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9.5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7"/>
        <v>85.83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45"/>
        <v>41058.208333333336</v>
      </c>
      <c r="O721" s="7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3.7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7"/>
        <v>84.92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45"/>
        <v>43152.25</v>
      </c>
      <c r="O722" s="7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9.5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7"/>
        <v>90.48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45"/>
        <v>43194.208333333328</v>
      </c>
      <c r="O723" s="7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9.5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7"/>
        <v>25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45"/>
        <v>43045.25</v>
      </c>
      <c r="O724" s="7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9.5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7"/>
        <v>92.01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45"/>
        <v>42431.25</v>
      </c>
      <c r="O725" s="7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3.75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7"/>
        <v>93.07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45"/>
        <v>41934.208333333336</v>
      </c>
      <c r="O726" s="7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7"/>
        <v>61.01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45"/>
        <v>41958.25</v>
      </c>
      <c r="O727" s="7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9.5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7"/>
        <v>92.04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45"/>
        <v>40476.208333333336</v>
      </c>
      <c r="O728" s="7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9.5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7"/>
        <v>81.13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45"/>
        <v>43485.25</v>
      </c>
      <c r="O729" s="7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3.7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45"/>
        <v>42515.208333333328</v>
      </c>
      <c r="O730" s="7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3.75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7"/>
        <v>85.22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45"/>
        <v>41309.25</v>
      </c>
      <c r="O731" s="7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9.5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7"/>
        <v>110.97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45"/>
        <v>42147.208333333328</v>
      </c>
      <c r="O732" s="7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9.5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7"/>
        <v>32.97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45"/>
        <v>42939.208333333328</v>
      </c>
      <c r="O733" s="7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7"/>
        <v>96.01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45"/>
        <v>42816.208333333328</v>
      </c>
      <c r="O734" s="7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9.5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7"/>
        <v>84.97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45"/>
        <v>41844.208333333336</v>
      </c>
      <c r="O735" s="7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9.5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7"/>
        <v>25.01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45"/>
        <v>42763.25</v>
      </c>
      <c r="O736" s="7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3.75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7"/>
        <v>66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45"/>
        <v>42459.208333333328</v>
      </c>
      <c r="O737" s="7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9.5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7"/>
        <v>87.34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45"/>
        <v>42055.25</v>
      </c>
      <c r="O738" s="7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3.75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7"/>
        <v>27.93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45"/>
        <v>42685.25</v>
      </c>
      <c r="O739" s="7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45"/>
        <v>41959.25</v>
      </c>
      <c r="O740" s="7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7"/>
        <v>31.94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45"/>
        <v>41089.208333333336</v>
      </c>
      <c r="O741" s="7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45"/>
        <v>42769.25</v>
      </c>
      <c r="O742" s="7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9.5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7"/>
        <v>108.85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45"/>
        <v>40321.208333333336</v>
      </c>
      <c r="O743" s="7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9.5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7"/>
        <v>110.76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45"/>
        <v>40197.25</v>
      </c>
      <c r="O744" s="7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3.7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7"/>
        <v>29.65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45"/>
        <v>42298.208333333328</v>
      </c>
      <c r="O745" s="7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9.5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7"/>
        <v>101.71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45"/>
        <v>43322.208333333328</v>
      </c>
      <c r="O746" s="7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3.7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45"/>
        <v>40328.208333333336</v>
      </c>
      <c r="O747" s="7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9.5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45"/>
        <v>40825.208333333336</v>
      </c>
      <c r="O748" s="7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9.5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45"/>
        <v>40423.208333333336</v>
      </c>
      <c r="O749" s="7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9.5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7"/>
        <v>110.97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45"/>
        <v>40238.25</v>
      </c>
      <c r="O750" s="7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9.5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45"/>
        <v>41920.208333333336</v>
      </c>
      <c r="O751" s="7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45"/>
        <v>40360.208333333336</v>
      </c>
      <c r="O752" s="7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9.5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7"/>
        <v>30.97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45"/>
        <v>42446.208333333328</v>
      </c>
      <c r="O753" s="7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9.5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7"/>
        <v>47.04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45"/>
        <v>40395.208333333336</v>
      </c>
      <c r="O754" s="7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9.5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7"/>
        <v>88.07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45"/>
        <v>40321.208333333336</v>
      </c>
      <c r="O755" s="7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9.5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7"/>
        <v>37.01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45"/>
        <v>41210.208333333336</v>
      </c>
      <c r="O756" s="7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9.5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7"/>
        <v>26.03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45"/>
        <v>43096.25</v>
      </c>
      <c r="O757" s="7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19.5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45"/>
        <v>42024.25</v>
      </c>
      <c r="O758" s="7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9.5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7"/>
        <v>49.96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45"/>
        <v>40675.208333333336</v>
      </c>
      <c r="O759" s="7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9.5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7"/>
        <v>110.02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45"/>
        <v>41936.208333333336</v>
      </c>
      <c r="O760" s="7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3.7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7"/>
        <v>89.96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45"/>
        <v>43136.25</v>
      </c>
      <c r="O761" s="7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45"/>
        <v>43678.208333333328</v>
      </c>
      <c r="O762" s="7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9.5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7"/>
        <v>86.87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45"/>
        <v>42938.208333333328</v>
      </c>
      <c r="O763" s="7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9.5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45"/>
        <v>41241.25</v>
      </c>
      <c r="O764" s="7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9.5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7"/>
        <v>26.97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45"/>
        <v>41037.208333333336</v>
      </c>
      <c r="O765" s="7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3.75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7"/>
        <v>54.12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45"/>
        <v>40676.208333333336</v>
      </c>
      <c r="O766" s="7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9.5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7"/>
        <v>41.04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45"/>
        <v>42840.208333333328</v>
      </c>
      <c r="O767" s="7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3.7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7"/>
        <v>55.05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45"/>
        <v>43362.208333333328</v>
      </c>
      <c r="O768" s="7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7"/>
        <v>107.94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45"/>
        <v>42283.208333333328</v>
      </c>
      <c r="O769" s="7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9.5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si="45"/>
        <v>41619.25</v>
      </c>
      <c r="O770" s="7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ROUND((E771/D771)*100,0)</f>
        <v>87</v>
      </c>
      <c r="G771" t="s">
        <v>14</v>
      </c>
      <c r="H771">
        <v>3410</v>
      </c>
      <c r="I771">
        <f t="shared" si="47"/>
        <v>32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ref="N771:N834" si="49">(((L771/60)/60)/24)+DATE(1970,1,1)</f>
        <v>41501.208333333336</v>
      </c>
      <c r="O771" s="7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9.5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ref="I772:I835" si="51">ROUND(E772/H772,2)</f>
        <v>53.9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49"/>
        <v>41743.208333333336</v>
      </c>
      <c r="O772" s="7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9.5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49"/>
        <v>43491.25</v>
      </c>
      <c r="O773" s="7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9.5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51"/>
        <v>33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si="49"/>
        <v>43505.25</v>
      </c>
      <c r="O774" s="7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9.5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51"/>
        <v>43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49"/>
        <v>42838.208333333328</v>
      </c>
      <c r="O775" s="7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9.5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51"/>
        <v>86.86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49"/>
        <v>42513.208333333328</v>
      </c>
      <c r="O776" s="7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3.7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49"/>
        <v>41949.25</v>
      </c>
      <c r="O777" s="7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51"/>
        <v>33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49"/>
        <v>43650.208333333328</v>
      </c>
      <c r="O778" s="7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51"/>
        <v>68.03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49"/>
        <v>40809.208333333336</v>
      </c>
      <c r="O779" s="7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9.5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51"/>
        <v>58.87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49"/>
        <v>40768.208333333336</v>
      </c>
      <c r="O780" s="7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51"/>
        <v>105.05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49"/>
        <v>42230.208333333328</v>
      </c>
      <c r="O781" s="7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19.5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51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49"/>
        <v>42573.208333333328</v>
      </c>
      <c r="O782" s="7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9.5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51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49"/>
        <v>40482.208333333336</v>
      </c>
      <c r="O783" s="7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9.5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51"/>
        <v>68.2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49"/>
        <v>40603.25</v>
      </c>
      <c r="O784" s="7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9.5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51"/>
        <v>75.73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49"/>
        <v>41625.25</v>
      </c>
      <c r="O785" s="7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9.5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51"/>
        <v>31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49"/>
        <v>42435.25</v>
      </c>
      <c r="O786" s="7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3.75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51"/>
        <v>101.88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49"/>
        <v>43582.208333333328</v>
      </c>
      <c r="O787" s="7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9.5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51"/>
        <v>52.88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49"/>
        <v>43186.208333333328</v>
      </c>
      <c r="O788" s="7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51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49"/>
        <v>40684.208333333336</v>
      </c>
      <c r="O789" s="7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9.5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51"/>
        <v>102.39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49"/>
        <v>41202.208333333336</v>
      </c>
      <c r="O790" s="7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51"/>
        <v>74.47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49"/>
        <v>41786.208333333336</v>
      </c>
      <c r="O791" s="7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9.5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51"/>
        <v>51.01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49"/>
        <v>40223.25</v>
      </c>
      <c r="O792" s="7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49"/>
        <v>42715.25</v>
      </c>
      <c r="O793" s="7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51"/>
        <v>97.14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49"/>
        <v>41451.208333333336</v>
      </c>
      <c r="O794" s="7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9.5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51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49"/>
        <v>41450.208333333336</v>
      </c>
      <c r="O795" s="7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9.5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51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49"/>
        <v>43091.25</v>
      </c>
      <c r="O796" s="7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3.7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51"/>
        <v>32.97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49"/>
        <v>42675.208333333328</v>
      </c>
      <c r="O797" s="7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51"/>
        <v>54.81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49"/>
        <v>41859.208333333336</v>
      </c>
      <c r="O798" s="7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9.5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51"/>
        <v>45.04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49"/>
        <v>43464.25</v>
      </c>
      <c r="O799" s="7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9.5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51"/>
        <v>52.96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49"/>
        <v>41060.208333333336</v>
      </c>
      <c r="O800" s="7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51"/>
        <v>60.02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49"/>
        <v>42399.25</v>
      </c>
      <c r="O801" s="7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49"/>
        <v>42167.208333333328</v>
      </c>
      <c r="O802" s="7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9.5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51"/>
        <v>44.03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49"/>
        <v>43830.25</v>
      </c>
      <c r="O803" s="7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3.75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51"/>
        <v>86.03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49"/>
        <v>43650.208333333328</v>
      </c>
      <c r="O804" s="7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3.75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51"/>
        <v>28.01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49"/>
        <v>43492.25</v>
      </c>
      <c r="O805" s="7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9.5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51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49"/>
        <v>43102.25</v>
      </c>
      <c r="O806" s="7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3.7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51"/>
        <v>73.61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49"/>
        <v>41958.25</v>
      </c>
      <c r="O807" s="7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9.5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51"/>
        <v>108.71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49"/>
        <v>40973.25</v>
      </c>
      <c r="O808" s="7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9.5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51"/>
        <v>42.98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49"/>
        <v>43753.208333333328</v>
      </c>
      <c r="O809" s="7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51"/>
        <v>83.32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49"/>
        <v>42507.208333333328</v>
      </c>
      <c r="O810" s="7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49"/>
        <v>41135.208333333336</v>
      </c>
      <c r="O811" s="7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19.5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51"/>
        <v>55.93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49"/>
        <v>43067.25</v>
      </c>
      <c r="O812" s="7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51"/>
        <v>105.04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49"/>
        <v>42378.25</v>
      </c>
      <c r="O813" s="7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9.5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49"/>
        <v>43206.208333333328</v>
      </c>
      <c r="O814" s="7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9.5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51"/>
        <v>112.66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49"/>
        <v>41148.208333333336</v>
      </c>
      <c r="O815" s="7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51"/>
        <v>81.94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49"/>
        <v>42517.208333333328</v>
      </c>
      <c r="O816" s="7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3.75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51"/>
        <v>64.05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49"/>
        <v>43068.25</v>
      </c>
      <c r="O817" s="7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19.5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51"/>
        <v>106.39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49"/>
        <v>41680.25</v>
      </c>
      <c r="O818" s="7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9.5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51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49"/>
        <v>43589.208333333328</v>
      </c>
      <c r="O819" s="7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9.5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51"/>
        <v>111.07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49"/>
        <v>43486.25</v>
      </c>
      <c r="O820" s="7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3.7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51"/>
        <v>95.94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49"/>
        <v>41237.25</v>
      </c>
      <c r="O821" s="7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9.5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51"/>
        <v>43.04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49"/>
        <v>43310.208333333328</v>
      </c>
      <c r="O822" s="7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9.5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51"/>
        <v>67.97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49"/>
        <v>42794.25</v>
      </c>
      <c r="O823" s="7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9.5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51"/>
        <v>89.99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49"/>
        <v>41698.25</v>
      </c>
      <c r="O824" s="7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19.5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51"/>
        <v>58.1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49"/>
        <v>41892.208333333336</v>
      </c>
      <c r="O825" s="7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9.5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51"/>
        <v>84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49"/>
        <v>40348.208333333336</v>
      </c>
      <c r="O826" s="7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9.5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51"/>
        <v>88.85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49"/>
        <v>42941.208333333328</v>
      </c>
      <c r="O827" s="7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3.75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51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49"/>
        <v>40525.25</v>
      </c>
      <c r="O828" s="7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3.75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51"/>
        <v>74.8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49"/>
        <v>40666.208333333336</v>
      </c>
      <c r="O829" s="7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51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49"/>
        <v>43340.208333333328</v>
      </c>
      <c r="O830" s="7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51"/>
        <v>32.01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49"/>
        <v>42164.208333333328</v>
      </c>
      <c r="O831" s="7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51"/>
        <v>64.73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49"/>
        <v>43103.25</v>
      </c>
      <c r="O832" s="7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3.75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51"/>
        <v>25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49"/>
        <v>40994.208333333336</v>
      </c>
      <c r="O833" s="7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9.5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51"/>
        <v>104.98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si="49"/>
        <v>42299.208333333328</v>
      </c>
      <c r="O834" s="7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9.5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ROUND((E835/D835)*100,0)</f>
        <v>158</v>
      </c>
      <c r="G835" t="s">
        <v>20</v>
      </c>
      <c r="H835">
        <v>165</v>
      </c>
      <c r="I835">
        <f t="shared" si="51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ref="N835:N898" si="53">(((L835/60)/60)/24)+DATE(1970,1,1)</f>
        <v>40588.25</v>
      </c>
      <c r="O835" s="7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9.5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ref="I836:I899" si="55">ROUND(E836/H836,2)</f>
        <v>94.35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53"/>
        <v>41448.208333333336</v>
      </c>
      <c r="O836" s="7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5"/>
        <v>44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53"/>
        <v>42063.25</v>
      </c>
      <c r="O837" s="7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5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si="53"/>
        <v>40214.25</v>
      </c>
      <c r="O838" s="7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9.5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5"/>
        <v>84.01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53"/>
        <v>40629.208333333336</v>
      </c>
      <c r="O839" s="7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9.5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5"/>
        <v>34.06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53"/>
        <v>43370.208333333328</v>
      </c>
      <c r="O840" s="7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9.5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5"/>
        <v>93.27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53"/>
        <v>41715.208333333336</v>
      </c>
      <c r="O841" s="7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9.5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5"/>
        <v>33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53"/>
        <v>41836.208333333336</v>
      </c>
      <c r="O842" s="7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9.5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5"/>
        <v>83.81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53"/>
        <v>42419.25</v>
      </c>
      <c r="O843" s="7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3.75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5"/>
        <v>63.99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53"/>
        <v>43266.208333333328</v>
      </c>
      <c r="O844" s="7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3.7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5"/>
        <v>81.91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53"/>
        <v>43338.208333333328</v>
      </c>
      <c r="O845" s="7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9.5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5"/>
        <v>93.05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53"/>
        <v>40930.25</v>
      </c>
      <c r="O846" s="7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9.5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5"/>
        <v>101.98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53"/>
        <v>43235.208333333328</v>
      </c>
      <c r="O847" s="7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9.5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5"/>
        <v>105.94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53"/>
        <v>43302.208333333328</v>
      </c>
      <c r="O848" s="7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9.5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5"/>
        <v>101.58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53"/>
        <v>43107.25</v>
      </c>
      <c r="O849" s="7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9.5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5"/>
        <v>62.97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53"/>
        <v>40341.208333333336</v>
      </c>
      <c r="O850" s="7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9.5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5"/>
        <v>29.05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53"/>
        <v>40948.25</v>
      </c>
      <c r="O851" s="7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53"/>
        <v>40866.25</v>
      </c>
      <c r="O852" s="7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3.75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5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53"/>
        <v>41031.208333333336</v>
      </c>
      <c r="O853" s="7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5"/>
        <v>80.81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53"/>
        <v>40740.208333333336</v>
      </c>
      <c r="O854" s="7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9.5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5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53"/>
        <v>40714.208333333336</v>
      </c>
      <c r="O855" s="7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19.5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5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53"/>
        <v>43787.25</v>
      </c>
      <c r="O856" s="7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9.5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53"/>
        <v>40712.208333333336</v>
      </c>
      <c r="O857" s="7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9.5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5"/>
        <v>54.16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53"/>
        <v>41023.208333333336</v>
      </c>
      <c r="O858" s="7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3.75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5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53"/>
        <v>40944.25</v>
      </c>
      <c r="O859" s="7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3.7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5"/>
        <v>79.37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53"/>
        <v>43211.208333333328</v>
      </c>
      <c r="O860" s="7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3.7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5"/>
        <v>41.17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53"/>
        <v>41334.25</v>
      </c>
      <c r="O861" s="7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3.75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5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53"/>
        <v>43515.25</v>
      </c>
      <c r="O862" s="7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9.5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5"/>
        <v>57.16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53"/>
        <v>40258.208333333336</v>
      </c>
      <c r="O863" s="7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9.5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5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53"/>
        <v>40756.208333333336</v>
      </c>
      <c r="O864" s="7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9.5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5"/>
        <v>24.95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53"/>
        <v>42172.208333333328</v>
      </c>
      <c r="O865" s="7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9.5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53"/>
        <v>42601.208333333328</v>
      </c>
      <c r="O866" s="7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9.5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5"/>
        <v>46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53"/>
        <v>41897.208333333336</v>
      </c>
      <c r="O867" s="7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9.5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5"/>
        <v>88.02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53"/>
        <v>40671.208333333336</v>
      </c>
      <c r="O868" s="7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3.75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53"/>
        <v>43382.208333333328</v>
      </c>
      <c r="O869" s="7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9.5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5"/>
        <v>102.69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53"/>
        <v>41559.208333333336</v>
      </c>
      <c r="O870" s="7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5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53"/>
        <v>40350.208333333336</v>
      </c>
      <c r="O871" s="7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5"/>
        <v>57.19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53"/>
        <v>42240.208333333328</v>
      </c>
      <c r="O872" s="7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3.75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5"/>
        <v>84.01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53"/>
        <v>43040.208333333328</v>
      </c>
      <c r="O873" s="7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9.5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5"/>
        <v>98.67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53"/>
        <v>43346.208333333328</v>
      </c>
      <c r="O874" s="7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9.5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5"/>
        <v>42.01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53"/>
        <v>41647.25</v>
      </c>
      <c r="O875" s="7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9.5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5"/>
        <v>32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53"/>
        <v>40291.208333333336</v>
      </c>
      <c r="O876" s="7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5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53"/>
        <v>40556.25</v>
      </c>
      <c r="O877" s="7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3.7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5"/>
        <v>37.04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53"/>
        <v>43624.208333333328</v>
      </c>
      <c r="O878" s="7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5"/>
        <v>103.03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53"/>
        <v>42577.208333333328</v>
      </c>
      <c r="O879" s="7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5"/>
        <v>84.33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53"/>
        <v>43845.25</v>
      </c>
      <c r="O880" s="7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9.5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5"/>
        <v>102.6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53"/>
        <v>42788.25</v>
      </c>
      <c r="O881" s="7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9.5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5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53"/>
        <v>43667.208333333328</v>
      </c>
      <c r="O882" s="7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5"/>
        <v>70.06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53"/>
        <v>42194.208333333328</v>
      </c>
      <c r="O883" s="7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9.5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53"/>
        <v>42025.25</v>
      </c>
      <c r="O884" s="7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3.75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5"/>
        <v>41.91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53"/>
        <v>40323.208333333336</v>
      </c>
      <c r="O885" s="7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5"/>
        <v>57.99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53"/>
        <v>41763.208333333336</v>
      </c>
      <c r="O886" s="7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9.5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5"/>
        <v>40.94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53"/>
        <v>40335.208333333336</v>
      </c>
      <c r="O887" s="7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5"/>
        <v>70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53"/>
        <v>40416.208333333336</v>
      </c>
      <c r="O888" s="7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3.7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5"/>
        <v>73.84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53"/>
        <v>42202.208333333328</v>
      </c>
      <c r="O889" s="7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3.75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5"/>
        <v>41.98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53"/>
        <v>42836.208333333328</v>
      </c>
      <c r="O890" s="7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9.5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5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53"/>
        <v>41710.208333333336</v>
      </c>
      <c r="O891" s="7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9.5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5"/>
        <v>106.02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53"/>
        <v>43640.208333333328</v>
      </c>
      <c r="O892" s="7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3.75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5"/>
        <v>47.02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53"/>
        <v>40880.25</v>
      </c>
      <c r="O893" s="7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9.5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5"/>
        <v>76.02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53"/>
        <v>40319.208333333336</v>
      </c>
      <c r="O894" s="7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9.5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5"/>
        <v>54.12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53"/>
        <v>42170.208333333328</v>
      </c>
      <c r="O895" s="7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9.5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5"/>
        <v>57.29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53"/>
        <v>41466.208333333336</v>
      </c>
      <c r="O896" s="7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3.7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5"/>
        <v>103.81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53"/>
        <v>43134.25</v>
      </c>
      <c r="O897" s="7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3.75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5"/>
        <v>105.03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si="53"/>
        <v>40738.208333333336</v>
      </c>
      <c r="O898" s="7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ROUND((E899/D899)*100,0)</f>
        <v>28</v>
      </c>
      <c r="G899" t="s">
        <v>14</v>
      </c>
      <c r="H899">
        <v>27</v>
      </c>
      <c r="I899">
        <f t="shared" si="55"/>
        <v>90.26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ref="N899:N962" si="57">(((L899/60)/60)/24)+DATE(1970,1,1)</f>
        <v>43583.208333333328</v>
      </c>
      <c r="O899" s="7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ref="I900:I963" si="59">ROUND(E900/H900,2)</f>
        <v>76.98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57"/>
        <v>43815.25</v>
      </c>
      <c r="O900" s="7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9.5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9"/>
        <v>102.6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57"/>
        <v>41554.208333333336</v>
      </c>
      <c r="O901" s="7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si="57"/>
        <v>41901.208333333336</v>
      </c>
      <c r="O902" s="7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9.5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9"/>
        <v>55.01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57"/>
        <v>43298.208333333328</v>
      </c>
      <c r="O903" s="7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9.5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57"/>
        <v>42399.25</v>
      </c>
      <c r="O904" s="7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3.7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9"/>
        <v>50.64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57"/>
        <v>41034.208333333336</v>
      </c>
      <c r="O905" s="7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9"/>
        <v>49.69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57"/>
        <v>41186.208333333336</v>
      </c>
      <c r="O906" s="7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9.5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9"/>
        <v>54.89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57"/>
        <v>41536.208333333336</v>
      </c>
      <c r="O907" s="7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3.75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9"/>
        <v>46.93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57"/>
        <v>42868.208333333328</v>
      </c>
      <c r="O908" s="7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9"/>
        <v>44.95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57"/>
        <v>40660.208333333336</v>
      </c>
      <c r="O909" s="7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9.5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9"/>
        <v>31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57"/>
        <v>41031.208333333336</v>
      </c>
      <c r="O910" s="7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9.5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9"/>
        <v>107.76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57"/>
        <v>43255.208333333328</v>
      </c>
      <c r="O911" s="7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9.5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9"/>
        <v>102.08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57"/>
        <v>42026.25</v>
      </c>
      <c r="O912" s="7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9.5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9"/>
        <v>24.98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57"/>
        <v>43717.208333333328</v>
      </c>
      <c r="O913" s="7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9.5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9"/>
        <v>79.94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57"/>
        <v>41157.208333333336</v>
      </c>
      <c r="O914" s="7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9"/>
        <v>67.95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57"/>
        <v>43597.208333333328</v>
      </c>
      <c r="O915" s="7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9"/>
        <v>26.07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57"/>
        <v>41490.208333333336</v>
      </c>
      <c r="O916" s="7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9.5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9"/>
        <v>105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57"/>
        <v>42976.208333333328</v>
      </c>
      <c r="O917" s="7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3.7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9"/>
        <v>25.83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57"/>
        <v>41991.25</v>
      </c>
      <c r="O918" s="7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9.5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9"/>
        <v>77.67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57"/>
        <v>40722.208333333336</v>
      </c>
      <c r="O919" s="7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9.5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9"/>
        <v>57.83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57"/>
        <v>41117.208333333336</v>
      </c>
      <c r="O920" s="7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9"/>
        <v>92.96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57"/>
        <v>43022.208333333328</v>
      </c>
      <c r="O921" s="7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9.5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57"/>
        <v>43503.25</v>
      </c>
      <c r="O922" s="7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9"/>
        <v>31.84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57"/>
        <v>40951.25</v>
      </c>
      <c r="O923" s="7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9.5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57"/>
        <v>43443.25</v>
      </c>
      <c r="O924" s="7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9.5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57"/>
        <v>40373.208333333336</v>
      </c>
      <c r="O925" s="7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9.5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57"/>
        <v>43769.208333333328</v>
      </c>
      <c r="O926" s="7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3.75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9"/>
        <v>103.42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57"/>
        <v>43000.208333333328</v>
      </c>
      <c r="O927" s="7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9"/>
        <v>105.13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57"/>
        <v>42502.208333333328</v>
      </c>
      <c r="O928" s="7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9"/>
        <v>89.22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57"/>
        <v>41102.208333333336</v>
      </c>
      <c r="O929" s="7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9.5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9"/>
        <v>52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57"/>
        <v>41637.25</v>
      </c>
      <c r="O930" s="7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9.5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57"/>
        <v>42858.208333333328</v>
      </c>
      <c r="O931" s="7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9.5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9"/>
        <v>46.24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57"/>
        <v>42060.25</v>
      </c>
      <c r="O932" s="7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9"/>
        <v>51.15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57"/>
        <v>41818.208333333336</v>
      </c>
      <c r="O933" s="7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9.5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57"/>
        <v>41709.208333333336</v>
      </c>
      <c r="O934" s="7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9.5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9"/>
        <v>92.02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57"/>
        <v>41372.208333333336</v>
      </c>
      <c r="O935" s="7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9.5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9"/>
        <v>107.43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57"/>
        <v>42422.25</v>
      </c>
      <c r="O936" s="7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3.75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57"/>
        <v>42209.208333333328</v>
      </c>
      <c r="O937" s="7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9"/>
        <v>80.48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57"/>
        <v>43668.208333333328</v>
      </c>
      <c r="O938" s="7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9.5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9"/>
        <v>86.98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57"/>
        <v>42334.25</v>
      </c>
      <c r="O939" s="7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9.5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9"/>
        <v>105.14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57"/>
        <v>43263.208333333328</v>
      </c>
      <c r="O940" s="7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9"/>
        <v>57.3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57"/>
        <v>40670.208333333336</v>
      </c>
      <c r="O941" s="7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9.5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9"/>
        <v>93.35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57"/>
        <v>41244.25</v>
      </c>
      <c r="O942" s="7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57"/>
        <v>40552.25</v>
      </c>
      <c r="O943" s="7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9"/>
        <v>92.61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57"/>
        <v>40568.25</v>
      </c>
      <c r="O944" s="7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9.5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9"/>
        <v>104.99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57"/>
        <v>41906.208333333336</v>
      </c>
      <c r="O945" s="7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9"/>
        <v>30.96</v>
      </c>
      <c r="J946" t="s">
        <v>26</v>
      </c>
      <c r="K946" t="s">
        <v>27</v>
      </c>
      <c r="L946">
        <v>1486706400</v>
      </c>
      <c r="M946">
        <v>1488348000</v>
      </c>
      <c r="N946" s="7">
        <f t="shared" si="57"/>
        <v>42776.25</v>
      </c>
      <c r="O946" s="7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9"/>
        <v>33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57"/>
        <v>41004.208333333336</v>
      </c>
      <c r="O947" s="7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3.7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9"/>
        <v>84.19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57"/>
        <v>40710.208333333336</v>
      </c>
      <c r="O948" s="7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9"/>
        <v>73.92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57"/>
        <v>41908.208333333336</v>
      </c>
      <c r="O949" s="7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9.5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9"/>
        <v>36.99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57"/>
        <v>41985.25</v>
      </c>
      <c r="O950" s="7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3.75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9"/>
        <v>46.9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57"/>
        <v>42112.208333333328</v>
      </c>
      <c r="O951" s="7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57"/>
        <v>43571.208333333328</v>
      </c>
      <c r="O952" s="7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9.5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9"/>
        <v>102.02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57"/>
        <v>42730.25</v>
      </c>
      <c r="O953" s="7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9.5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9"/>
        <v>45.01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57"/>
        <v>42591.208333333328</v>
      </c>
      <c r="O954" s="7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3.7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9"/>
        <v>94.29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57"/>
        <v>42358.25</v>
      </c>
      <c r="O955" s="7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9.5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9"/>
        <v>101.02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57"/>
        <v>41174.208333333336</v>
      </c>
      <c r="O956" s="7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3.75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9"/>
        <v>97.04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57"/>
        <v>41238.25</v>
      </c>
      <c r="O957" s="7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9"/>
        <v>43.01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57"/>
        <v>42360.25</v>
      </c>
      <c r="O958" s="7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9.5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9"/>
        <v>94.92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57"/>
        <v>40955.25</v>
      </c>
      <c r="O959" s="7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3.7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57"/>
        <v>40350.208333333336</v>
      </c>
      <c r="O960" s="7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9"/>
        <v>51.01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57"/>
        <v>40357.208333333336</v>
      </c>
      <c r="O961" s="7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9"/>
        <v>85.05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si="57"/>
        <v>42408.25</v>
      </c>
      <c r="O962" s="7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19.5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ROUND((E963/D963)*100,0)</f>
        <v>119</v>
      </c>
      <c r="G963" t="s">
        <v>20</v>
      </c>
      <c r="H963">
        <v>155</v>
      </c>
      <c r="I963">
        <f t="shared" si="59"/>
        <v>43.87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ref="N963:N1001" si="61">(((L963/60)/60)/24)+DATE(1970,1,1)</f>
        <v>40591.25</v>
      </c>
      <c r="O963" s="7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9.5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ref="I964:I1001" si="63">ROUND(E964/H964,2)</f>
        <v>40.06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si="61"/>
        <v>41592.25</v>
      </c>
      <c r="O964" s="7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3"/>
        <v>43.83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61"/>
        <v>40607.25</v>
      </c>
      <c r="O965" s="7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9.5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3"/>
        <v>84.93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si="61"/>
        <v>42135.208333333328</v>
      </c>
      <c r="O966" s="7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9.5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3"/>
        <v>41.07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61"/>
        <v>40203.25</v>
      </c>
      <c r="O967" s="7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9.5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3"/>
        <v>54.97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61"/>
        <v>42901.208333333328</v>
      </c>
      <c r="O968" s="7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9.5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3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61"/>
        <v>41005.208333333336</v>
      </c>
      <c r="O969" s="7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3.75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3"/>
        <v>71.2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61"/>
        <v>40544.25</v>
      </c>
      <c r="O970" s="7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9.5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3"/>
        <v>91.94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61"/>
        <v>43821.25</v>
      </c>
      <c r="O971" s="7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3.7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3"/>
        <v>97.07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61"/>
        <v>40672.208333333336</v>
      </c>
      <c r="O972" s="7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3"/>
        <v>58.92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61"/>
        <v>41555.208333333336</v>
      </c>
      <c r="O973" s="7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3.75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3"/>
        <v>58.02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61"/>
        <v>41792.208333333336</v>
      </c>
      <c r="O974" s="7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3"/>
        <v>103.87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61"/>
        <v>40522.25</v>
      </c>
      <c r="O975" s="7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9.5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3"/>
        <v>93.47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61"/>
        <v>41412.208333333336</v>
      </c>
      <c r="O976" s="7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9.5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3"/>
        <v>61.97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61"/>
        <v>42337.25</v>
      </c>
      <c r="O977" s="7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3.75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3"/>
        <v>92.04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61"/>
        <v>40571.25</v>
      </c>
      <c r="O978" s="7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3"/>
        <v>77.27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61"/>
        <v>43138.25</v>
      </c>
      <c r="O979" s="7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9.5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3"/>
        <v>93.92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61"/>
        <v>42686.25</v>
      </c>
      <c r="O980" s="7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9.5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3"/>
        <v>84.97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61"/>
        <v>42078.208333333328</v>
      </c>
      <c r="O981" s="7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3"/>
        <v>105.97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61"/>
        <v>42307.208333333328</v>
      </c>
      <c r="O982" s="7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9.5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3"/>
        <v>36.97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61"/>
        <v>43094.25</v>
      </c>
      <c r="O983" s="7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3"/>
        <v>81.53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61"/>
        <v>40743.208333333336</v>
      </c>
      <c r="O984" s="7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9.5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3"/>
        <v>81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61"/>
        <v>43681.208333333328</v>
      </c>
      <c r="O985" s="7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3.75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3"/>
        <v>26.01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61"/>
        <v>43716.208333333328</v>
      </c>
      <c r="O986" s="7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3"/>
        <v>26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61"/>
        <v>41614.25</v>
      </c>
      <c r="O987" s="7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3"/>
        <v>34.17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61"/>
        <v>40638.208333333336</v>
      </c>
      <c r="O988" s="7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9.5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3"/>
        <v>28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61"/>
        <v>42852.208333333328</v>
      </c>
      <c r="O989" s="7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3"/>
        <v>76.55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61"/>
        <v>42686.25</v>
      </c>
      <c r="O990" s="7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9.5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3"/>
        <v>53.05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61"/>
        <v>43571.208333333328</v>
      </c>
      <c r="O991" s="7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3"/>
        <v>106.86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61"/>
        <v>42432.25</v>
      </c>
      <c r="O992" s="7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9.5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3"/>
        <v>46.02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61"/>
        <v>41907.208333333336</v>
      </c>
      <c r="O993" s="7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9.5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3"/>
        <v>100.17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61"/>
        <v>43227.208333333328</v>
      </c>
      <c r="O994" s="7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9.5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61"/>
        <v>42362.25</v>
      </c>
      <c r="O995" s="7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3"/>
        <v>87.97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61"/>
        <v>41929.208333333336</v>
      </c>
      <c r="O996" s="7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9.5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3"/>
        <v>75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61"/>
        <v>43408.208333333328</v>
      </c>
      <c r="O997" s="7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3.7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3"/>
        <v>42.98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61"/>
        <v>41276.25</v>
      </c>
      <c r="O998" s="7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9.5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3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61"/>
        <v>41659.25</v>
      </c>
      <c r="O999" s="7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3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61"/>
        <v>40220.25</v>
      </c>
      <c r="O1000" s="7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9.5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3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61"/>
        <v>42550.208333333328</v>
      </c>
      <c r="O1001" s="7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G1:G1048576">
    <cfRule type="containsText" dxfId="19" priority="3" operator="containsText" text="live">
      <formula>NOT(ISERROR(SEARCH("live",G1)))</formula>
    </cfRule>
    <cfRule type="containsText" dxfId="18" priority="4" operator="containsText" text="canceled">
      <formula>NOT(ISERROR(SEARCH("canceled",G1)))</formula>
    </cfRule>
    <cfRule type="containsText" dxfId="17" priority="5" operator="containsText" text="successful">
      <formula>NOT(ISERROR(SEARCH("successful",G1)))</formula>
    </cfRule>
    <cfRule type="containsText" dxfId="16" priority="6" operator="containsText" text="failed">
      <formula>NOT(ISERROR(SEARCH("failed",G1)))</formula>
    </cfRule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theme="9" tint="0.39997558519241921"/>
        <color theme="4" tint="0.39997558519241921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CC54-7B78-4EED-943D-8D6915B39997}">
  <dimension ref="A1:F14"/>
  <sheetViews>
    <sheetView workbookViewId="0">
      <selection activeCell="K20" sqref="K2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4" t="s">
        <v>6</v>
      </c>
      <c r="B1" t="s">
        <v>2070</v>
      </c>
    </row>
    <row r="3" spans="1:6" x14ac:dyDescent="0.25">
      <c r="A3" s="4" t="s">
        <v>2068</v>
      </c>
      <c r="B3" s="4" t="s">
        <v>2069</v>
      </c>
    </row>
    <row r="4" spans="1:6" x14ac:dyDescent="0.25">
      <c r="A4" s="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5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5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5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5" t="s">
        <v>2064</v>
      </c>
      <c r="E8">
        <v>4</v>
      </c>
      <c r="F8">
        <v>4</v>
      </c>
    </row>
    <row r="9" spans="1:6" x14ac:dyDescent="0.25">
      <c r="A9" s="5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5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5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5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5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5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95A71-24CF-4AB7-945C-3A58BAA76EB8}">
  <dimension ref="A1:F34"/>
  <sheetViews>
    <sheetView workbookViewId="0">
      <selection activeCell="F32" sqref="F32:F3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6</v>
      </c>
      <c r="B1" t="s">
        <v>2070</v>
      </c>
    </row>
    <row r="2" spans="1:6" x14ac:dyDescent="0.25">
      <c r="A2" s="4" t="s">
        <v>2031</v>
      </c>
      <c r="B2" t="s">
        <v>2070</v>
      </c>
    </row>
    <row r="4" spans="1:6" x14ac:dyDescent="0.25">
      <c r="A4" s="4" t="s">
        <v>2068</v>
      </c>
      <c r="B4" s="4" t="s">
        <v>2069</v>
      </c>
    </row>
    <row r="5" spans="1:6" x14ac:dyDescent="0.25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5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5" t="s">
        <v>2065</v>
      </c>
      <c r="E7">
        <v>4</v>
      </c>
      <c r="F7">
        <v>4</v>
      </c>
    </row>
    <row r="8" spans="1:6" x14ac:dyDescent="0.25">
      <c r="A8" s="5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5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5" t="s">
        <v>2043</v>
      </c>
      <c r="C10">
        <v>8</v>
      </c>
      <c r="E10">
        <v>10</v>
      </c>
      <c r="F10">
        <v>18</v>
      </c>
    </row>
    <row r="11" spans="1:6" x14ac:dyDescent="0.25">
      <c r="A11" s="5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5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5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5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5" t="s">
        <v>2057</v>
      </c>
      <c r="C15">
        <v>3</v>
      </c>
      <c r="E15">
        <v>4</v>
      </c>
      <c r="F15">
        <v>7</v>
      </c>
    </row>
    <row r="16" spans="1:6" x14ac:dyDescent="0.25">
      <c r="A16" s="5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5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5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5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5" t="s">
        <v>2056</v>
      </c>
      <c r="C20">
        <v>4</v>
      </c>
      <c r="E20">
        <v>4</v>
      </c>
      <c r="F20">
        <v>8</v>
      </c>
    </row>
    <row r="21" spans="1:6" x14ac:dyDescent="0.25">
      <c r="A21" s="5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5" t="s">
        <v>2063</v>
      </c>
      <c r="C22">
        <v>9</v>
      </c>
      <c r="E22">
        <v>5</v>
      </c>
      <c r="F22">
        <v>14</v>
      </c>
    </row>
    <row r="23" spans="1:6" x14ac:dyDescent="0.25">
      <c r="A23" s="5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5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5" t="s">
        <v>2059</v>
      </c>
      <c r="C25">
        <v>7</v>
      </c>
      <c r="E25">
        <v>14</v>
      </c>
      <c r="F25">
        <v>21</v>
      </c>
    </row>
    <row r="26" spans="1:6" x14ac:dyDescent="0.25">
      <c r="A26" s="5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5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5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5" t="s">
        <v>2062</v>
      </c>
      <c r="E29">
        <v>3</v>
      </c>
      <c r="F29">
        <v>3</v>
      </c>
    </row>
    <row r="30" spans="1:6" x14ac:dyDescent="0.25">
      <c r="A30" s="5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  <row r="32" spans="1:6" x14ac:dyDescent="0.25">
      <c r="F32" s="10"/>
    </row>
    <row r="33" spans="6:6" x14ac:dyDescent="0.25">
      <c r="F33" s="10"/>
    </row>
    <row r="34" spans="6:6" x14ac:dyDescent="0.25">
      <c r="F34" s="10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DD347-67D6-42DE-BA3E-00F8793FB9B4}">
  <dimension ref="A1:F18"/>
  <sheetViews>
    <sheetView workbookViewId="0">
      <selection activeCell="F12" sqref="F12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4" t="s">
        <v>2085</v>
      </c>
      <c r="B1" t="s">
        <v>2070</v>
      </c>
    </row>
    <row r="2" spans="1:6" x14ac:dyDescent="0.25">
      <c r="A2" s="4" t="s">
        <v>2031</v>
      </c>
      <c r="B2" t="s">
        <v>2070</v>
      </c>
    </row>
    <row r="4" spans="1:6" x14ac:dyDescent="0.25">
      <c r="A4" s="4" t="s">
        <v>2068</v>
      </c>
      <c r="B4" s="4" t="s">
        <v>2069</v>
      </c>
    </row>
    <row r="5" spans="1:6" x14ac:dyDescent="0.25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5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5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5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5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5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5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5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5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5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5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5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5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5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2A90-0817-4B8A-B38E-B9657C2F06BE}">
  <dimension ref="A1:H13"/>
  <sheetViews>
    <sheetView workbookViewId="0">
      <selection activeCell="H21" sqref="H21"/>
    </sheetView>
  </sheetViews>
  <sheetFormatPr defaultRowHeight="15.75" x14ac:dyDescent="0.25"/>
  <cols>
    <col min="1" max="1" width="26.37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bestFit="1" customWidth="1"/>
    <col min="7" max="7" width="16.125" bestFit="1" customWidth="1"/>
    <col min="8" max="8" width="19.375" bestFit="1" customWidth="1"/>
  </cols>
  <sheetData>
    <row r="1" spans="1:8" x14ac:dyDescent="0.25">
      <c r="A1" s="12" t="s">
        <v>2086</v>
      </c>
      <c r="B1" s="12" t="s">
        <v>2087</v>
      </c>
      <c r="C1" s="12" t="s">
        <v>2088</v>
      </c>
      <c r="D1" s="12" t="s">
        <v>2093</v>
      </c>
      <c r="E1" s="12" t="s">
        <v>2089</v>
      </c>
      <c r="F1" s="12" t="s">
        <v>2090</v>
      </c>
      <c r="G1" s="12" t="s">
        <v>2091</v>
      </c>
      <c r="H1" s="12" t="s">
        <v>2092</v>
      </c>
    </row>
    <row r="2" spans="1:8" x14ac:dyDescent="0.25">
      <c r="A2" s="9" t="s">
        <v>2094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SUM(B2:D2)</f>
        <v>51</v>
      </c>
      <c r="F2" s="10">
        <f>B2/$E2</f>
        <v>0.58823529411764708</v>
      </c>
      <c r="G2" s="10">
        <f>C2/$E2</f>
        <v>0.39215686274509803</v>
      </c>
      <c r="H2" s="10">
        <f>D2/$E2</f>
        <v>1.9607843137254902E-2</v>
      </c>
    </row>
    <row r="3" spans="1:8" x14ac:dyDescent="0.25">
      <c r="A3" s="9" t="s">
        <v>2095</v>
      </c>
      <c r="B3">
        <f>COUNTIFS(Crowdfunding!$G:$G,"successful",Crowdfunding!$D:$D,"&gt;=1000 ",Crowdfunding!$D:$D,"&lt; 5000" )</f>
        <v>191</v>
      </c>
      <c r="C3">
        <f>COUNTIFS(Crowdfunding!$G:$G,"failed",Crowdfunding!$D:$D,"&gt;=1000 ",Crowdfunding!$D:$D,"&lt; 5000" )</f>
        <v>38</v>
      </c>
      <c r="D3">
        <f>COUNTIFS(Crowdfunding!$G:$G,"canceled",Crowdfunding!$D:$D,"&gt;=1000 ",Crowdfunding!$D:$D,"&lt; 5000" )</f>
        <v>2</v>
      </c>
      <c r="E3">
        <f t="shared" ref="E3:E13" si="0">SUM(B3:D3)</f>
        <v>231</v>
      </c>
      <c r="F3" s="10">
        <f t="shared" ref="F3:F13" si="1">B3/E3</f>
        <v>0.82683982683982682</v>
      </c>
      <c r="G3" s="10">
        <f t="shared" ref="G3:H13" si="2">C3/$E3</f>
        <v>0.16450216450216451</v>
      </c>
      <c r="H3" s="10">
        <f t="shared" si="2"/>
        <v>8.658008658008658E-3</v>
      </c>
    </row>
    <row r="4" spans="1:8" x14ac:dyDescent="0.25">
      <c r="A4" s="9" t="s">
        <v>2096</v>
      </c>
      <c r="B4">
        <f>COUNTIFS(Crowdfunding!$G:$G,"successful",Crowdfunding!$D:$D,"&gt;=5000 ",Crowdfunding!$D:$D,"&lt;9999" )</f>
        <v>164</v>
      </c>
      <c r="C4">
        <f>COUNTIFS(Crowdfunding!$G:$G,"failed",Crowdfunding!$D:$D,"&gt;=5000 ",Crowdfunding!$D:$D,"&lt;9999" )</f>
        <v>126</v>
      </c>
      <c r="D4">
        <f>COUNTIFS(Crowdfunding!$G:$G,"canceled",Crowdfunding!$D:$D,"&gt;=5000 ",Crowdfunding!$D:$D,"&lt;9999" 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2"/>
        <v>7.9365079365079361E-2</v>
      </c>
    </row>
    <row r="5" spans="1:8" x14ac:dyDescent="0.25">
      <c r="A5" s="9" t="s">
        <v>2097</v>
      </c>
      <c r="B5">
        <f>COUNTIFS(Crowdfunding!$G:$G,"successful",Crowdfunding!$D:$D,"&gt;=10000 ",Crowdfunding!$D:$D,"&lt;14999" )</f>
        <v>4</v>
      </c>
      <c r="C5">
        <f>COUNTIFS(Crowdfunding!$G:$G,"failed",Crowdfunding!$D:$D,"&gt;=10000 ",Crowdfunding!$D:$D,"&lt;14999" )</f>
        <v>5</v>
      </c>
      <c r="D5">
        <f>COUNTIFS(Crowdfunding!$G:$G,"canceled",Crowdfunding!$D:$D,"&gt;=10000 ",Crowdfunding!$D:$D,"&lt;14999" 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2"/>
        <v>0</v>
      </c>
    </row>
    <row r="6" spans="1:8" x14ac:dyDescent="0.25">
      <c r="A6" s="9" t="s">
        <v>2098</v>
      </c>
      <c r="B6">
        <f>COUNTIFS(Crowdfunding!$G:$G,"successful",Crowdfunding!$D:$D,"&gt;=15000 ",Crowdfunding!$D:$D,"&lt;19999" )</f>
        <v>10</v>
      </c>
      <c r="C6">
        <f>COUNTIFS(Crowdfunding!$G:$G,"failed",Crowdfunding!$D:$D,"&gt;=15000 ",Crowdfunding!$D:$D,"&lt;19999" )</f>
        <v>0</v>
      </c>
      <c r="D6">
        <f>COUNTIFS(Crowdfunding!$G:$G,"canceled",Crowdfunding!$D:$D,"&gt;=15000 ",Crowdfunding!$D:$D,"&lt;19999" 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2"/>
        <v>0</v>
      </c>
    </row>
    <row r="7" spans="1:8" x14ac:dyDescent="0.25">
      <c r="A7" s="9" t="s">
        <v>2099</v>
      </c>
      <c r="B7">
        <f>COUNTIFS(Crowdfunding!$G:$G,"successful",Crowdfunding!$D:$D,"&gt;=20000 ",Crowdfunding!$D:$D,"&lt;24999" )</f>
        <v>7</v>
      </c>
      <c r="C7">
        <f>COUNTIFS(Crowdfunding!$G:$G,"failed",Crowdfunding!$D:$D,"&gt;=20000 ",Crowdfunding!$D:$D,"&lt;24999" )</f>
        <v>0</v>
      </c>
      <c r="D7">
        <f>COUNTIFS(Crowdfunding!$G:$G,"canceled",Crowdfunding!$D:$D,"&gt;=20000 ",Crowdfunding!$D:$D,"&lt;24999" 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2"/>
        <v>0</v>
      </c>
    </row>
    <row r="8" spans="1:8" x14ac:dyDescent="0.25">
      <c r="A8" s="9" t="s">
        <v>2100</v>
      </c>
      <c r="B8">
        <f>COUNTIFS(Crowdfunding!$G:$G,"successful",Crowdfunding!$D:$D,"&gt;=25000 ",Crowdfunding!$D:$D,"&lt;29999" )</f>
        <v>11</v>
      </c>
      <c r="C8">
        <f>COUNTIFS(Crowdfunding!$G:$G,"failed",Crowdfunding!$D:$D,"&gt;=25000 ",Crowdfunding!$D:$D,"&lt;29999" )</f>
        <v>3</v>
      </c>
      <c r="D8">
        <f>COUNTIFS(Crowdfunding!$G:$G,"canceled",Crowdfunding!$D:$D,"&gt;=25000 ",Crowdfunding!$D:$D,"&lt;29999" 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2"/>
        <v>0</v>
      </c>
    </row>
    <row r="9" spans="1:8" x14ac:dyDescent="0.25">
      <c r="A9" s="9" t="s">
        <v>2101</v>
      </c>
      <c r="B9">
        <f>COUNTIFS(Crowdfunding!$G:$G,"successful",Crowdfunding!$D:$D,"&gt;=30000 ",Crowdfunding!$D:$D,"&lt;34999" )</f>
        <v>7</v>
      </c>
      <c r="C9">
        <f>COUNTIFS(Crowdfunding!$G:$G,"failed",Crowdfunding!$D:$D,"&gt;=30000 ",Crowdfunding!$D:$D,"&lt;34999" )</f>
        <v>0</v>
      </c>
      <c r="D9">
        <f>COUNTIFS(Crowdfunding!$G:$G,"canceled",Crowdfunding!$D:$D,"&gt;=30000 ",Crowdfunding!$D:$D,"&lt;34999" 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2"/>
        <v>0</v>
      </c>
    </row>
    <row r="10" spans="1:8" x14ac:dyDescent="0.25">
      <c r="A10" s="9" t="s">
        <v>2102</v>
      </c>
      <c r="B10">
        <f>COUNTIFS(Crowdfunding!$G:$G,"successful",Crowdfunding!$D:$D,"&gt;=35000 ",Crowdfunding!$D:$D,"&lt;39999" )</f>
        <v>8</v>
      </c>
      <c r="C10">
        <f>COUNTIFS(Crowdfunding!$G:$G,"failed",Crowdfunding!$D:$D,"&gt;=35000 ",Crowdfunding!$D:$D,"&lt;39999" )</f>
        <v>3</v>
      </c>
      <c r="D10">
        <f>COUNTIFS(Crowdfunding!$G:$G,"canceled",Crowdfunding!$D:$D,"&gt;=35000 ",Crowdfunding!$D:$D,"&lt;39999" 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2"/>
        <v>8.3333333333333329E-2</v>
      </c>
    </row>
    <row r="11" spans="1:8" x14ac:dyDescent="0.25">
      <c r="A11" s="9" t="s">
        <v>2103</v>
      </c>
      <c r="B11">
        <f>COUNTIFS(Crowdfunding!$G:$G,"successful",Crowdfunding!$D:$D,"&gt;=40000 ",Crowdfunding!$D:$D,"&lt;44999" )</f>
        <v>11</v>
      </c>
      <c r="C11">
        <f>COUNTIFS(Crowdfunding!$G:$G,"failed",Crowdfunding!$D:$D,"&gt;=40000 ",Crowdfunding!$D:$D,"&lt;44999" )</f>
        <v>3</v>
      </c>
      <c r="D11">
        <f>COUNTIFS(Crowdfunding!$G:$G,"canceled",Crowdfunding!$D:$D,"&gt;=40000 ",Crowdfunding!$D:$D,"&lt;44999" 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2"/>
        <v>0</v>
      </c>
    </row>
    <row r="12" spans="1:8" x14ac:dyDescent="0.25">
      <c r="A12" s="9" t="s">
        <v>2104</v>
      </c>
      <c r="B12">
        <f>COUNTIFS(Crowdfunding!$G:$G,"successful",Crowdfunding!$D:$D,"&gt;=45000 ",Crowdfunding!$D:$D,"&lt;49999" )</f>
        <v>8</v>
      </c>
      <c r="C12">
        <f>COUNTIFS(Crowdfunding!$G:$G,"failed",Crowdfunding!$D:$D,"&gt;=45000 ",Crowdfunding!$D:$D,"&lt;49999" )</f>
        <v>3</v>
      </c>
      <c r="D12">
        <f>COUNTIFS(Crowdfunding!$G:$G,"canceled",Crowdfunding!$D:$D,"&gt;=45000 ",Crowdfunding!$D:$D,"&lt;49999" 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2"/>
        <v>0</v>
      </c>
    </row>
    <row r="13" spans="1:8" x14ac:dyDescent="0.25">
      <c r="A13" s="9" t="s">
        <v>2105</v>
      </c>
      <c r="B13">
        <f>COUNTIFS(Crowdfunding!$G:$G,"successful",Crowdfunding!$D:$D,"&gt;=50000 " )</f>
        <v>114</v>
      </c>
      <c r="C13">
        <f>COUNTIFS(Crowdfunding!$G:$G,"failed",Crowdfunding!$D:$D,"&gt;=50000 " )</f>
        <v>163</v>
      </c>
      <c r="D13">
        <f>COUNTIFS(Crowdfunding!$G:$G,"canceled",Crowdfunding!$D:$D,"&gt;=50000 " 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2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AB032-5DCC-45C9-B386-11904CEEBD28}">
  <dimension ref="A1:O1001"/>
  <sheetViews>
    <sheetView tabSelected="1" topLeftCell="A10" workbookViewId="0">
      <selection activeCell="H42" sqref="H42"/>
    </sheetView>
  </sheetViews>
  <sheetFormatPr defaultRowHeight="15.75" x14ac:dyDescent="0.25"/>
  <cols>
    <col min="1" max="1" width="12.5" bestFit="1" customWidth="1"/>
    <col min="2" max="2" width="17.5" bestFit="1" customWidth="1"/>
    <col min="4" max="4" width="12.5" bestFit="1" customWidth="1"/>
    <col min="5" max="5" width="17.5" bestFit="1" customWidth="1"/>
    <col min="8" max="8" width="44.125" customWidth="1"/>
  </cols>
  <sheetData>
    <row r="1" spans="1:9" x14ac:dyDescent="0.25">
      <c r="A1" s="1" t="s">
        <v>4</v>
      </c>
      <c r="B1" s="1" t="s">
        <v>5</v>
      </c>
      <c r="D1" s="1" t="s">
        <v>4</v>
      </c>
      <c r="E1" s="1" t="s">
        <v>5</v>
      </c>
      <c r="H1" s="11" t="s">
        <v>2106</v>
      </c>
    </row>
    <row r="2" spans="1:9" x14ac:dyDescent="0.25">
      <c r="A2" t="s">
        <v>20</v>
      </c>
      <c r="B2">
        <v>158</v>
      </c>
      <c r="D2" t="s">
        <v>14</v>
      </c>
      <c r="E2">
        <v>0</v>
      </c>
      <c r="H2" s="9" t="s">
        <v>2107</v>
      </c>
      <c r="I2">
        <f>AVERAGE(success)</f>
        <v>851.14690265486729</v>
      </c>
    </row>
    <row r="3" spans="1:9" x14ac:dyDescent="0.25">
      <c r="A3" t="s">
        <v>20</v>
      </c>
      <c r="B3">
        <v>1425</v>
      </c>
      <c r="D3" t="s">
        <v>14</v>
      </c>
      <c r="E3">
        <v>24</v>
      </c>
      <c r="H3" s="9" t="s">
        <v>2108</v>
      </c>
      <c r="I3">
        <f>MEDIAN(success)</f>
        <v>201</v>
      </c>
    </row>
    <row r="4" spans="1:9" x14ac:dyDescent="0.25">
      <c r="A4" t="s">
        <v>20</v>
      </c>
      <c r="B4">
        <v>174</v>
      </c>
      <c r="D4" t="s">
        <v>14</v>
      </c>
      <c r="E4">
        <v>53</v>
      </c>
      <c r="H4" s="9" t="s">
        <v>2109</v>
      </c>
      <c r="I4">
        <f>MIN(success)</f>
        <v>16</v>
      </c>
    </row>
    <row r="5" spans="1:9" x14ac:dyDescent="0.25">
      <c r="A5" t="s">
        <v>20</v>
      </c>
      <c r="B5">
        <v>227</v>
      </c>
      <c r="D5" t="s">
        <v>14</v>
      </c>
      <c r="E5">
        <v>18</v>
      </c>
      <c r="H5" s="9" t="s">
        <v>2110</v>
      </c>
      <c r="I5">
        <f>MAX(success)</f>
        <v>7295</v>
      </c>
    </row>
    <row r="6" spans="1:9" x14ac:dyDescent="0.25">
      <c r="A6" t="s">
        <v>20</v>
      </c>
      <c r="B6">
        <v>220</v>
      </c>
      <c r="D6" t="s">
        <v>14</v>
      </c>
      <c r="E6">
        <v>44</v>
      </c>
      <c r="H6" s="9" t="s">
        <v>2111</v>
      </c>
      <c r="I6">
        <f>_xlfn.VAR.S(success)</f>
        <v>1606216.5936295739</v>
      </c>
    </row>
    <row r="7" spans="1:9" x14ac:dyDescent="0.25">
      <c r="A7" t="s">
        <v>20</v>
      </c>
      <c r="B7">
        <v>98</v>
      </c>
      <c r="D7" t="s">
        <v>14</v>
      </c>
      <c r="E7">
        <v>27</v>
      </c>
      <c r="H7" s="9" t="s">
        <v>2112</v>
      </c>
      <c r="I7">
        <f>_xlfn.STDEV.S(success)</f>
        <v>1267.366006183523</v>
      </c>
    </row>
    <row r="8" spans="1:9" x14ac:dyDescent="0.25">
      <c r="A8" t="s">
        <v>20</v>
      </c>
      <c r="B8">
        <v>100</v>
      </c>
      <c r="D8" t="s">
        <v>14</v>
      </c>
      <c r="E8">
        <v>55</v>
      </c>
    </row>
    <row r="9" spans="1:9" x14ac:dyDescent="0.25">
      <c r="A9" t="s">
        <v>20</v>
      </c>
      <c r="B9">
        <v>1249</v>
      </c>
      <c r="D9" t="s">
        <v>14</v>
      </c>
      <c r="E9">
        <v>200</v>
      </c>
    </row>
    <row r="10" spans="1:9" x14ac:dyDescent="0.25">
      <c r="A10" t="s">
        <v>20</v>
      </c>
      <c r="B10">
        <v>1396</v>
      </c>
      <c r="D10" t="s">
        <v>14</v>
      </c>
      <c r="E10">
        <v>452</v>
      </c>
      <c r="H10" s="11" t="s">
        <v>2113</v>
      </c>
    </row>
    <row r="11" spans="1:9" x14ac:dyDescent="0.25">
      <c r="A11" t="s">
        <v>20</v>
      </c>
      <c r="B11">
        <v>890</v>
      </c>
      <c r="D11" t="s">
        <v>14</v>
      </c>
      <c r="E11">
        <v>674</v>
      </c>
      <c r="H11" s="9" t="s">
        <v>2107</v>
      </c>
      <c r="I11">
        <f>AVERAGE(failed)</f>
        <v>585.61538461538464</v>
      </c>
    </row>
    <row r="12" spans="1:9" x14ac:dyDescent="0.25">
      <c r="A12" t="s">
        <v>20</v>
      </c>
      <c r="B12">
        <v>142</v>
      </c>
      <c r="D12" t="s">
        <v>14</v>
      </c>
      <c r="E12">
        <v>558</v>
      </c>
      <c r="H12" s="9" t="s">
        <v>2108</v>
      </c>
      <c r="I12">
        <f>MEDIAN(failed)</f>
        <v>114.5</v>
      </c>
    </row>
    <row r="13" spans="1:9" x14ac:dyDescent="0.25">
      <c r="A13" t="s">
        <v>20</v>
      </c>
      <c r="B13">
        <v>2673</v>
      </c>
      <c r="D13" t="s">
        <v>14</v>
      </c>
      <c r="E13">
        <v>15</v>
      </c>
      <c r="H13" s="9" t="s">
        <v>2109</v>
      </c>
      <c r="I13">
        <f>MIN(failed)</f>
        <v>0</v>
      </c>
    </row>
    <row r="14" spans="1:9" x14ac:dyDescent="0.25">
      <c r="A14" t="s">
        <v>20</v>
      </c>
      <c r="B14">
        <v>163</v>
      </c>
      <c r="D14" t="s">
        <v>14</v>
      </c>
      <c r="E14">
        <v>2307</v>
      </c>
      <c r="H14" s="9" t="s">
        <v>2110</v>
      </c>
      <c r="I14">
        <f>MAX(failed)</f>
        <v>6080</v>
      </c>
    </row>
    <row r="15" spans="1:9" x14ac:dyDescent="0.25">
      <c r="A15" t="s">
        <v>20</v>
      </c>
      <c r="B15">
        <v>2220</v>
      </c>
      <c r="D15" t="s">
        <v>14</v>
      </c>
      <c r="E15">
        <v>88</v>
      </c>
      <c r="H15" s="9" t="s">
        <v>2111</v>
      </c>
      <c r="I15">
        <f>_xlfn.VAR.S(failed)</f>
        <v>924113.45496927318</v>
      </c>
    </row>
    <row r="16" spans="1:9" x14ac:dyDescent="0.25">
      <c r="A16" t="s">
        <v>20</v>
      </c>
      <c r="B16">
        <v>1606</v>
      </c>
      <c r="D16" t="s">
        <v>14</v>
      </c>
      <c r="E16">
        <v>48</v>
      </c>
      <c r="H16" s="9" t="s">
        <v>2112</v>
      </c>
      <c r="I16">
        <f>_xlfn.STDEV.S(failed)</f>
        <v>961.30819978260524</v>
      </c>
    </row>
    <row r="17" spans="1:15" x14ac:dyDescent="0.25">
      <c r="A17" t="s">
        <v>20</v>
      </c>
      <c r="B17">
        <v>129</v>
      </c>
      <c r="D17" t="s">
        <v>14</v>
      </c>
      <c r="E17">
        <v>1</v>
      </c>
    </row>
    <row r="18" spans="1:15" x14ac:dyDescent="0.25">
      <c r="A18" t="s">
        <v>20</v>
      </c>
      <c r="B18">
        <v>226</v>
      </c>
      <c r="D18" t="s">
        <v>14</v>
      </c>
      <c r="E18">
        <v>1467</v>
      </c>
    </row>
    <row r="19" spans="1:15" ht="18.75" x14ac:dyDescent="0.25">
      <c r="A19" t="s">
        <v>20</v>
      </c>
      <c r="B19">
        <v>5419</v>
      </c>
      <c r="D19" t="s">
        <v>14</v>
      </c>
      <c r="E19">
        <v>75</v>
      </c>
      <c r="H19" s="13" t="s">
        <v>2114</v>
      </c>
      <c r="I19" s="13"/>
      <c r="J19" s="13"/>
      <c r="K19" s="13"/>
      <c r="L19" s="13"/>
      <c r="M19" s="13"/>
      <c r="N19" s="13"/>
      <c r="O19" s="13"/>
    </row>
    <row r="20" spans="1:15" x14ac:dyDescent="0.25">
      <c r="A20" t="s">
        <v>20</v>
      </c>
      <c r="B20">
        <v>165</v>
      </c>
      <c r="D20" t="s">
        <v>14</v>
      </c>
      <c r="E20">
        <v>120</v>
      </c>
    </row>
    <row r="21" spans="1:15" x14ac:dyDescent="0.25">
      <c r="A21" t="s">
        <v>20</v>
      </c>
      <c r="B21">
        <v>1965</v>
      </c>
      <c r="D21" t="s">
        <v>14</v>
      </c>
      <c r="E21">
        <v>2253</v>
      </c>
    </row>
    <row r="22" spans="1:15" x14ac:dyDescent="0.25">
      <c r="A22" t="s">
        <v>20</v>
      </c>
      <c r="B22">
        <v>16</v>
      </c>
      <c r="D22" t="s">
        <v>14</v>
      </c>
      <c r="E22">
        <v>5</v>
      </c>
    </row>
    <row r="23" spans="1:15" x14ac:dyDescent="0.25">
      <c r="A23" t="s">
        <v>20</v>
      </c>
      <c r="B23">
        <v>107</v>
      </c>
      <c r="D23" t="s">
        <v>14</v>
      </c>
      <c r="E23">
        <v>38</v>
      </c>
    </row>
    <row r="24" spans="1:15" x14ac:dyDescent="0.25">
      <c r="A24" t="s">
        <v>20</v>
      </c>
      <c r="B24">
        <v>134</v>
      </c>
      <c r="D24" t="s">
        <v>14</v>
      </c>
      <c r="E24">
        <v>12</v>
      </c>
    </row>
    <row r="25" spans="1:15" x14ac:dyDescent="0.25">
      <c r="A25" t="s">
        <v>20</v>
      </c>
      <c r="B25">
        <v>198</v>
      </c>
      <c r="D25" t="s">
        <v>14</v>
      </c>
      <c r="E25">
        <v>1684</v>
      </c>
    </row>
    <row r="26" spans="1:15" x14ac:dyDescent="0.25">
      <c r="A26" t="s">
        <v>20</v>
      </c>
      <c r="B26">
        <v>111</v>
      </c>
      <c r="D26" t="s">
        <v>14</v>
      </c>
      <c r="E26">
        <v>56</v>
      </c>
    </row>
    <row r="27" spans="1:15" x14ac:dyDescent="0.25">
      <c r="A27" t="s">
        <v>20</v>
      </c>
      <c r="B27">
        <v>222</v>
      </c>
      <c r="D27" t="s">
        <v>14</v>
      </c>
      <c r="E27">
        <v>838</v>
      </c>
    </row>
    <row r="28" spans="1:15" x14ac:dyDescent="0.25">
      <c r="A28" t="s">
        <v>20</v>
      </c>
      <c r="B28">
        <v>6212</v>
      </c>
      <c r="D28" t="s">
        <v>14</v>
      </c>
      <c r="E28">
        <v>1000</v>
      </c>
    </row>
    <row r="29" spans="1:15" x14ac:dyDescent="0.25">
      <c r="A29" t="s">
        <v>20</v>
      </c>
      <c r="B29">
        <v>98</v>
      </c>
      <c r="D29" t="s">
        <v>14</v>
      </c>
      <c r="E29">
        <v>1482</v>
      </c>
    </row>
    <row r="30" spans="1:15" x14ac:dyDescent="0.25">
      <c r="A30" t="s">
        <v>20</v>
      </c>
      <c r="B30">
        <v>92</v>
      </c>
      <c r="D30" t="s">
        <v>14</v>
      </c>
      <c r="E30">
        <v>106</v>
      </c>
    </row>
    <row r="31" spans="1:15" x14ac:dyDescent="0.25">
      <c r="A31" t="s">
        <v>20</v>
      </c>
      <c r="B31">
        <v>149</v>
      </c>
      <c r="D31" t="s">
        <v>14</v>
      </c>
      <c r="E31">
        <v>679</v>
      </c>
    </row>
    <row r="32" spans="1:15" x14ac:dyDescent="0.25">
      <c r="A32" t="s">
        <v>20</v>
      </c>
      <c r="B32">
        <v>2431</v>
      </c>
      <c r="D32" t="s">
        <v>14</v>
      </c>
      <c r="E32">
        <v>1220</v>
      </c>
    </row>
    <row r="33" spans="1:15" x14ac:dyDescent="0.25">
      <c r="A33" t="s">
        <v>20</v>
      </c>
      <c r="B33">
        <v>303</v>
      </c>
      <c r="D33" t="s">
        <v>14</v>
      </c>
      <c r="E33">
        <v>1</v>
      </c>
    </row>
    <row r="34" spans="1:15" x14ac:dyDescent="0.25">
      <c r="A34" t="s">
        <v>20</v>
      </c>
      <c r="B34">
        <v>209</v>
      </c>
      <c r="D34" t="s">
        <v>14</v>
      </c>
      <c r="E34">
        <v>37</v>
      </c>
    </row>
    <row r="35" spans="1:15" x14ac:dyDescent="0.25">
      <c r="A35" t="s">
        <v>20</v>
      </c>
      <c r="B35">
        <v>131</v>
      </c>
      <c r="D35" t="s">
        <v>14</v>
      </c>
      <c r="E35">
        <v>60</v>
      </c>
    </row>
    <row r="36" spans="1:15" x14ac:dyDescent="0.25">
      <c r="A36" t="s">
        <v>20</v>
      </c>
      <c r="B36">
        <v>164</v>
      </c>
      <c r="D36" t="s">
        <v>14</v>
      </c>
      <c r="E36">
        <v>296</v>
      </c>
      <c r="H36" t="s">
        <v>2115</v>
      </c>
    </row>
    <row r="37" spans="1:15" x14ac:dyDescent="0.25">
      <c r="A37" t="s">
        <v>20</v>
      </c>
      <c r="B37">
        <v>201</v>
      </c>
      <c r="D37" t="s">
        <v>14</v>
      </c>
      <c r="E37">
        <v>3304</v>
      </c>
    </row>
    <row r="38" spans="1:15" x14ac:dyDescent="0.25">
      <c r="A38" t="s">
        <v>20</v>
      </c>
      <c r="B38">
        <v>211</v>
      </c>
      <c r="D38" t="s">
        <v>14</v>
      </c>
      <c r="E38">
        <v>73</v>
      </c>
    </row>
    <row r="39" spans="1:15" ht="19.5" customHeight="1" x14ac:dyDescent="0.25">
      <c r="A39" t="s">
        <v>20</v>
      </c>
      <c r="B39">
        <v>128</v>
      </c>
      <c r="D39" t="s">
        <v>14</v>
      </c>
      <c r="E39">
        <v>3387</v>
      </c>
      <c r="H39" s="13" t="s">
        <v>2116</v>
      </c>
      <c r="I39" s="13"/>
      <c r="J39" s="13"/>
      <c r="K39" s="13"/>
      <c r="L39" s="13"/>
      <c r="M39" s="13"/>
      <c r="N39" s="13"/>
      <c r="O39" s="13"/>
    </row>
    <row r="40" spans="1:15" x14ac:dyDescent="0.25">
      <c r="A40" t="s">
        <v>20</v>
      </c>
      <c r="B40">
        <v>1600</v>
      </c>
      <c r="D40" t="s">
        <v>14</v>
      </c>
      <c r="E40">
        <v>662</v>
      </c>
      <c r="H40" s="13"/>
      <c r="I40" s="13"/>
      <c r="J40" s="13"/>
      <c r="K40" s="13"/>
      <c r="L40" s="13"/>
      <c r="M40" s="13"/>
      <c r="N40" s="13"/>
      <c r="O40" s="13"/>
    </row>
    <row r="41" spans="1:15" x14ac:dyDescent="0.25">
      <c r="A41" t="s">
        <v>20</v>
      </c>
      <c r="B41">
        <v>249</v>
      </c>
      <c r="D41" t="s">
        <v>14</v>
      </c>
      <c r="E41">
        <v>774</v>
      </c>
      <c r="H41" t="s">
        <v>2117</v>
      </c>
    </row>
    <row r="42" spans="1:15" x14ac:dyDescent="0.25">
      <c r="A42" t="s">
        <v>20</v>
      </c>
      <c r="B42">
        <v>236</v>
      </c>
      <c r="D42" t="s">
        <v>14</v>
      </c>
      <c r="E42">
        <v>672</v>
      </c>
    </row>
    <row r="43" spans="1:15" x14ac:dyDescent="0.25">
      <c r="A43" t="s">
        <v>20</v>
      </c>
      <c r="B43">
        <v>4065</v>
      </c>
      <c r="D43" t="s">
        <v>14</v>
      </c>
      <c r="E43">
        <v>940</v>
      </c>
    </row>
    <row r="44" spans="1:15" x14ac:dyDescent="0.25">
      <c r="A44" t="s">
        <v>20</v>
      </c>
      <c r="B44">
        <v>246</v>
      </c>
      <c r="D44" t="s">
        <v>14</v>
      </c>
      <c r="E44">
        <v>117</v>
      </c>
    </row>
    <row r="45" spans="1:15" x14ac:dyDescent="0.25">
      <c r="A45" t="s">
        <v>20</v>
      </c>
      <c r="B45">
        <v>2475</v>
      </c>
      <c r="D45" t="s">
        <v>14</v>
      </c>
      <c r="E45">
        <v>115</v>
      </c>
    </row>
    <row r="46" spans="1:15" x14ac:dyDescent="0.25">
      <c r="A46" t="s">
        <v>20</v>
      </c>
      <c r="B46">
        <v>76</v>
      </c>
      <c r="D46" t="s">
        <v>14</v>
      </c>
      <c r="E46">
        <v>326</v>
      </c>
    </row>
    <row r="47" spans="1:15" x14ac:dyDescent="0.25">
      <c r="A47" t="s">
        <v>20</v>
      </c>
      <c r="B47">
        <v>54</v>
      </c>
      <c r="D47" t="s">
        <v>14</v>
      </c>
      <c r="E47">
        <v>1</v>
      </c>
    </row>
    <row r="48" spans="1:1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  <row r="998" spans="1:5" x14ac:dyDescent="0.25">
      <c r="A998" t="s">
        <v>14</v>
      </c>
      <c r="B998">
        <v>112</v>
      </c>
      <c r="D998" t="s">
        <v>14</v>
      </c>
      <c r="E998">
        <v>112</v>
      </c>
    </row>
    <row r="999" spans="1:5" x14ac:dyDescent="0.25">
      <c r="A999" t="s">
        <v>74</v>
      </c>
      <c r="B999">
        <v>139</v>
      </c>
      <c r="D999" t="s">
        <v>74</v>
      </c>
      <c r="E999">
        <v>139</v>
      </c>
    </row>
    <row r="1000" spans="1:5" x14ac:dyDescent="0.25">
      <c r="A1000" t="s">
        <v>14</v>
      </c>
      <c r="B1000">
        <v>374</v>
      </c>
      <c r="D1000" t="s">
        <v>14</v>
      </c>
      <c r="E1000">
        <v>374</v>
      </c>
    </row>
    <row r="1001" spans="1:5" x14ac:dyDescent="0.25">
      <c r="A1001" t="s">
        <v>74</v>
      </c>
      <c r="B1001">
        <v>1122</v>
      </c>
      <c r="D1001" t="s">
        <v>74</v>
      </c>
      <c r="E1001">
        <v>1122</v>
      </c>
    </row>
  </sheetData>
  <mergeCells count="2">
    <mergeCell ref="H19:O19"/>
    <mergeCell ref="H39:O40"/>
  </mergeCells>
  <conditionalFormatting sqref="A567:A1048576">
    <cfRule type="containsText" dxfId="15" priority="21" operator="containsText" text="live">
      <formula>NOT(ISERROR(SEARCH("live",A567)))</formula>
    </cfRule>
    <cfRule type="containsText" dxfId="14" priority="22" operator="containsText" text="canceled">
      <formula>NOT(ISERROR(SEARCH("canceled",A567)))</formula>
    </cfRule>
    <cfRule type="containsText" dxfId="13" priority="23" operator="containsText" text="successful">
      <formula>NOT(ISERROR(SEARCH("successful",A567)))</formula>
    </cfRule>
    <cfRule type="containsText" dxfId="12" priority="24" operator="containsText" text="failed">
      <formula>NOT(ISERROR(SEARCH("failed",A567)))</formula>
    </cfRule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66:D1048576">
    <cfRule type="containsText" dxfId="11" priority="11" operator="containsText" text="live">
      <formula>NOT(ISERROR(SEARCH("live",D366)))</formula>
    </cfRule>
    <cfRule type="containsText" dxfId="10" priority="12" operator="containsText" text="canceled">
      <formula>NOT(ISERROR(SEARCH("canceled",D366)))</formula>
    </cfRule>
    <cfRule type="containsText" dxfId="9" priority="13" operator="containsText" text="successful">
      <formula>NOT(ISERROR(SEARCH("successful",D366)))</formula>
    </cfRule>
    <cfRule type="containsText" dxfId="8" priority="14" operator="containsText" text="failed">
      <formula>NOT(ISERROR(SEARCH("failed",D366)))</formula>
    </cfRule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:A566">
    <cfRule type="containsText" dxfId="7" priority="6" operator="containsText" text="live">
      <formula>NOT(ISERROR(SEARCH("live",A1)))</formula>
    </cfRule>
    <cfRule type="containsText" dxfId="6" priority="7" operator="containsText" text="canceled">
      <formula>NOT(ISERROR(SEARCH("canceled",A1)))</formula>
    </cfRule>
    <cfRule type="containsText" dxfId="5" priority="8" operator="containsText" text="successful">
      <formula>NOT(ISERROR(SEARCH("successful",A1)))</formula>
    </cfRule>
    <cfRule type="containsText" dxfId="4" priority="9" operator="containsText" text="failed">
      <formula>NOT(ISERROR(SEARCH("failed",A1)))</formula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365">
    <cfRule type="containsText" dxfId="3" priority="1" operator="containsText" text="live">
      <formula>NOT(ISERROR(SEARCH("live",D1)))</formula>
    </cfRule>
    <cfRule type="containsText" dxfId="2" priority="2" operator="containsText" text="canceled">
      <formula>NOT(ISERROR(SEARCH("canceled",D1)))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Campaigns_Outcome</vt:lpstr>
      <vt:lpstr>Outcome_Sub_category</vt:lpstr>
      <vt:lpstr>Monthly_Outcome</vt:lpstr>
      <vt:lpstr>Goal_Analysis</vt:lpstr>
      <vt:lpstr>Statistical Analysis</vt:lpstr>
      <vt:lpstr>failed</vt:lpstr>
      <vt:lpstr>success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tenzin</cp:lastModifiedBy>
  <dcterms:created xsi:type="dcterms:W3CDTF">2021-09-29T18:52:28Z</dcterms:created>
  <dcterms:modified xsi:type="dcterms:W3CDTF">2023-06-03T19:04:38Z</dcterms:modified>
</cp:coreProperties>
</file>