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https://d.docs.live.net/70b428dd39b56759/Data/Excel/Clean Analyse and Present Data in Excel/"/>
    </mc:Choice>
  </mc:AlternateContent>
  <xr:revisionPtr revIDLastSave="1195" documentId="8_{5DD2A0CC-0A40-4CC2-9B57-BB9034A17B5F}" xr6:coauthVersionLast="47" xr6:coauthVersionMax="47" xr10:uidLastSave="{C2689788-E825-4FDB-88D2-6DBAE85235E8}"/>
  <bookViews>
    <workbookView xWindow="-120" yWindow="-120" windowWidth="24240" windowHeight="13020" tabRatio="681" firstSheet="2" activeTab="9" xr2:uid="{1B68DAC2-F712-4B44-89D7-2B63BA783E9D}"/>
  </bookViews>
  <sheets>
    <sheet name="Wellington staff" sheetId="1" state="hidden" r:id="rId1"/>
    <sheet name="India Staff" sheetId="2" state="hidden" r:id="rId2"/>
    <sheet name="All Staff" sheetId="3" r:id="rId3"/>
    <sheet name="Info Finder v2.0" sheetId="4" r:id="rId4"/>
    <sheet name="Male vs Female" sheetId="5" r:id="rId5"/>
    <sheet name="Salary Spread" sheetId="6" r:id="rId6"/>
    <sheet name="Salary vs. Rating" sheetId="7" r:id="rId7"/>
    <sheet name="Rating" sheetId="8" r:id="rId8"/>
    <sheet name="Trend of employment" sheetId="9" r:id="rId9"/>
    <sheet name="Sheet2" sheetId="11" r:id="rId10"/>
    <sheet name="Sheet3" sheetId="12" r:id="rId11"/>
  </sheets>
  <definedNames>
    <definedName name="_xlchart.v1.0" hidden="1">'All Staff'!$F$1</definedName>
    <definedName name="_xlchart.v1.1" hidden="1">'All Staff'!$F$2:$F$207</definedName>
    <definedName name="_xlchart.v1.2" hidden="1">'All Staff'!$F$2:$F$184</definedName>
    <definedName name="_xlcn.WorksheetConnection_CleanAnalyseandPresentDatainExcel.xlsxstaff1" hidden="1">staff[]</definedName>
    <definedName name="ExternalData_1" localSheetId="2" hidden="1">'All Staff'!$A$1:$H$184</definedName>
    <definedName name="Slicer_country">#N/A</definedName>
  </definedNames>
  <calcPr calcId="191028"/>
  <pivotCaches>
    <pivotCache cacheId="0" r:id="rId12"/>
    <pivotCache cacheId="1" r:id="rId13"/>
    <pivotCache cacheId="63" r:id="rId14"/>
    <pivotCache cacheId="99" r:id="rId15"/>
    <pivotCache cacheId="105" r:id="rId16"/>
  </pivotCaches>
  <extLst>
    <ext xmlns:x14="http://schemas.microsoft.com/office/spreadsheetml/2009/9/main" uri="{876F7934-8845-4945-9796-88D515C7AA90}">
      <x14:pivotCaches>
        <pivotCache cacheId="3"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Clean Analyse and Present Data in Excel.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1" l="1"/>
  <c r="G4" i="11"/>
  <c r="E4" i="11"/>
  <c r="J4" i="11"/>
  <c r="L4" i="11" s="1"/>
  <c r="C4" i="11"/>
  <c r="N2" i="9" a="1"/>
  <c r="N2" i="9" s="1"/>
  <c r="O2" i="9" s="1" a="1"/>
  <c r="O2" i="9" s="1"/>
  <c r="P2" i="9" s="1"/>
  <c r="K10" i="3"/>
  <c r="K6" i="3"/>
  <c r="K3" i="3"/>
  <c r="K4" i="3"/>
  <c r="K2" i="3"/>
  <c r="K5" i="3"/>
  <c r="K7" i="3"/>
  <c r="K8" i="3"/>
  <c r="K9"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P4" i="3"/>
  <c r="C5" i="4"/>
  <c r="O29" i="3"/>
  <c r="P9" i="3"/>
  <c r="I165" i="3"/>
  <c r="J165" i="3" s="1"/>
  <c r="P7" i="3"/>
  <c r="I86" i="3"/>
  <c r="J86" i="3" s="1"/>
  <c r="I36" i="3"/>
  <c r="J36" i="3" s="1"/>
  <c r="I175" i="3"/>
  <c r="I38" i="3"/>
  <c r="J38" i="3" s="1"/>
  <c r="I160" i="3"/>
  <c r="J160" i="3" s="1"/>
  <c r="I26" i="3"/>
  <c r="J26" i="3" s="1"/>
  <c r="I62" i="3"/>
  <c r="J62" i="3" s="1"/>
  <c r="I42" i="3"/>
  <c r="J42" i="3" s="1"/>
  <c r="I183" i="3"/>
  <c r="J183" i="3" s="1"/>
  <c r="I158" i="3"/>
  <c r="J158" i="3" s="1"/>
  <c r="I68" i="3"/>
  <c r="J68" i="3" s="1"/>
  <c r="I78" i="3"/>
  <c r="J78" i="3" s="1"/>
  <c r="I152" i="3"/>
  <c r="J152" i="3" s="1"/>
  <c r="I18" i="3"/>
  <c r="J18" i="3" s="1"/>
  <c r="I136" i="3"/>
  <c r="J136" i="3" s="1"/>
  <c r="I8" i="3"/>
  <c r="J8" i="3" s="1"/>
  <c r="I48" i="3"/>
  <c r="J48" i="3" s="1"/>
  <c r="I14" i="3"/>
  <c r="J14" i="3" s="1"/>
  <c r="I98" i="3"/>
  <c r="J98" i="3" s="1"/>
  <c r="I52" i="3"/>
  <c r="J52" i="3" s="1"/>
  <c r="I72" i="3"/>
  <c r="J72" i="3" s="1"/>
  <c r="I50" i="3"/>
  <c r="J50" i="3" s="1"/>
  <c r="I30" i="3"/>
  <c r="J30" i="3" s="1"/>
  <c r="I64" i="3"/>
  <c r="J64" i="3" s="1"/>
  <c r="I92" i="3"/>
  <c r="J92" i="3" s="1"/>
  <c r="I118" i="3"/>
  <c r="J118" i="3" s="1"/>
  <c r="I4" i="3"/>
  <c r="J4" i="3" s="1"/>
  <c r="I100" i="3"/>
  <c r="J100" i="3" s="1"/>
  <c r="I58" i="3"/>
  <c r="J58" i="3" s="1"/>
  <c r="I96" i="3"/>
  <c r="J96" i="3" s="1"/>
  <c r="I177" i="3"/>
  <c r="J177" i="3" s="1"/>
  <c r="I106" i="3"/>
  <c r="J106" i="3" s="1"/>
  <c r="I156" i="3"/>
  <c r="J156" i="3" s="1"/>
  <c r="I32" i="3"/>
  <c r="J32" i="3" s="1"/>
  <c r="I138" i="3"/>
  <c r="J138" i="3" s="1"/>
  <c r="I132" i="3"/>
  <c r="J132" i="3" s="1"/>
  <c r="I142" i="3"/>
  <c r="J142" i="3" s="1"/>
  <c r="I28" i="3"/>
  <c r="J28" i="3" s="1"/>
  <c r="I34" i="3"/>
  <c r="J34" i="3" s="1"/>
  <c r="I104" i="3"/>
  <c r="J104" i="3" s="1"/>
  <c r="I116" i="3"/>
  <c r="J116" i="3" s="1"/>
  <c r="I112" i="3"/>
  <c r="J112" i="3" s="1"/>
  <c r="I128" i="3"/>
  <c r="J128" i="3" s="1"/>
  <c r="I162" i="3"/>
  <c r="J162" i="3" s="1"/>
  <c r="I108" i="3"/>
  <c r="J108" i="3" s="1"/>
  <c r="I76" i="3"/>
  <c r="J76" i="3" s="1"/>
  <c r="I110" i="3"/>
  <c r="J110" i="3" s="1"/>
  <c r="I54" i="3"/>
  <c r="J54" i="3" s="1"/>
  <c r="I181" i="3"/>
  <c r="J181" i="3" s="1"/>
  <c r="I24" i="3"/>
  <c r="J24" i="3" s="1"/>
  <c r="I20" i="3"/>
  <c r="J20" i="3" s="1"/>
  <c r="I173" i="3"/>
  <c r="J173" i="3" s="1"/>
  <c r="I82" i="3"/>
  <c r="J82" i="3" s="1"/>
  <c r="I88" i="3"/>
  <c r="J88" i="3" s="1"/>
  <c r="I154" i="3"/>
  <c r="J154" i="3" s="1"/>
  <c r="I167" i="3"/>
  <c r="J167" i="3" s="1"/>
  <c r="I80" i="3"/>
  <c r="J80" i="3" s="1"/>
  <c r="I179" i="3"/>
  <c r="J179" i="3" s="1"/>
  <c r="I102" i="3"/>
  <c r="J102" i="3" s="1"/>
  <c r="I171" i="3"/>
  <c r="J171" i="3" s="1"/>
  <c r="I124" i="3"/>
  <c r="J124" i="3" s="1"/>
  <c r="I148" i="3"/>
  <c r="J148" i="3" s="1"/>
  <c r="I44" i="3"/>
  <c r="J44" i="3" s="1"/>
  <c r="I122" i="3"/>
  <c r="J122" i="3" s="1"/>
  <c r="I46" i="3"/>
  <c r="J46" i="3" s="1"/>
  <c r="I130" i="3"/>
  <c r="J130" i="3" s="1"/>
  <c r="I70" i="3"/>
  <c r="J70" i="3" s="1"/>
  <c r="I22" i="3"/>
  <c r="J22" i="3" s="1"/>
  <c r="I60" i="3"/>
  <c r="J60" i="3" s="1"/>
  <c r="I144" i="3"/>
  <c r="J144" i="3" s="1"/>
  <c r="I120" i="3"/>
  <c r="J120" i="3" s="1"/>
  <c r="I140" i="3"/>
  <c r="J140" i="3" s="1"/>
  <c r="I169" i="3"/>
  <c r="J169" i="3" s="1"/>
  <c r="I2" i="3"/>
  <c r="J2" i="3" s="1"/>
  <c r="I150" i="3"/>
  <c r="J150" i="3" s="1"/>
  <c r="I10" i="3"/>
  <c r="J10" i="3" s="1"/>
  <c r="I126" i="3"/>
  <c r="J126" i="3" s="1"/>
  <c r="I6" i="3"/>
  <c r="J6" i="3" s="1"/>
  <c r="I146" i="3"/>
  <c r="J146" i="3" s="1"/>
  <c r="I134" i="3"/>
  <c r="J134" i="3" s="1"/>
  <c r="I114" i="3"/>
  <c r="J114" i="3" s="1"/>
  <c r="I16" i="3"/>
  <c r="J16" i="3" s="1"/>
  <c r="I56" i="3"/>
  <c r="J56" i="3" s="1"/>
  <c r="I66" i="3"/>
  <c r="J66" i="3" s="1"/>
  <c r="I12" i="3"/>
  <c r="J12" i="3" s="1"/>
  <c r="I94" i="3"/>
  <c r="J94" i="3" s="1"/>
  <c r="I90" i="3"/>
  <c r="J90" i="3" s="1"/>
  <c r="I74" i="3"/>
  <c r="J74" i="3" s="1"/>
  <c r="I84" i="3"/>
  <c r="J84" i="3" s="1"/>
  <c r="I39" i="3"/>
  <c r="J39" i="3" s="1"/>
  <c r="I163" i="3"/>
  <c r="J163" i="3" s="1"/>
  <c r="I19" i="3"/>
  <c r="J19" i="3" s="1"/>
  <c r="I143" i="3"/>
  <c r="J143" i="3" s="1"/>
  <c r="I21" i="3"/>
  <c r="J21" i="3" s="1"/>
  <c r="I176" i="3"/>
  <c r="J176" i="3" s="1"/>
  <c r="I47" i="3"/>
  <c r="J47" i="3" s="1"/>
  <c r="I131" i="3"/>
  <c r="J131" i="3" s="1"/>
  <c r="I125" i="3"/>
  <c r="J125" i="3" s="1"/>
  <c r="I91" i="3"/>
  <c r="J91" i="3" s="1"/>
  <c r="I157" i="3"/>
  <c r="J157" i="3" s="1"/>
  <c r="I147" i="3"/>
  <c r="J147" i="3" s="1"/>
  <c r="I135" i="3"/>
  <c r="J135" i="3" s="1"/>
  <c r="I25" i="3"/>
  <c r="J25" i="3" s="1"/>
  <c r="I9" i="3"/>
  <c r="J9" i="3" s="1"/>
  <c r="I164" i="3"/>
  <c r="J164" i="3" s="1"/>
  <c r="I33" i="3"/>
  <c r="J33" i="3" s="1"/>
  <c r="I182" i="3"/>
  <c r="J182" i="3" s="1"/>
  <c r="I83" i="3"/>
  <c r="J83" i="3" s="1"/>
  <c r="I109" i="3"/>
  <c r="J109" i="3" s="1"/>
  <c r="I103" i="3"/>
  <c r="J103" i="3" s="1"/>
  <c r="I45" i="3"/>
  <c r="J45" i="3" s="1"/>
  <c r="I121" i="3"/>
  <c r="J121" i="3" s="1"/>
  <c r="I7" i="3"/>
  <c r="J7" i="3" s="1"/>
  <c r="I93" i="3"/>
  <c r="J93" i="3" s="1"/>
  <c r="I11" i="3"/>
  <c r="J11" i="3" s="1"/>
  <c r="I141" i="3"/>
  <c r="J141" i="3" s="1"/>
  <c r="I51" i="3"/>
  <c r="J51" i="3" s="1"/>
  <c r="I172" i="3"/>
  <c r="J172" i="3" s="1"/>
  <c r="I13" i="3"/>
  <c r="J13" i="3" s="1"/>
  <c r="I161" i="3"/>
  <c r="J161" i="3" s="1"/>
  <c r="I23" i="3"/>
  <c r="J23" i="3" s="1"/>
  <c r="I71" i="3"/>
  <c r="J71" i="3" s="1"/>
  <c r="I139" i="3"/>
  <c r="J139" i="3" s="1"/>
  <c r="I111" i="3"/>
  <c r="J111" i="3" s="1"/>
  <c r="I35" i="3"/>
  <c r="J35" i="3" s="1"/>
  <c r="I159" i="3"/>
  <c r="J159" i="3" s="1"/>
  <c r="I184" i="3"/>
  <c r="J184" i="3" s="1"/>
  <c r="I166" i="3"/>
  <c r="J166" i="3" s="1"/>
  <c r="I174" i="3"/>
  <c r="J174" i="3" s="1"/>
  <c r="I31" i="3"/>
  <c r="J31" i="3" s="1"/>
  <c r="I99" i="3"/>
  <c r="J99" i="3" s="1"/>
  <c r="I37" i="3"/>
  <c r="J37" i="3" s="1"/>
  <c r="I115" i="3"/>
  <c r="J115" i="3" s="1"/>
  <c r="I3" i="3"/>
  <c r="J3" i="3" s="1"/>
  <c r="I95" i="3"/>
  <c r="J95" i="3" s="1"/>
  <c r="I53" i="3"/>
  <c r="J53" i="3" s="1"/>
  <c r="I149" i="3"/>
  <c r="J149" i="3" s="1"/>
  <c r="I49" i="3"/>
  <c r="J49" i="3" s="1"/>
  <c r="I127" i="3"/>
  <c r="J127" i="3" s="1"/>
  <c r="I85" i="3"/>
  <c r="J85" i="3" s="1"/>
  <c r="I101" i="3"/>
  <c r="J101" i="3" s="1"/>
  <c r="I123" i="3"/>
  <c r="J123" i="3" s="1"/>
  <c r="I61" i="3"/>
  <c r="J61" i="3" s="1"/>
  <c r="I178" i="3"/>
  <c r="J178" i="3" s="1"/>
  <c r="I67" i="3"/>
  <c r="J67" i="3" s="1"/>
  <c r="I65" i="3"/>
  <c r="J65" i="3" s="1"/>
  <c r="I129" i="3"/>
  <c r="J129" i="3" s="1"/>
  <c r="I29" i="3"/>
  <c r="J29" i="3" s="1"/>
  <c r="I113" i="3"/>
  <c r="J113" i="3" s="1"/>
  <c r="I119" i="3"/>
  <c r="J119" i="3" s="1"/>
  <c r="I77" i="3"/>
  <c r="J77" i="3" s="1"/>
  <c r="I40" i="3"/>
  <c r="J40" i="3" s="1"/>
  <c r="I17" i="3"/>
  <c r="J17" i="3" s="1"/>
  <c r="I155" i="3"/>
  <c r="J155" i="3" s="1"/>
  <c r="I137" i="3"/>
  <c r="J137" i="3" s="1"/>
  <c r="I15" i="3"/>
  <c r="J15" i="3" s="1"/>
  <c r="I89" i="3"/>
  <c r="J89" i="3" s="1"/>
  <c r="I168" i="3"/>
  <c r="J168" i="3" s="1"/>
  <c r="I117" i="3"/>
  <c r="J117" i="3" s="1"/>
  <c r="I41" i="3"/>
  <c r="J41" i="3" s="1"/>
  <c r="I79" i="3"/>
  <c r="J79" i="3" s="1"/>
  <c r="I73" i="3"/>
  <c r="J73" i="3" s="1"/>
  <c r="I81" i="3"/>
  <c r="J81" i="3" s="1"/>
  <c r="I59" i="3"/>
  <c r="J59" i="3" s="1"/>
  <c r="I151" i="3"/>
  <c r="J151" i="3" s="1"/>
  <c r="I180" i="3"/>
  <c r="J180" i="3" s="1"/>
  <c r="I105" i="3"/>
  <c r="J105" i="3" s="1"/>
  <c r="I170" i="3"/>
  <c r="J170" i="3" s="1"/>
  <c r="I145" i="3"/>
  <c r="J145" i="3" s="1"/>
  <c r="I75" i="3"/>
  <c r="J75" i="3" s="1"/>
  <c r="I5" i="3"/>
  <c r="J5" i="3" s="1"/>
  <c r="I63" i="3"/>
  <c r="J63" i="3" s="1"/>
  <c r="I153" i="3"/>
  <c r="J153" i="3" s="1"/>
  <c r="I69" i="3"/>
  <c r="J69" i="3" s="1"/>
  <c r="I97" i="3"/>
  <c r="J97" i="3" s="1"/>
  <c r="I43" i="3"/>
  <c r="J43" i="3" s="1"/>
  <c r="I107" i="3"/>
  <c r="J107" i="3" s="1"/>
  <c r="I55" i="3"/>
  <c r="J55" i="3" s="1"/>
  <c r="I87" i="3"/>
  <c r="J87" i="3" s="1"/>
  <c r="I57" i="3"/>
  <c r="J57" i="3" s="1"/>
  <c r="I27" i="3"/>
  <c r="J27" i="3" s="1"/>
  <c r="I133" i="3"/>
  <c r="J133" i="3" s="1"/>
  <c r="R5" i="3"/>
  <c r="R4" i="3"/>
  <c r="P5" i="3"/>
  <c r="P3" i="3"/>
  <c r="E104" i="1"/>
  <c r="G104" i="1"/>
  <c r="H104" i="1"/>
  <c r="P32" i="9" l="1"/>
  <c r="P15" i="9"/>
  <c r="P8" i="9"/>
  <c r="P7" i="9"/>
  <c r="P31" i="9"/>
  <c r="P24" i="9"/>
  <c r="P23" i="9"/>
  <c r="P16" i="9"/>
  <c r="Q2" i="9"/>
  <c r="P30" i="9"/>
  <c r="P22" i="9"/>
  <c r="P14" i="9"/>
  <c r="P6" i="9"/>
  <c r="P37" i="9"/>
  <c r="P29" i="9"/>
  <c r="P21" i="9"/>
  <c r="P13" i="9"/>
  <c r="P5" i="9"/>
  <c r="P36" i="9"/>
  <c r="P28" i="9"/>
  <c r="P20" i="9"/>
  <c r="P12" i="9"/>
  <c r="P35" i="9"/>
  <c r="P27" i="9"/>
  <c r="P19" i="9"/>
  <c r="P11" i="9"/>
  <c r="P3" i="9"/>
  <c r="P34" i="9"/>
  <c r="P26" i="9"/>
  <c r="P18" i="9"/>
  <c r="P10" i="9"/>
  <c r="P4" i="9"/>
  <c r="P33" i="9"/>
  <c r="P25" i="9"/>
  <c r="P17" i="9"/>
  <c r="P9" i="9"/>
  <c r="J175" i="3"/>
  <c r="B8" i="4" s="1" a="1"/>
  <c r="B8" i="4" s="1"/>
  <c r="P10" i="3"/>
  <c r="P19" i="3" a="1"/>
  <c r="P19" i="3" s="1"/>
  <c r="P8" i="3"/>
  <c r="P6" i="3"/>
  <c r="Q15" i="9" l="1"/>
  <c r="Q5" i="9"/>
  <c r="Q37" i="9"/>
  <c r="Q10" i="9"/>
  <c r="Q24" i="9"/>
  <c r="Q13" i="9"/>
  <c r="Q26" i="9"/>
  <c r="Q29" i="9"/>
  <c r="Q12" i="9"/>
  <c r="Q16" i="9"/>
  <c r="Q28" i="9"/>
  <c r="Q21" i="9"/>
  <c r="Q33" i="9"/>
  <c r="Q8" i="9"/>
  <c r="Q30" i="9"/>
  <c r="Q7" i="9"/>
  <c r="Q18" i="9"/>
  <c r="Q32" i="9"/>
  <c r="Q6" i="9"/>
  <c r="Q35" i="9"/>
  <c r="Q4" i="9"/>
  <c r="Q25" i="9"/>
  <c r="Q3" i="9"/>
  <c r="Q22" i="9"/>
  <c r="Q11" i="9"/>
  <c r="Q20" i="9"/>
  <c r="Q27" i="9"/>
  <c r="Q36" i="9"/>
  <c r="Q17" i="9"/>
  <c r="Q31" i="9"/>
  <c r="Q14" i="9"/>
  <c r="Q19" i="9"/>
  <c r="Q34" i="9"/>
  <c r="Q9" i="9"/>
  <c r="Q23"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12D7FB-88D7-4CF1-A135-26E4F27BD5FB}"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1B66F54C-237E-4E72-90B1-BD0AC570BB17}"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82E2DCE9-6387-494A-9265-B2C33C1F2C13}"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194CC822-24EC-4C74-B412-19957D4E3AC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0A78C616-2492-477E-97A3-B7E01430950E}" name="WorksheetConnection_Clean Analyse and Present Data in Excel.xlsx!staff" type="102" refreshedVersion="8" minRefreshableVersion="5">
    <extLst>
      <ext xmlns:x15="http://schemas.microsoft.com/office/spreadsheetml/2010/11/main" uri="{DE250136-89BD-433C-8126-D09CA5730AF9}">
        <x15:connection id="staff" autoDelete="1">
          <x15:rangePr sourceName="_xlcn.WorksheetConnection_CleanAnalyseandPresentDatainExcel.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<sst xmlns="http://schemas.openxmlformats.org/spreadsheetml/2006/main" count="1892" uniqueCount="257">
  <si>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</si>
  <si>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</si>
  <si>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</si>
  <si>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</si>
  <si>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</si>
  <si>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</si>
  <si>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</si>
  <si>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</si>
  <si>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</si>
  <si>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</si>
  <si>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</si>
  <si>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</si>
  <si>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</si>
  <si>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</si>
  <si>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</si>
  <si>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</si>
  <si>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</si>
  <si>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</si>
  <si>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</si>
  <si>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</si>
  <si>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</si>
  <si>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</si>
  <si>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</si>
  <si>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</si>
  <si>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</si>
  <si>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</si>
  <si>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</si>
  <si>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</si>
  <si>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</si>
  <si>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</si>
  <si>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</si>
  <si>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</si>
  <si>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</si>
  <si>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</si>
  <si>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</si>
  <si>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</si>
  <si>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</si>
  <si>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</si>
  <si>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</si>
  <si>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</si>
  <si>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</si>
  <si>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</si>
  <si>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</si>
  <si>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</si>
  <si>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</si>
  <si>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</si>
  <si>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</si>
  <si>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</si>
  <si>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</si>
  <si>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</si>
  <si>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</si>
  <si>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</si>
  <si>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</si>
  <si>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</si>
  <si>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</si>
  <si>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</si>
  <si>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</si>
  <si>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</si>
  <si>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</si>
  <si>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</si>
  <si>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</si>
  <si>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</si>
  <si>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</si>
  <si>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</si>
  <si>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</si>
  <si>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</si>
  <si>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</si>
  <si>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</si>
  <si>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</si>
  <si>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</si>
  <si>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</si>
  <si>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</si>
  <si>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</si>
  <si>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</si>
  <si>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</si>
  <si>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</si>
  <si>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</si>
  <si>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</si>
  <si>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</si>
  <si>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</si>
  <si>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</si>
  <si>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</si>
  <si>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</si>
  <si>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</si>
  <si>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</si>
  <si>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</si>
  <si>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</si>
  <si>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</si>
  <si>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</si>
  <si>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</si>
  <si>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</si>
  <si>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</si>
  <si>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</si>
  <si>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</si>
  <si>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</si>
  <si>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</si>
  <si>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</si>
  <si>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</si>
  <si>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</si>
  <si>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</si>
  <si>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</si>
  <si>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</si>
  <si>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</si>
  <si>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</si>
  <si>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</si>
  <si>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</si>
  <si>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</si>
  <si>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</si>
  <si>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</si>
  <si>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</si>
  <si>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Total</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</si>
  <si>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</si>
  <si>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</si>
  <si>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</si>
  <si>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</si>
  <si>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</si>
  <si>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</si>
  <si>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</si>
  <si>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</si>
  <si>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</si>
  <si>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</si>
  <si>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</si>
  <si>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</si>
  <si>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</si>
  <si>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</si>
  <si>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</si>
  <si>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</si>
  <si>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</si>
  <si>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</si>
  <si>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</si>
  <si>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</si>
  <si>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</si>
  <si>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</si>
  <si>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</si>
  <si>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</si>
  <si>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</si>
  <si>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</si>
  <si>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</si>
  <si>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</si>
  <si>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</si>
  <si>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</si>
  <si>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</si>
  <si>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</si>
  <si>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</si>
  <si>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</si>
  <si>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</si>
  <si>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</si>
  <si>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</si>
  <si>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</si>
  <si>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</si>
  <si>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</si>
  <si>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</si>
  <si>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</si>
  <si>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</si>
  <si>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</si>
  <si>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</si>
  <si>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</si>
  <si>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</si>
  <si>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</si>
  <si>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</si>
  <si>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</si>
  <si>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</si>
  <si>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</si>
  <si>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</si>
  <si>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</si>
  <si>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</si>
  <si>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</si>
  <si>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</si>
  <si>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</si>
  <si>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</si>
  <si>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</si>
  <si>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</si>
  <si>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</si>
  <si>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</si>
  <si>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</si>
  <si>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</si>
  <si>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</si>
  <si>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</si>
  <si>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</si>
  <si>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</si>
  <si>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</si>
  <si>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</si>
  <si>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</si>
  <si>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</si>
  <si>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</si>
  <si>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</si>
  <si>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</si>
  <si>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</si>
  <si>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</si>
  <si>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</si>
  <si>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</si>
  <si>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</si>
  <si>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</si>
  <si>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</si>
  <si>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</si>
  <si>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</si>
  <si>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</si>
  <si>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</si>
  <si>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</si>
  <si>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</si>
  <si>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</si>
  <si>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</si>
  <si>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</si>
  <si>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country</t>
  </si>
  <si>
    <t>Tenure</t>
  </si>
  <si>
    <t>Bonus</t>
  </si>
  <si>
    <t>Rating as number</t>
  </si>
  <si>
    <t>NZ</t>
  </si>
  <si>
    <t>Quick Summary of the  Data</t>
  </si>
  <si>
    <t>IND</t>
  </si>
  <si>
    <t>Count of employees</t>
  </si>
  <si>
    <t>Average salary</t>
  </si>
  <si>
    <t>Median Salary</t>
  </si>
  <si>
    <t>Average Age</t>
  </si>
  <si>
    <t>Median Age</t>
  </si>
  <si>
    <t>Average Tenure</t>
  </si>
  <si>
    <t>Female count</t>
  </si>
  <si>
    <t>Female Ratio %</t>
  </si>
  <si>
    <t>Count of $90,000 &gt;</t>
  </si>
  <si>
    <t>Ratio of $90,000 &gt;</t>
  </si>
  <si>
    <t>Country</t>
  </si>
  <si>
    <t>Others</t>
  </si>
  <si>
    <t>Information Finder</t>
  </si>
  <si>
    <t>Department Name</t>
  </si>
  <si>
    <t>finance</t>
  </si>
  <si>
    <t>Number of people</t>
  </si>
  <si>
    <t>Male vs. Female</t>
  </si>
  <si>
    <t>Column Labels</t>
  </si>
  <si>
    <t>Values</t>
  </si>
  <si>
    <t>Count of Name</t>
  </si>
  <si>
    <t>Average Salary</t>
  </si>
  <si>
    <t xml:space="preserve">  </t>
  </si>
  <si>
    <t>Row Labels</t>
  </si>
  <si>
    <t>Average of Salary</t>
  </si>
  <si>
    <t>Grand Total</t>
  </si>
  <si>
    <t>2020</t>
  </si>
  <si>
    <t>May</t>
  </si>
  <si>
    <t>Jun</t>
  </si>
  <si>
    <t>Jul</t>
  </si>
  <si>
    <t>Aug</t>
  </si>
  <si>
    <t>Sep</t>
  </si>
  <si>
    <t>Oct</t>
  </si>
  <si>
    <t>Nov</t>
  </si>
  <si>
    <t>Dec</t>
  </si>
  <si>
    <t>2021</t>
  </si>
  <si>
    <t>Jan</t>
  </si>
  <si>
    <t>Feb</t>
  </si>
  <si>
    <t>Mar</t>
  </si>
  <si>
    <t>Apr</t>
  </si>
  <si>
    <t>2022</t>
  </si>
  <si>
    <t>2023</t>
  </si>
  <si>
    <t>Month</t>
  </si>
  <si>
    <t>Headcount</t>
  </si>
  <si>
    <t>Running Total</t>
  </si>
  <si>
    <t>Headcount by Department</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</si>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</sst>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_);[Red]\(&quot;$&quot;#,##0.00\)"/>
    <numFmt numFmtId="165" formatCode="_(&quot;$&quot;* #,##0.00_);_(&quot;$&quot;* \(#,##0.00\);_(&quot;$&quot;* &quot;-&quot;??_);_(@_)"/>
    <numFmt numFmtId="166" formatCode="_(* #,##0.00_);_(* \(#,##0.00\);_(* &quot;-&quot;??_);_(@_)"/>
    <numFmt numFmtId="167" formatCode="&quot;$&quot;#,##0.00"/>
    <numFmt numFmtId="168" formatCode="_([$$-409]* #,##0_);_([$$-409]* \(#,##0\);_([$$-409]* &quot;-&quot;??_);_(@_)"/>
    <numFmt numFmtId="169" formatCode="&quot;$&quot;#,##0"/>
    <numFmt numFmtId="170" formatCode="[$$-409]#,##0"/>
    <numFmt numFmtId="180" formatCode="[$$-4809]#,##0"/>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36"/>
      <color theme="0"/>
      <name val="Segoe UI Black"/>
      <family val="2"/>
    </font>
    <font>
      <b/>
      <sz val="24"/>
      <color theme="0"/>
      <name val="Segoe UI Black"/>
      <family val="2"/>
    </font>
    <font>
      <b/>
      <sz val="24"/>
      <color theme="1"/>
      <name val="Segoe UI Black"/>
      <family val="2"/>
    </font>
    <font>
      <b/>
      <sz val="36"/>
      <color theme="1"/>
      <name val="Segoe UI Black"/>
      <family val="2"/>
    </font>
    <font>
      <sz val="28"/>
      <color theme="1"/>
      <name val="Abadi Extra Light"/>
      <family val="2"/>
    </font>
    <font>
      <sz val="26"/>
      <color theme="1"/>
      <name val="Abadi Extra Light"/>
      <family val="2"/>
    </font>
    <font>
      <sz val="18"/>
      <color theme="1"/>
      <name val="Abadi Extra Light"/>
      <family val="2"/>
    </font>
    <font>
      <sz val="11"/>
      <color theme="1"/>
      <name val="Abadi Extra Light"/>
      <family val="2"/>
    </font>
  </fonts>
  <fills count="7">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166" fontId="1" fillId="0" borderId="0" applyFont="0" applyFill="0" applyBorder="0" applyAlignment="0" applyProtection="0"/>
    <xf numFmtId="165" fontId="1" fillId="0" borderId="0" applyFont="0" applyFill="0" applyBorder="0" applyAlignment="0" applyProtection="0"/>
  </cellStyleXfs>
  <cellXfs count="56">
    <xf numFmtId="0" fontId="0" fillId="0" borderId="0" xfId="0"/>
    <xf numFmtId="0" fontId="2" fillId="0" borderId="0" xfId="0" applyFont="1"/>
    <xf numFmtId="15" fontId="2" fillId="0" borderId="0" xfId="0" applyNumberFormat="1" applyFont="1"/>
    <xf numFmtId="15" fontId="0" fillId="0" borderId="0" xfId="0" applyNumberFormat="1"/>
    <xf numFmtId="164" fontId="0" fillId="0" borderId="0" xfId="0" applyNumberFormat="1"/>
    <xf numFmtId="164" fontId="2" fillId="0" borderId="0" xfId="0" applyNumberFormat="1" applyFont="1"/>
    <xf numFmtId="22" fontId="0" fillId="0" borderId="0" xfId="0" applyNumberFormat="1"/>
    <xf numFmtId="14" fontId="0" fillId="0" borderId="0" xfId="0" applyNumberFormat="1"/>
    <xf numFmtId="166" fontId="0" fillId="0" borderId="0" xfId="1" applyFont="1"/>
    <xf numFmtId="0" fontId="0" fillId="0" borderId="2" xfId="0" applyBorder="1"/>
    <xf numFmtId="0" fontId="2" fillId="0" borderId="3" xfId="0" applyFont="1" applyBorder="1"/>
    <xf numFmtId="0" fontId="0" fillId="0" borderId="3" xfId="0" applyBorder="1"/>
    <xf numFmtId="0" fontId="0" fillId="0" borderId="4" xfId="0" applyBorder="1"/>
    <xf numFmtId="0" fontId="0" fillId="0" borderId="5" xfId="0" applyBorder="1"/>
    <xf numFmtId="0" fontId="2" fillId="0" borderId="6" xfId="0" applyFont="1" applyBorder="1"/>
    <xf numFmtId="0" fontId="0" fillId="0" borderId="6" xfId="0" applyBorder="1"/>
    <xf numFmtId="9" fontId="0" fillId="0" borderId="0" xfId="0" applyNumberFormat="1"/>
    <xf numFmtId="0" fontId="0" fillId="0" borderId="7" xfId="0" applyBorder="1"/>
    <xf numFmtId="9" fontId="0" fillId="0" borderId="8" xfId="0" applyNumberFormat="1" applyBorder="1"/>
    <xf numFmtId="0" fontId="0" fillId="0" borderId="8" xfId="0" applyBorder="1"/>
    <xf numFmtId="0" fontId="0" fillId="0" borderId="9" xfId="0" applyBorder="1"/>
    <xf numFmtId="0" fontId="0" fillId="0" borderId="0" xfId="0" applyAlignment="1">
      <alignment horizontal="left"/>
    </xf>
    <xf numFmtId="0" fontId="2" fillId="2" borderId="0" xfId="0" applyFont="1" applyFill="1"/>
    <xf numFmtId="0" fontId="0" fillId="0" borderId="1" xfId="0" applyBorder="1"/>
    <xf numFmtId="0" fontId="0" fillId="0" borderId="1" xfId="0" applyBorder="1" applyAlignment="1">
      <alignment horizontal="left"/>
    </xf>
    <xf numFmtId="14" fontId="0" fillId="0" borderId="1" xfId="0" applyNumberFormat="1" applyBorder="1" applyAlignment="1">
      <alignment horizontal="left"/>
    </xf>
    <xf numFmtId="22"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horizontal="right"/>
    </xf>
    <xf numFmtId="0" fontId="3" fillId="3" borderId="0" xfId="0" applyFont="1" applyFill="1" applyAlignment="1">
      <alignment horizontal="left"/>
    </xf>
    <xf numFmtId="0" fontId="3" fillId="3" borderId="0" xfId="0" applyFont="1" applyFill="1" applyAlignment="1">
      <alignment horizontal="center"/>
    </xf>
    <xf numFmtId="0" fontId="0" fillId="0" borderId="0" xfId="0" pivotButton="1"/>
    <xf numFmtId="2" fontId="0" fillId="0" borderId="0" xfId="0" applyNumberFormat="1"/>
    <xf numFmtId="2" fontId="0" fillId="0" borderId="0" xfId="1" applyNumberFormat="1" applyFont="1"/>
    <xf numFmtId="167" fontId="0" fillId="0" borderId="0" xfId="0" applyNumberFormat="1"/>
    <xf numFmtId="168" fontId="0" fillId="0" borderId="0" xfId="2" applyNumberFormat="1" applyFont="1"/>
    <xf numFmtId="169" fontId="0" fillId="0" borderId="0" xfId="2" applyNumberFormat="1" applyFont="1"/>
    <xf numFmtId="167" fontId="2" fillId="0" borderId="0" xfId="2" applyNumberFormat="1" applyFont="1" applyBorder="1"/>
    <xf numFmtId="168" fontId="0" fillId="0" borderId="0" xfId="0" applyNumberFormat="1"/>
    <xf numFmtId="170" fontId="0" fillId="0" borderId="0" xfId="0" applyNumberFormat="1"/>
    <xf numFmtId="1" fontId="0" fillId="0" borderId="0" xfId="1" applyNumberFormat="1" applyFont="1"/>
    <xf numFmtId="0" fontId="0" fillId="0" borderId="0" xfId="0" applyAlignment="1">
      <alignment horizontal="left" indent="1"/>
    </xf>
    <xf numFmtId="0" fontId="2" fillId="2" borderId="8" xfId="0" applyFont="1" applyFill="1" applyBorder="1" applyAlignment="1">
      <alignment horizontal="center"/>
    </xf>
    <xf numFmtId="0" fontId="2" fillId="0" borderId="0" xfId="0" applyFont="1"/>
    <xf numFmtId="17" fontId="0" fillId="0" borderId="0" xfId="0" applyNumberFormat="1"/>
    <xf numFmtId="17" fontId="2" fillId="0" borderId="0" xfId="0" applyNumberFormat="1" applyFont="1"/>
    <xf numFmtId="0" fontId="4" fillId="5" borderId="0" xfId="0" applyFont="1" applyFill="1" applyAlignment="1">
      <alignment horizontal="center" vertical="center"/>
    </xf>
    <xf numFmtId="9" fontId="4" fillId="5" borderId="0" xfId="0" applyNumberFormat="1" applyFont="1" applyFill="1" applyAlignment="1">
      <alignment horizontal="center" vertical="center"/>
    </xf>
    <xf numFmtId="180" fontId="5" fillId="5" borderId="0" xfId="0" applyNumberFormat="1" applyFont="1" applyFill="1" applyAlignment="1">
      <alignment horizontal="center" vertical="center"/>
    </xf>
    <xf numFmtId="0" fontId="7" fillId="6" borderId="0" xfId="0" applyFont="1" applyFill="1" applyAlignment="1">
      <alignment horizontal="center" vertical="center"/>
    </xf>
    <xf numFmtId="9" fontId="7" fillId="6" borderId="0" xfId="0" applyNumberFormat="1" applyFont="1" applyFill="1" applyAlignment="1">
      <alignment horizontal="center" vertical="center"/>
    </xf>
    <xf numFmtId="170" fontId="6" fillId="6" borderId="0" xfId="0" applyNumberFormat="1" applyFont="1" applyFill="1" applyAlignment="1">
      <alignment horizontal="center" vertical="center"/>
    </xf>
    <xf numFmtId="0" fontId="8" fillId="0" borderId="0" xfId="0" applyFont="1" applyAlignment="1">
      <alignment horizontal="center"/>
    </xf>
    <xf numFmtId="0" fontId="9" fillId="0" borderId="0" xfId="0" applyFont="1" applyAlignment="1">
      <alignment horizontal="center"/>
    </xf>
    <xf numFmtId="0" fontId="10" fillId="4" borderId="0" xfId="0" applyFont="1" applyFill="1" applyAlignment="1">
      <alignment horizontal="center" vertical="center"/>
    </xf>
    <xf numFmtId="0" fontId="11" fillId="4" borderId="0" xfId="0" applyFont="1" applyFill="1" applyAlignment="1">
      <alignment horizontal="center" vertical="center"/>
    </xf>
  </cellXfs>
  <cellStyles count="3">
    <cellStyle name="Comma" xfId="1" builtinId="3"/>
    <cellStyle name="Currency" xfId="2" builtinId="4"/>
    <cellStyle name="Normal" xfId="0" builtinId="0"/>
  </cellStyles>
  <dxfs count="23">
    <dxf>
      <font>
        <color rgb="FF9C0006"/>
      </font>
      <fill>
        <patternFill>
          <bgColor rgb="FFFFC7CE"/>
        </patternFill>
      </fill>
    </dxf>
    <dxf>
      <fill>
        <patternFill patternType="none">
          <bgColor auto="1"/>
        </patternFill>
      </fill>
    </dxf>
    <dxf>
      <fill>
        <patternFill patternType="solid">
          <fgColor indexed="64"/>
          <bgColor theme="9"/>
        </patternFill>
      </fill>
    </dxf>
    <dxf>
      <numFmt numFmtId="167" formatCode="&quot;$&quot;#,##0.00"/>
    </dxf>
    <dxf>
      <numFmt numFmtId="2" formatCode="0.00"/>
    </dxf>
    <dxf>
      <numFmt numFmtId="2" formatCode="0.00"/>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 formatCode="0"/>
    </dxf>
    <dxf>
      <numFmt numFmtId="168" formatCode="_([$$-409]* #,##0_);_([$$-409]* \(#,##0\);_([$$-409]* &quot;-&quot;??_);_(@_)"/>
    </dxf>
    <dxf>
      <numFmt numFmtId="2" formatCode="0.00"/>
    </dxf>
    <dxf>
      <numFmt numFmtId="0" formatCode="General"/>
    </dxf>
    <dxf>
      <numFmt numFmtId="0" formatCode="General"/>
    </dxf>
    <dxf>
      <numFmt numFmtId="168" formatCode="_([$$-409]* #,##0_);_([$$-409]* \(#,##0\);_([$$-409]* &quot;-&quot;??_);_(@_)"/>
    </dxf>
    <dxf>
      <numFmt numFmtId="171" formatCode="m/d/yyyy"/>
    </dxf>
    <dxf>
      <numFmt numFmtId="0" formatCode="General"/>
    </dxf>
    <dxf>
      <numFmt numFmtId="0" formatCode="General"/>
    </dxf>
    <dxf>
      <numFmt numFmtId="0" formatCode="General"/>
    </dxf>
    <dxf>
      <numFmt numFmtId="172" formatCode="d\-mmm\-yy"/>
    </dxf>
    <dxf>
      <font>
        <b/>
        <i val="0"/>
        <strike val="0"/>
        <condense val="0"/>
        <extend val="0"/>
        <outline val="0"/>
        <shadow val="0"/>
        <u val="none"/>
        <vertAlign val="baseline"/>
        <sz val="11"/>
        <color theme="1"/>
        <name val="Calibri"/>
        <family val="2"/>
        <scheme val="minor"/>
      </font>
    </dxf>
    <dxf>
      <numFmt numFmtId="164" formatCode="&quot;$&quot;#,##0.00_);[Red]\(&quot;$&quot;#,##0.00\)"/>
    </dxf>
    <dxf>
      <numFmt numFmtId="164" formatCode="&quot;$&quot;#,##0.00_);[Red]\(&quot;$&quot;#,##0.0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25400" cap="rnd">
              <a:noFill/>
              <a:round/>
            </a:ln>
            <a:effectLst/>
          </c:spPr>
          <c:marker>
            <c:symbol val="circle"/>
            <c:size val="5"/>
            <c:spPr>
              <a:solidFill>
                <a:schemeClr val="accent1"/>
              </a:solidFill>
              <a:ln w="9525">
                <a:solidFill>
                  <a:schemeClr val="accent1"/>
                </a:solidFill>
              </a:ln>
              <a:effectLst/>
            </c:spPr>
          </c:marker>
          <c:xVal>
            <c:numRef>
              <c:f>'All Staff'!$F$2:$F$207</c:f>
              <c:numCache>
                <c:formatCode>_([$$-409]* #,##0_);_([$$-409]* \(#,##0\);_([$$-409]* "-"??_);_(@_)</c:formatCode>
                <c:ptCount val="206"/>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Staff'!$K$2:$K$207</c:f>
              <c:numCache>
                <c:formatCode>0</c:formatCode>
                <c:ptCount val="206"/>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3014-4914-B364-677AD8BAC8FA}"/>
            </c:ext>
          </c:extLst>
        </c:ser>
        <c:dLbls>
          <c:showLegendKey val="0"/>
          <c:showVal val="0"/>
          <c:showCatName val="0"/>
          <c:showSerName val="0"/>
          <c:showPercent val="0"/>
          <c:showBubbleSize val="0"/>
        </c:dLbls>
        <c:axId val="57283592"/>
        <c:axId val="57335816"/>
      </c:scatterChart>
      <c:valAx>
        <c:axId val="57283592"/>
        <c:scaling>
          <c:orientation val="minMax"/>
        </c:scaling>
        <c:delete val="0"/>
        <c:axPos val="b"/>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35816"/>
        <c:crosses val="autoZero"/>
        <c:crossBetween val="midCat"/>
      </c:valAx>
      <c:valAx>
        <c:axId val="57335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835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 Analyse and Present Data in Excel.xlsx]Trend of employment!PivotTable2</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 of employment'!$C$3</c:f>
              <c:strCache>
                <c:ptCount val="1"/>
                <c:pt idx="0">
                  <c:v>Total</c:v>
                </c:pt>
              </c:strCache>
            </c:strRef>
          </c:tx>
          <c:spPr>
            <a:ln w="28575" cap="rnd">
              <a:solidFill>
                <a:schemeClr val="accent1"/>
              </a:solidFill>
              <a:round/>
            </a:ln>
            <a:effectLst/>
          </c:spPr>
          <c:marker>
            <c:symbol val="none"/>
          </c:marker>
          <c:cat>
            <c:multiLvlStrRef>
              <c:f>'Trend of employment'!$B$4:$B$40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'Trend of employment'!$C$4:$C$40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E837-4344-BE7E-1C52B2F778A3}"/>
            </c:ext>
          </c:extLst>
        </c:ser>
        <c:dLbls>
          <c:showLegendKey val="0"/>
          <c:showVal val="0"/>
          <c:showCatName val="0"/>
          <c:showSerName val="0"/>
          <c:showPercent val="0"/>
          <c:showBubbleSize val="0"/>
        </c:dLbls>
        <c:smooth val="0"/>
        <c:axId val="1304041727"/>
        <c:axId val="1366031919"/>
      </c:lineChart>
      <c:catAx>
        <c:axId val="130404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031919"/>
        <c:crosses val="autoZero"/>
        <c:auto val="1"/>
        <c:lblAlgn val="ctr"/>
        <c:lblOffset val="100"/>
        <c:noMultiLvlLbl val="0"/>
      </c:catAx>
      <c:valAx>
        <c:axId val="1366031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04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'Trend of employment'!$Q$1</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'Trend of employment'!$O$2:$O$40</c:f>
              <c:numCache>
                <c:formatCode>mmm\-yy</c:formatCode>
                <c:ptCount val="39"/>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'Trend of employment'!$Q$2:$Q$40</c:f>
              <c:numCache>
                <c:formatCode>General</c:formatCode>
                <c:ptCount val="39"/>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7E12-4E45-BFDD-48E346A6C683}"/>
            </c:ext>
          </c:extLst>
        </c:ser>
        <c:dLbls>
          <c:showLegendKey val="0"/>
          <c:showVal val="0"/>
          <c:showCatName val="0"/>
          <c:showSerName val="0"/>
          <c:showPercent val="0"/>
          <c:showBubbleSize val="0"/>
        </c:dLbls>
        <c:marker val="1"/>
        <c:smooth val="0"/>
        <c:axId val="2089303423"/>
        <c:axId val="1501042831"/>
      </c:lineChart>
      <c:dateAx>
        <c:axId val="2089303423"/>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042831"/>
        <c:crosses val="autoZero"/>
        <c:auto val="1"/>
        <c:lblOffset val="100"/>
        <c:baseTimeUnit val="months"/>
      </c:dateAx>
      <c:valAx>
        <c:axId val="1501042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30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 Analyse and Present Data in Excel.xlsx]Sheet3!PivotTable1</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Sheet3!$C$4</c:f>
              <c:strCache>
                <c:ptCount val="1"/>
                <c:pt idx="0">
                  <c:v>Total</c:v>
                </c:pt>
              </c:strCache>
            </c:strRef>
          </c:tx>
          <c:spPr>
            <a:solidFill>
              <a:schemeClr val="accent1"/>
            </a:solidFill>
            <a:ln>
              <a:noFill/>
            </a:ln>
            <a:effectLst/>
          </c:spPr>
          <c:invertIfNegative val="0"/>
          <c:cat>
            <c:strRef>
              <c:f>Sheet3!$B$5:$B$10</c:f>
              <c:strCache>
                <c:ptCount val="5"/>
                <c:pt idx="0">
                  <c:v>Website</c:v>
                </c:pt>
                <c:pt idx="1">
                  <c:v>Procurement</c:v>
                </c:pt>
                <c:pt idx="2">
                  <c:v>Finance</c:v>
                </c:pt>
                <c:pt idx="3">
                  <c:v>Sales</c:v>
                </c:pt>
                <c:pt idx="4">
                  <c:v>HR</c:v>
                </c:pt>
              </c:strCache>
            </c:strRef>
          </c:cat>
          <c:val>
            <c:numRef>
              <c:f>Sheet3!$C$5:$C$10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33F7-4174-97A2-4E1D63AA2112}"/>
            </c:ext>
          </c:extLst>
        </c:ser>
        <c:dLbls>
          <c:showLegendKey val="0"/>
          <c:showVal val="0"/>
          <c:showCatName val="0"/>
          <c:showSerName val="0"/>
          <c:showPercent val="0"/>
          <c:showBubbleSize val="0"/>
        </c:dLbls>
        <c:gapWidth val="25"/>
        <c:axId val="2089296223"/>
        <c:axId val="989912303"/>
      </c:barChart>
      <c:catAx>
        <c:axId val="20892962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912303"/>
        <c:crosses val="autoZero"/>
        <c:auto val="1"/>
        <c:lblAlgn val="ctr"/>
        <c:lblOffset val="100"/>
        <c:noMultiLvlLbl val="0"/>
      </c:catAx>
      <c:valAx>
        <c:axId val="98991230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296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 Analyse and Present Data in Excel.xlsx]Sheet3!PivotTable2</c:name>
    <c:fmtId val="12"/>
  </c:pivotSource>
  <c:chart>
    <c:autoTitleDeleted val="1"/>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Sheet3!$K$4</c:f>
              <c:strCache>
                <c:ptCount val="1"/>
                <c:pt idx="0">
                  <c:v>Total</c:v>
                </c:pt>
              </c:strCache>
            </c:strRef>
          </c:tx>
          <c:spPr>
            <a:solidFill>
              <a:schemeClr val="accent2">
                <a:lumMod val="75000"/>
              </a:schemeClr>
            </a:solidFill>
            <a:ln>
              <a:noFill/>
            </a:ln>
            <a:effectLst/>
          </c:spPr>
          <c:invertIfNegative val="0"/>
          <c:cat>
            <c:strRef>
              <c:f>Sheet3!$J$5:$J$10</c:f>
              <c:strCache>
                <c:ptCount val="5"/>
                <c:pt idx="0">
                  <c:v>Procurement</c:v>
                </c:pt>
                <c:pt idx="1">
                  <c:v>Website</c:v>
                </c:pt>
                <c:pt idx="2">
                  <c:v>Finance</c:v>
                </c:pt>
                <c:pt idx="3">
                  <c:v>Sales</c:v>
                </c:pt>
                <c:pt idx="4">
                  <c:v>HR</c:v>
                </c:pt>
              </c:strCache>
            </c:strRef>
          </c:cat>
          <c:val>
            <c:numRef>
              <c:f>Sheet3!$K$5:$K$10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A9B6-4738-9103-C03B9967EF97}"/>
            </c:ext>
          </c:extLst>
        </c:ser>
        <c:dLbls>
          <c:showLegendKey val="0"/>
          <c:showVal val="0"/>
          <c:showCatName val="0"/>
          <c:showSerName val="0"/>
          <c:showPercent val="0"/>
          <c:showBubbleSize val="0"/>
        </c:dLbls>
        <c:gapWidth val="25"/>
        <c:axId val="2089306783"/>
        <c:axId val="1501114351"/>
      </c:barChart>
      <c:catAx>
        <c:axId val="20893067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114351"/>
        <c:crosses val="autoZero"/>
        <c:auto val="1"/>
        <c:lblAlgn val="ctr"/>
        <c:lblOffset val="100"/>
        <c:noMultiLvlLbl val="0"/>
      </c:catAx>
      <c:valAx>
        <c:axId val="1501114351"/>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30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-by $10k</cx:v>
        </cx:txData>
      </cx:tx>
    </cx:title>
    <cx:plotArea>
      <cx:plotAreaRegion>
        <cx:series layoutId="clusteredColumn" uniqueId="{DD117350-3C65-43FE-9917-151743639003}">
          <cx:tx>
            <cx:txData>
              <cx:f>_xlchart.v1.0</cx:f>
              <cx:v> Salary </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Salary Spread - Box Plot</cx:v>
        </cx:txData>
      </cx:tx>
    </cx:title>
    <cx:plotArea>
      <cx:plotAreaRegion>
        <cx:series layoutId="boxWhisker" uniqueId="{05386272-68C2-4D7E-A0B4-39195DC4F11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590550</xdr:colOff>
      <xdr:row>9</xdr:row>
      <xdr:rowOff>152401</xdr:rowOff>
    </xdr:from>
    <xdr:to>
      <xdr:col>7</xdr:col>
      <xdr:colOff>161925</xdr:colOff>
      <xdr:row>14</xdr:row>
      <xdr:rowOff>152400</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D1D791DB-2202-C8AA-E4CE-F35AD6E809A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438650" y="1914526"/>
              <a:ext cx="1457325" cy="9524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1</xdr:row>
      <xdr:rowOff>0</xdr:rowOff>
    </xdr:from>
    <xdr:to>
      <xdr:col>10</xdr:col>
      <xdr:colOff>171450</xdr:colOff>
      <xdr:row>21</xdr:row>
      <xdr:rowOff>85725</xdr:rowOff>
    </xdr:to>
    <mc:AlternateContent xmlns:mc="http://schemas.openxmlformats.org/markup-compatibility/2006">
      <mc:Choice xmlns:cx1="http://schemas.microsoft.com/office/drawing/2015/9/8/chartex" Requires="cx1">
        <xdr:graphicFrame macro="">
          <xdr:nvGraphicFramePr>
            <xdr:cNvPr id="2" name="Chart 5">
              <a:extLst>
                <a:ext uri="{FF2B5EF4-FFF2-40B4-BE49-F238E27FC236}">
                  <a16:creationId xmlns:a16="http://schemas.microsoft.com/office/drawing/2014/main" id="{C719F25C-EA23-4A13-8614-D3A9C58712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3825" y="190500"/>
              <a:ext cx="6143625" cy="38957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552450</xdr:colOff>
      <xdr:row>1</xdr:row>
      <xdr:rowOff>9525</xdr:rowOff>
    </xdr:from>
    <xdr:to>
      <xdr:col>17</xdr:col>
      <xdr:colOff>371475</xdr:colOff>
      <xdr:row>26</xdr:row>
      <xdr:rowOff>161925</xdr:rowOff>
    </xdr:to>
    <mc:AlternateContent xmlns:mc="http://schemas.openxmlformats.org/markup-compatibility/2006">
      <mc:Choice xmlns:cx1="http://schemas.microsoft.com/office/drawing/2015/9/8/chartex" Requires="cx1">
        <xdr:graphicFrame macro="">
          <xdr:nvGraphicFramePr>
            <xdr:cNvPr id="3" name="Chart 1">
              <a:extLst>
                <a:ext uri="{FF2B5EF4-FFF2-40B4-BE49-F238E27FC236}">
                  <a16:creationId xmlns:a16="http://schemas.microsoft.com/office/drawing/2014/main" id="{BDF2F609-0BC7-4946-9B16-F08B0D7A7189}"/>
                </a:ext>
                <a:ext uri="{147F2762-F138-4A5C-976F-8EAC2B608ADB}">
                  <a16:predDERef xmlns:a16="http://schemas.microsoft.com/office/drawing/2014/main" pred="{C719F25C-EA23-4A13-8614-D3A9C58712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48450" y="200025"/>
              <a:ext cx="4086225" cy="49149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371475</xdr:colOff>
      <xdr:row>0</xdr:row>
      <xdr:rowOff>95250</xdr:rowOff>
    </xdr:from>
    <xdr:to>
      <xdr:col>13</xdr:col>
      <xdr:colOff>9525</xdr:colOff>
      <xdr:row>20</xdr:row>
      <xdr:rowOff>95250</xdr:rowOff>
    </xdr:to>
    <xdr:graphicFrame macro="">
      <xdr:nvGraphicFramePr>
        <xdr:cNvPr id="8" name="Chart 1">
          <a:extLst>
            <a:ext uri="{FF2B5EF4-FFF2-40B4-BE49-F238E27FC236}">
              <a16:creationId xmlns:a16="http://schemas.microsoft.com/office/drawing/2014/main" id="{B4232E73-96E6-4D13-9355-8136BF977D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763671</xdr:colOff>
      <xdr:row>2</xdr:row>
      <xdr:rowOff>23728</xdr:rowOff>
    </xdr:from>
    <xdr:to>
      <xdr:col>10</xdr:col>
      <xdr:colOff>451183</xdr:colOff>
      <xdr:row>16</xdr:row>
      <xdr:rowOff>142038</xdr:rowOff>
    </xdr:to>
    <xdr:graphicFrame macro="">
      <xdr:nvGraphicFramePr>
        <xdr:cNvPr id="7" name="Chart 3">
          <a:extLst>
            <a:ext uri="{FF2B5EF4-FFF2-40B4-BE49-F238E27FC236}">
              <a16:creationId xmlns:a16="http://schemas.microsoft.com/office/drawing/2014/main" id="{7F528FE2-157A-47FB-9AB6-B300563752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671764</xdr:colOff>
      <xdr:row>18</xdr:row>
      <xdr:rowOff>23728</xdr:rowOff>
    </xdr:from>
    <xdr:to>
      <xdr:col>10</xdr:col>
      <xdr:colOff>543092</xdr:colOff>
      <xdr:row>34</xdr:row>
      <xdr:rowOff>50131</xdr:rowOff>
    </xdr:to>
    <xdr:graphicFrame macro="">
      <xdr:nvGraphicFramePr>
        <xdr:cNvPr id="5" name="Chart 4">
          <a:extLst>
            <a:ext uri="{FF2B5EF4-FFF2-40B4-BE49-F238E27FC236}">
              <a16:creationId xmlns:a16="http://schemas.microsoft.com/office/drawing/2014/main" id="{C9A3BE01-FD06-AD53-2BE4-41F335A8D6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571500</xdr:colOff>
      <xdr:row>1</xdr:row>
      <xdr:rowOff>390525</xdr:rowOff>
    </xdr:from>
    <xdr:to>
      <xdr:col>7</xdr:col>
      <xdr:colOff>571500</xdr:colOff>
      <xdr:row>26</xdr:row>
      <xdr:rowOff>133350</xdr:rowOff>
    </xdr:to>
    <xdr:cxnSp macro="">
      <xdr:nvCxnSpPr>
        <xdr:cNvPr id="11" name="Straight Connector 10">
          <a:extLst>
            <a:ext uri="{FF2B5EF4-FFF2-40B4-BE49-F238E27FC236}">
              <a16:creationId xmlns:a16="http://schemas.microsoft.com/office/drawing/2014/main" id="{E096673D-D2D5-CC8A-33A9-3B0AFEF3ED3C}"/>
            </a:ext>
          </a:extLst>
        </xdr:cNvPr>
        <xdr:cNvCxnSpPr/>
      </xdr:nvCxnSpPr>
      <xdr:spPr>
        <a:xfrm>
          <a:off x="6305550" y="581025"/>
          <a:ext cx="0" cy="5857875"/>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9</xdr:row>
      <xdr:rowOff>104774</xdr:rowOff>
    </xdr:from>
    <xdr:to>
      <xdr:col>7</xdr:col>
      <xdr:colOff>0</xdr:colOff>
      <xdr:row>25</xdr:row>
      <xdr:rowOff>114299</xdr:rowOff>
    </xdr:to>
    <xdr:graphicFrame macro="">
      <xdr:nvGraphicFramePr>
        <xdr:cNvPr id="2" name="Chart 1">
          <a:extLst>
            <a:ext uri="{FF2B5EF4-FFF2-40B4-BE49-F238E27FC236}">
              <a16:creationId xmlns:a16="http://schemas.microsoft.com/office/drawing/2014/main" id="{FF8D8ABC-A5DB-4CA4-B50F-EA01B6105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9</xdr:row>
      <xdr:rowOff>95249</xdr:rowOff>
    </xdr:from>
    <xdr:to>
      <xdr:col>14</xdr:col>
      <xdr:colOff>19050</xdr:colOff>
      <xdr:row>25</xdr:row>
      <xdr:rowOff>123824</xdr:rowOff>
    </xdr:to>
    <xdr:graphicFrame macro="">
      <xdr:nvGraphicFramePr>
        <xdr:cNvPr id="3" name="Chart 2">
          <a:extLst>
            <a:ext uri="{FF2B5EF4-FFF2-40B4-BE49-F238E27FC236}">
              <a16:creationId xmlns:a16="http://schemas.microsoft.com/office/drawing/2014/main" id="{569A23EE-C7C7-4D09-8551-EF50FC7EAF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ION AYETUOMA" refreshedDate="45257.032481828704" backgroundQuery="1" createdVersion="8" refreshedVersion="8" minRefreshableVersion="3" recordCount="0" supportSubquery="1" supportAdvancedDrill="1" xr:uid="{FA8B3273-5A9A-47F6-B198-4650F9906CB6}">
  <cacheSource type="external" connectionId="4"/>
  <cacheFields count="3">
    <cacheField name="[staff].[Rating].[Rating]" caption="Rating" numFmtId="0" hierarchy="6"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ION AYETUOMA" refreshedDate="45257.032488425924" backgroundQuery="1" createdVersion="8" refreshedVersion="8" minRefreshableVersion="3" recordCount="0" supportSubquery="1" supportAdvancedDrill="1" xr:uid="{7A70098A-3930-4972-B7AE-8459A06AA828}">
  <cacheSource type="external" connectionId="4"/>
  <cacheFields count="6">
    <cacheField name="[staff].[Gender].[Gender]" caption="Gender" numFmtId="0" hierarchy="1" level="1">
      <sharedItems count="3">
        <s v="Female"/>
        <s v="Male"/>
        <s v="Others"/>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ION AYETUOMA" refreshedDate="45257.665865972223" backgroundQuery="1" createdVersion="8" refreshedVersion="8" minRefreshableVersion="3" recordCount="0" supportSubquery="1" supportAdvancedDrill="1" xr:uid="{BA6D94DC-1FC4-4F68-98E3-D3F3B7DB7607}">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ION AYETUOMA" refreshedDate="45257.849845949073" backgroundQuery="1" createdVersion="8" refreshedVersion="8" minRefreshableVersion="3" recordCount="0" supportSubquery="1" supportAdvancedDrill="1" xr:uid="{FFF54EAF-714A-4078-93D9-988FEC136820}">
  <cacheSource type="external" connectionId="4"/>
  <cacheFields count="3">
    <cacheField name="[staff].[country].[country]" caption="country" numFmtId="0" hierarchy="7" level="1">
      <sharedItems containsSemiMixedTypes="0" containsNonDate="0" containsString="0"/>
    </cacheField>
    <cacheField name="[staff].[Department].[Department]" caption="Department" numFmtId="0" hierarchy="2" level="1">
      <sharedItems count="5">
        <s v="Finance"/>
        <s v="HR"/>
        <s v="Procurement"/>
        <s v="Sales"/>
        <s v="Website"/>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ION AYETUOMA" refreshedDate="45257.853474189818" backgroundQuery="1" createdVersion="8" refreshedVersion="8" minRefreshableVersion="3" recordCount="0" supportSubquery="1" supportAdvancedDrill="1" xr:uid="{1DA25B39-79DC-4552-9728-C586ED5577AC}">
  <cacheSource type="external" connectionId="4"/>
  <cacheFields count="3">
    <cacheField name="[staff].[country].[country]" caption="country" numFmtId="0" hierarchy="7" level="1">
      <sharedItems containsSemiMixedTypes="0" containsNonDate="0" containsString="0"/>
    </cacheField>
    <cacheField name="[staff].[Department].[Department]" caption="Department" numFmtId="0" hierarchy="2" level="1">
      <sharedItems count="5">
        <s v="Finance"/>
        <s v="HR"/>
        <s v="Procurement"/>
        <s v="Sales"/>
        <s v="Website"/>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ION AYETUOMA" refreshedDate="45257.032483449075" backgroundQuery="1" createdVersion="3" refreshedVersion="8" minRefreshableVersion="3" recordCount="0" supportSubquery="1" supportAdvancedDrill="1" xr:uid="{B1E0E0AF-E9EB-474A-87B2-FCE9B7601BC3}">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40281604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1AF7D3-3E13-4886-8E9B-FE3E1FE7C33B}" name="PivotTable1" cacheId="1"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11:E16" firstHeaderRow="1" firstDataRow="2" firstDataCol="1"/>
  <pivotFields count="6">
    <pivotField axis="axisCol"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3">
    <i>
      <x/>
    </i>
    <i>
      <x v="1"/>
    </i>
    <i>
      <x v="2"/>
    </i>
  </colItems>
  <dataFields count="4">
    <dataField name="Count of Name" fld="1" subtotal="count" baseField="0" baseItem="0"/>
    <dataField name="Average Age" fld="2" subtotal="average" baseField="0" baseItem="0"/>
    <dataField name="Average Salary" fld="3" subtotal="average" baseField="0" baseItem="0"/>
    <dataField name="Average Tenure" fld="4" subtotal="average" baseField="0" baseItem="0"/>
  </dataFields>
  <formats count="5">
    <format dxfId="7">
      <pivotArea collapsedLevelsAreSubtotals="1" fieldPosition="0">
        <references count="2">
          <reference field="4294967294" count="1">
            <x v="1"/>
          </reference>
          <reference field="0" count="1" selected="0">
            <x v="0"/>
          </reference>
        </references>
      </pivotArea>
    </format>
    <format dxfId="6">
      <pivotArea collapsedLevelsAreSubtotals="1" fieldPosition="0">
        <references count="2">
          <reference field="4294967294" count="1">
            <x v="1"/>
          </reference>
          <reference field="0" count="2" selected="0">
            <x v="1"/>
            <x v="2"/>
          </reference>
        </references>
      </pivotArea>
    </format>
    <format dxfId="5">
      <pivotArea field="0" grandCol="1" collapsedLevelsAreSubtotals="1" axis="axisCol" fieldPosition="0">
        <references count="1">
          <reference field="4294967294" count="1">
            <x v="1"/>
          </reference>
        </references>
      </pivotArea>
    </format>
    <format dxfId="4">
      <pivotArea collapsedLevelsAreSubtotals="1" fieldPosition="0">
        <references count="1">
          <reference field="4294967294" count="2">
            <x v="2"/>
            <x v="3"/>
          </reference>
        </references>
      </pivotArea>
    </format>
    <format dxfId="3">
      <pivotArea collapsedLevelsAreSubtotals="1" fieldPosition="0">
        <references count="2">
          <reference field="4294967294" count="1">
            <x v="2"/>
          </reference>
          <reference field="0" count="1" selected="0">
            <x v="0"/>
          </reference>
        </references>
      </pivotArea>
    </format>
  </formats>
  <pivotHierarchies count="22">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Age"/>
    <pivotHierarchy dragToData="1"/>
    <pivotHierarchy dragToData="1" caption="Average Salary"/>
    <pivotHierarchy dragToData="1"/>
    <pivotHierarchy dragToData="1" caption="Average Tenure"/>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 Analyse and Present Data in Excel.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33024B-651E-48AF-8D3F-0B8228D885B0}" name="PivotTable1"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5:D11"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70"/>
  </dataFields>
  <formats count="2">
    <format dxfId="2">
      <pivotArea collapsedLevelsAreSubtotals="1" fieldPosition="0">
        <references count="2">
          <reference field="4294967294" count="1" selected="0">
            <x v="1"/>
          </reference>
          <reference field="0" count="1">
            <x v="0"/>
          </reference>
        </references>
      </pivotArea>
    </format>
    <format dxfId="1">
      <pivotArea collapsedLevelsAreSubtotals="1" fieldPosition="0">
        <references count="2">
          <reference field="4294967294" count="1" selected="0">
            <x v="1"/>
          </reference>
          <reference field="0" count="1">
            <x v="0"/>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20C67A-4262-4E97-9FFA-1BC41768D102}" name="PivotTable2" cacheId="6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B3:C40"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1"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DD90F9-EE75-4DA1-9103-05A228979506}" name="PivotTable2"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J4:K10" firstHeaderRow="1" firstDataRow="1" firstDataCol="1" rowPageCount="1" colPageCount="1"/>
  <pivotFields count="3">
    <pivotField axis="axisPage" allDrilled="1" subtotalTop="0" showAll="0" dataSourceSort="1" defaultSubtotal="0" defaultAttributeDrillState="1"/>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6">
    <i>
      <x v="2"/>
    </i>
    <i>
      <x v="4"/>
    </i>
    <i>
      <x/>
    </i>
    <i>
      <x v="3"/>
    </i>
    <i>
      <x v="1"/>
    </i>
    <i t="grand">
      <x/>
    </i>
  </rowItems>
  <colItems count="1">
    <i/>
  </colItems>
  <pageFields count="1">
    <pageField fld="0" hier="7" name="[staff].[country].&amp;[IND]" cap="IND"/>
  </pageFields>
  <dataFields count="1">
    <dataField name="Count of Name" fld="2"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A75874-2820-4E48-A9FB-B03C94354525}" name="PivotTable1" cacheId="1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4:C10" firstHeaderRow="1" firstDataRow="1" firstDataCol="1" rowPageCount="1" colPageCount="1"/>
  <pivotFields count="3">
    <pivotField axis="axisPage" allDrilled="1" subtotalTop="0" showAll="0" dataSourceSort="1" defaultSubtotal="0" defaultAttributeDrillState="1"/>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6">
    <i>
      <x v="4"/>
    </i>
    <i>
      <x v="2"/>
    </i>
    <i>
      <x/>
    </i>
    <i>
      <x v="3"/>
    </i>
    <i>
      <x v="1"/>
    </i>
    <i t="grand">
      <x/>
    </i>
  </rowItems>
  <colItems count="1">
    <i/>
  </colItems>
  <pageFields count="1">
    <pageField fld="0" hier="7" name="[staff].[country].&amp;[NZ]" cap="NZ"/>
  </pageFields>
  <dataFields count="1">
    <dataField name="Count of Name" fld="2" subtotal="count" baseField="0" baseItem="0"/>
  </dataFields>
  <chartFormats count="3">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8AA65A9-9955-4E1E-8F6B-CACB9B6BA485}" autoFormatId="16" applyNumberFormats="0" applyBorderFormats="0" applyFontFormats="0" applyPatternFormats="0" applyAlignmentFormats="0" applyWidthHeightFormats="0">
  <queryTableRefresh nextId="13"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0D5D185-2606-420F-A923-6132E7F5242B}" sourceName="[staff].[country]">
  <pivotTables>
    <pivotTable tabId="5" name="PivotTable1"/>
  </pivotTables>
  <data>
    <olap pivotCacheId="140281604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5CE25ADC-CF0B-402A-83F0-06D0A7D935CC}"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14191E-DBC3-425E-83F3-391B48CDF63D}" name="nz_staff" displayName="nz_staff" ref="B3:H104" totalsRowCount="1" headerRowDxfId="22">
  <autoFilter ref="B3:H103" xr:uid="{D614191E-DBC3-425E-83F3-391B48CDF63D}"/>
  <tableColumns count="7">
    <tableColumn id="1" xr3:uid="{D52D5569-9B72-4F1A-965A-6A5C016579B9}" name="Name" totalsRowLabel="Total"/>
    <tableColumn id="2" xr3:uid="{D0CFDD06-B4C8-418B-8626-1F1D0366D8EF}" name="Gender"/>
    <tableColumn id="3" xr3:uid="{2574AA90-D890-49C4-8060-058BA12CF899}" name="Department"/>
    <tableColumn id="4" xr3:uid="{21065CBD-813B-48EA-AEEC-4089765D9EF1}" name="Age" totalsRowFunction="average"/>
    <tableColumn id="5" xr3:uid="{988F0931-0353-4550-9D0C-8448A1F7DED2}" name="Date Joined"/>
    <tableColumn id="6" xr3:uid="{28774E41-4A04-4131-AEEC-EF9AED5B070B}" name="Salary" totalsRowFunction="average" dataDxfId="21" totalsRowDxfId="20"/>
    <tableColumn id="7" xr3:uid="{CFCEA420-F2BB-4E17-A068-BDD1794B66B7}"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FA31B8-AB7A-4311-8F19-F8648AE468BE}" name="india_staff" displayName="india_staff" ref="B2:H114" totalsRowShown="0" headerRowDxfId="19">
  <autoFilter ref="B2:H114" xr:uid="{C7FA31B8-AB7A-4311-8F19-F8648AE468BE}"/>
  <tableColumns count="7">
    <tableColumn id="1" xr3:uid="{5AD5CF3C-15FD-4D3E-9105-92E989F9BFB0}" name="Name"/>
    <tableColumn id="2" xr3:uid="{4CFFB07B-0175-4BC9-938D-DEA0F00493F6}" name="Gender"/>
    <tableColumn id="3" xr3:uid="{DCCEFE27-A60D-4933-8DF3-B55434C59394}" name="Age"/>
    <tableColumn id="4" xr3:uid="{BA26D725-C1A6-4E1C-AB4F-438991EAFE0A}" name="Rating"/>
    <tableColumn id="5" xr3:uid="{C31729FB-43DB-4019-9205-BF2BC708CA1A}" name="Date Joined" dataDxfId="18"/>
    <tableColumn id="6" xr3:uid="{A7D1743F-8259-4855-B352-43C4E7CBC4C3}" name="Department"/>
    <tableColumn id="7" xr3:uid="{099F91FD-E031-42AD-A265-084201EEF460}"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A1DF68-E029-4D57-8497-0E693976C8DA}" name="staff" displayName="staff" ref="A1:K184" tableType="queryTable" totalsRowShown="0">
  <autoFilter ref="A1:K184" xr:uid="{0BA1DF68-E029-4D57-8497-0E693976C8DA}"/>
  <sortState xmlns:xlrd2="http://schemas.microsoft.com/office/spreadsheetml/2017/richdata2" ref="A2:J184">
    <sortCondition ref="F1:F184"/>
  </sortState>
  <tableColumns count="11">
    <tableColumn id="1" xr3:uid="{B2CFA94D-82DA-4861-A3B6-FE7A2B2C34BB}" uniqueName="1" name="Name" queryTableFieldId="1" dataDxfId="17"/>
    <tableColumn id="2" xr3:uid="{7AFE1A8A-A853-4F3E-BBD8-B264CA708261}" uniqueName="2" name="Gender" queryTableFieldId="2" dataDxfId="16"/>
    <tableColumn id="3" xr3:uid="{68BFB079-F899-40FD-BB8F-7FEBF2EA0C24}" uniqueName="3" name="Department" queryTableFieldId="3" dataDxfId="15"/>
    <tableColumn id="4" xr3:uid="{E48DFA68-53C3-4F7E-87DD-8C8B6E58D9D7}" uniqueName="4" name="Age" queryTableFieldId="4"/>
    <tableColumn id="5" xr3:uid="{221BFDF7-E958-48AF-AB28-CD6AC860CC16}" uniqueName="5" name="Date Joined" queryTableFieldId="5" dataDxfId="14"/>
    <tableColumn id="6" xr3:uid="{DC65EB70-475B-4901-BBDA-1BB2972BBDC5}" uniqueName="6" name="Salary" queryTableFieldId="6" dataDxfId="13"/>
    <tableColumn id="7" xr3:uid="{9C04AC56-F37C-4C27-A81D-DDD6FD7F6C4A}" uniqueName="7" name="Rating" queryTableFieldId="7" dataDxfId="12"/>
    <tableColumn id="8" xr3:uid="{C63F02B9-AD1C-408C-833A-598AB85DB6B2}" uniqueName="8" name="country" queryTableFieldId="8" dataDxfId="11"/>
    <tableColumn id="9" xr3:uid="{5FA12ECC-F76A-4917-82F2-0EAC4DA0348E}" uniqueName="9" name="Tenure" queryTableFieldId="9" dataDxfId="10" dataCellStyle="Comma">
      <calculatedColumnFormula>(TODAY()-staff[[#This Row],[Date Joined]])/365</calculatedColumnFormula>
    </tableColumn>
    <tableColumn id="10" xr3:uid="{3263CC27-D54F-4A5A-AFF7-5D28073DB4B0}" uniqueName="10" name="Bonus" queryTableFieldId="10" dataDxfId="9" dataCellStyle="Currency">
      <calculatedColumnFormula>ROUNDUP(IF(staff[[#This Row],[Tenure]]&gt;2,3%,2%)*staff[[#This Row],[Salary]],0)</calculatedColumnFormula>
    </tableColumn>
    <tableColumn id="11" xr3:uid="{41A28EC8-DCBB-4E48-9ED9-36FA28F3D873}" uniqueName="11" name="Rating as number" queryTableFieldId="11" dataDxfId="8" dataCellStyle="Comma">
      <calculatedColumnFormula>_xlfn.XLOOKUP(staff[[#This Row],[Rating]],Rating!$B$4:$B$8,Rating!$C$4:$C$8)</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E97D6-D753-43F4-B335-EE921D323627}">
  <dimension ref="B3:H104"/>
  <sheetViews>
    <sheetView workbookViewId="0">
      <pane ySplit="3" topLeftCell="A4" activePane="bottomLeft" state="frozen"/>
      <selection pane="bottomLeft" activeCell="D8" sqref="D8"/>
    </sheetView>
  </sheetViews>
  <sheetFormatPr defaultRowHeight="15" x14ac:dyDescent="0.25"/>
  <cols>
    <col min="2" max="2" width="21.42578125" bestFit="1" customWidth="1"/>
    <col min="3" max="3" width="9.85546875" customWidth="1"/>
    <col min="4" max="4" width="13.85546875" customWidth="1"/>
    <col min="6" max="6" width="13.5703125" customWidth="1"/>
    <col min="7" max="7" width="11.85546875" style="4" bestFit="1" customWidth="1"/>
    <col min="8" max="8" width="14.28515625" bestFit="1" customWidth="1"/>
  </cols>
  <sheetData>
    <row r="3" spans="2:8" x14ac:dyDescent="0.25">
      <c r="B3" s="1" t="s">
        <v>0</v>
      </c>
      <c r="C3" s="1" t="s">
        <v>1</v>
      </c>
      <c r="D3" s="1" t="s">
        <v>2</v>
      </c>
      <c r="E3" s="1" t="s">
        <v>3</v>
      </c>
      <c r="F3" s="2" t="s">
        <v>4</v>
      </c>
      <c r="G3" s="5" t="s">
        <v>5</v>
      </c>
      <c r="H3" s="1" t="s">
        <v>6</v>
      </c>
    </row>
    <row r="4" spans="2:8" x14ac:dyDescent="0.25">
      <c r="B4" t="s">
        <v>7</v>
      </c>
      <c r="C4" t="s">
        <v>8</v>
      </c>
      <c r="D4" t="s">
        <v>9</v>
      </c>
      <c r="E4">
        <v>22</v>
      </c>
      <c r="F4" s="3">
        <v>44446</v>
      </c>
      <c r="G4" s="4">
        <v>112780</v>
      </c>
      <c r="H4" t="s">
        <v>10</v>
      </c>
    </row>
    <row r="5" spans="2:8" x14ac:dyDescent="0.25">
      <c r="B5" t="s">
        <v>11</v>
      </c>
      <c r="C5" t="s">
        <v>8</v>
      </c>
      <c r="D5" t="s">
        <v>12</v>
      </c>
      <c r="E5">
        <v>46</v>
      </c>
      <c r="F5" s="3">
        <v>44758</v>
      </c>
      <c r="G5" s="4">
        <v>70610</v>
      </c>
      <c r="H5" t="s">
        <v>13</v>
      </c>
    </row>
    <row r="6" spans="2:8" x14ac:dyDescent="0.25">
      <c r="B6" t="s">
        <v>14</v>
      </c>
      <c r="C6" t="s">
        <v>15</v>
      </c>
      <c r="D6" t="s">
        <v>9</v>
      </c>
      <c r="E6">
        <v>28</v>
      </c>
      <c r="F6" s="3">
        <v>44357</v>
      </c>
      <c r="G6" s="4">
        <v>53240</v>
      </c>
      <c r="H6" t="s">
        <v>13</v>
      </c>
    </row>
    <row r="7" spans="2:8" x14ac:dyDescent="0.25">
      <c r="B7" t="s">
        <v>16</v>
      </c>
      <c r="D7" t="s">
        <v>17</v>
      </c>
      <c r="E7">
        <v>37</v>
      </c>
      <c r="F7" s="3">
        <v>44146</v>
      </c>
      <c r="G7" s="4">
        <v>115440</v>
      </c>
      <c r="H7" t="s">
        <v>18</v>
      </c>
    </row>
    <row r="8" spans="2:8" x14ac:dyDescent="0.25">
      <c r="B8" t="s">
        <v>19</v>
      </c>
      <c r="C8" t="s">
        <v>8</v>
      </c>
      <c r="D8" t="s">
        <v>9</v>
      </c>
      <c r="E8">
        <v>32</v>
      </c>
      <c r="F8" s="3">
        <v>44465</v>
      </c>
      <c r="G8" s="4">
        <v>53540</v>
      </c>
      <c r="H8" t="s">
        <v>13</v>
      </c>
    </row>
    <row r="9" spans="2:8" x14ac:dyDescent="0.25">
      <c r="B9" t="s">
        <v>20</v>
      </c>
      <c r="C9" t="s">
        <v>15</v>
      </c>
      <c r="D9" t="s">
        <v>12</v>
      </c>
      <c r="E9">
        <v>30</v>
      </c>
      <c r="F9" s="3">
        <v>44861</v>
      </c>
      <c r="G9" s="4">
        <v>112570</v>
      </c>
      <c r="H9" t="s">
        <v>13</v>
      </c>
    </row>
    <row r="10" spans="2:8" x14ac:dyDescent="0.25">
      <c r="B10" t="s">
        <v>21</v>
      </c>
      <c r="C10" t="s">
        <v>8</v>
      </c>
      <c r="D10" t="s">
        <v>12</v>
      </c>
      <c r="E10">
        <v>33</v>
      </c>
      <c r="F10" s="3">
        <v>44701</v>
      </c>
      <c r="G10" s="4">
        <v>48530</v>
      </c>
      <c r="H10" t="s">
        <v>10</v>
      </c>
    </row>
    <row r="11" spans="2:8" x14ac:dyDescent="0.25">
      <c r="B11" t="s">
        <v>22</v>
      </c>
      <c r="C11" t="s">
        <v>15</v>
      </c>
      <c r="D11" t="s">
        <v>23</v>
      </c>
      <c r="E11">
        <v>24</v>
      </c>
      <c r="F11" s="3">
        <v>44148</v>
      </c>
      <c r="G11" s="4">
        <v>62780</v>
      </c>
      <c r="H11" t="s">
        <v>13</v>
      </c>
    </row>
    <row r="12" spans="2:8" x14ac:dyDescent="0.25">
      <c r="B12" t="s">
        <v>24</v>
      </c>
      <c r="C12" t="s">
        <v>8</v>
      </c>
      <c r="D12" t="s">
        <v>23</v>
      </c>
      <c r="E12">
        <v>33</v>
      </c>
      <c r="F12" s="3">
        <v>44509</v>
      </c>
      <c r="G12" s="4">
        <v>53870</v>
      </c>
      <c r="H12" t="s">
        <v>13</v>
      </c>
    </row>
    <row r="13" spans="2:8" x14ac:dyDescent="0.25">
      <c r="B13" t="s">
        <v>25</v>
      </c>
      <c r="C13" t="s">
        <v>15</v>
      </c>
      <c r="D13" t="s">
        <v>26</v>
      </c>
      <c r="E13">
        <v>27</v>
      </c>
      <c r="F13" s="3">
        <v>44122</v>
      </c>
      <c r="G13" s="4">
        <v>119110</v>
      </c>
      <c r="H13" t="s">
        <v>13</v>
      </c>
    </row>
    <row r="14" spans="2:8" x14ac:dyDescent="0.25">
      <c r="B14" t="s">
        <v>27</v>
      </c>
      <c r="C14" t="s">
        <v>8</v>
      </c>
      <c r="D14" t="s">
        <v>23</v>
      </c>
      <c r="E14">
        <v>29</v>
      </c>
      <c r="F14" s="3">
        <v>44180</v>
      </c>
      <c r="G14" s="4">
        <v>112110</v>
      </c>
      <c r="H14" t="s">
        <v>18</v>
      </c>
    </row>
    <row r="15" spans="2:8" x14ac:dyDescent="0.25">
      <c r="B15" t="s">
        <v>28</v>
      </c>
      <c r="C15" t="s">
        <v>8</v>
      </c>
      <c r="D15" t="s">
        <v>9</v>
      </c>
      <c r="E15">
        <v>25</v>
      </c>
      <c r="F15" s="3">
        <v>44383</v>
      </c>
      <c r="G15" s="4">
        <v>65700</v>
      </c>
      <c r="H15" t="s">
        <v>13</v>
      </c>
    </row>
    <row r="16" spans="2:8" x14ac:dyDescent="0.25">
      <c r="B16" t="s">
        <v>29</v>
      </c>
      <c r="C16" t="s">
        <v>8</v>
      </c>
      <c r="D16" t="s">
        <v>23</v>
      </c>
      <c r="E16">
        <v>37</v>
      </c>
      <c r="F16" s="3">
        <v>44701</v>
      </c>
      <c r="G16" s="4">
        <v>69070</v>
      </c>
      <c r="H16" t="s">
        <v>13</v>
      </c>
    </row>
    <row r="17" spans="2:8" x14ac:dyDescent="0.25">
      <c r="B17" t="s">
        <v>30</v>
      </c>
      <c r="C17" t="s">
        <v>8</v>
      </c>
      <c r="D17" t="s">
        <v>23</v>
      </c>
      <c r="E17">
        <v>20</v>
      </c>
      <c r="F17" s="3">
        <v>44459</v>
      </c>
      <c r="G17" s="4">
        <v>107700</v>
      </c>
      <c r="H17" t="s">
        <v>13</v>
      </c>
    </row>
    <row r="18" spans="2:8" x14ac:dyDescent="0.25">
      <c r="B18" t="s">
        <v>31</v>
      </c>
      <c r="C18" t="s">
        <v>15</v>
      </c>
      <c r="D18" t="s">
        <v>23</v>
      </c>
      <c r="E18">
        <v>32</v>
      </c>
      <c r="F18" s="3">
        <v>44354</v>
      </c>
      <c r="G18" s="4">
        <v>43840</v>
      </c>
      <c r="H18" t="s">
        <v>10</v>
      </c>
    </row>
    <row r="19" spans="2:8" x14ac:dyDescent="0.25">
      <c r="B19" t="s">
        <v>32</v>
      </c>
      <c r="C19" t="s">
        <v>8</v>
      </c>
      <c r="D19" t="s">
        <v>12</v>
      </c>
      <c r="E19">
        <v>40</v>
      </c>
      <c r="F19" s="3">
        <v>44263</v>
      </c>
      <c r="G19" s="4">
        <v>99750</v>
      </c>
      <c r="H19" t="s">
        <v>13</v>
      </c>
    </row>
    <row r="20" spans="2:8" x14ac:dyDescent="0.25">
      <c r="B20" t="s">
        <v>33</v>
      </c>
      <c r="C20" t="s">
        <v>8</v>
      </c>
      <c r="D20" t="s">
        <v>12</v>
      </c>
      <c r="E20">
        <v>21</v>
      </c>
      <c r="F20" s="3">
        <v>44104</v>
      </c>
      <c r="G20" s="4">
        <v>37920</v>
      </c>
      <c r="H20" t="s">
        <v>13</v>
      </c>
    </row>
    <row r="21" spans="2:8" x14ac:dyDescent="0.25">
      <c r="B21" t="s">
        <v>34</v>
      </c>
      <c r="C21" t="s">
        <v>8</v>
      </c>
      <c r="D21" t="s">
        <v>12</v>
      </c>
      <c r="E21">
        <v>21</v>
      </c>
      <c r="F21" s="3">
        <v>44762</v>
      </c>
      <c r="G21" s="4">
        <v>57090</v>
      </c>
      <c r="H21" t="s">
        <v>13</v>
      </c>
    </row>
    <row r="22" spans="2:8" x14ac:dyDescent="0.25">
      <c r="B22" t="s">
        <v>35</v>
      </c>
      <c r="C22" t="s">
        <v>15</v>
      </c>
      <c r="D22" t="s">
        <v>23</v>
      </c>
      <c r="E22">
        <v>31</v>
      </c>
      <c r="F22" s="3">
        <v>44145</v>
      </c>
      <c r="G22" s="4">
        <v>41980</v>
      </c>
      <c r="H22" t="s">
        <v>13</v>
      </c>
    </row>
    <row r="23" spans="2:8" x14ac:dyDescent="0.25">
      <c r="B23" t="s">
        <v>36</v>
      </c>
      <c r="C23" t="s">
        <v>8</v>
      </c>
      <c r="D23" t="s">
        <v>26</v>
      </c>
      <c r="E23">
        <v>21</v>
      </c>
      <c r="F23" s="3">
        <v>44242</v>
      </c>
      <c r="G23" s="4">
        <v>75880</v>
      </c>
      <c r="H23" t="s">
        <v>13</v>
      </c>
    </row>
    <row r="24" spans="2:8" x14ac:dyDescent="0.25">
      <c r="B24" t="s">
        <v>37</v>
      </c>
      <c r="C24" t="s">
        <v>15</v>
      </c>
      <c r="D24" t="s">
        <v>17</v>
      </c>
      <c r="E24">
        <v>34</v>
      </c>
      <c r="F24" s="3">
        <v>44653</v>
      </c>
      <c r="G24" s="4">
        <v>58940</v>
      </c>
      <c r="H24" t="s">
        <v>13</v>
      </c>
    </row>
    <row r="25" spans="2:8" x14ac:dyDescent="0.25">
      <c r="B25" t="s">
        <v>38</v>
      </c>
      <c r="C25" t="s">
        <v>15</v>
      </c>
      <c r="D25" t="s">
        <v>17</v>
      </c>
      <c r="E25">
        <v>30</v>
      </c>
      <c r="F25" s="3">
        <v>44389</v>
      </c>
      <c r="G25" s="4">
        <v>67910</v>
      </c>
      <c r="H25" t="s">
        <v>18</v>
      </c>
    </row>
    <row r="26" spans="2:8" x14ac:dyDescent="0.25">
      <c r="B26" t="s">
        <v>39</v>
      </c>
      <c r="C26" t="s">
        <v>15</v>
      </c>
      <c r="D26" t="s">
        <v>23</v>
      </c>
      <c r="E26">
        <v>31</v>
      </c>
      <c r="F26" s="3">
        <v>44663</v>
      </c>
      <c r="G26" s="4">
        <v>58100</v>
      </c>
      <c r="H26" t="s">
        <v>13</v>
      </c>
    </row>
    <row r="27" spans="2:8" x14ac:dyDescent="0.25">
      <c r="B27" t="s">
        <v>40</v>
      </c>
      <c r="C27" t="s">
        <v>8</v>
      </c>
      <c r="D27" t="s">
        <v>17</v>
      </c>
      <c r="E27">
        <v>27</v>
      </c>
      <c r="F27" s="3">
        <v>44567</v>
      </c>
      <c r="G27" s="4">
        <v>48980</v>
      </c>
      <c r="H27" t="s">
        <v>13</v>
      </c>
    </row>
    <row r="28" spans="2:8" x14ac:dyDescent="0.25">
      <c r="B28" t="s">
        <v>41</v>
      </c>
      <c r="D28" t="s">
        <v>17</v>
      </c>
      <c r="E28">
        <v>30</v>
      </c>
      <c r="F28" s="3">
        <v>44597</v>
      </c>
      <c r="G28" s="4">
        <v>64000</v>
      </c>
      <c r="H28" t="s">
        <v>13</v>
      </c>
    </row>
    <row r="29" spans="2:8" x14ac:dyDescent="0.25">
      <c r="B29" t="s">
        <v>42</v>
      </c>
      <c r="C29" t="s">
        <v>15</v>
      </c>
      <c r="D29" t="s">
        <v>12</v>
      </c>
      <c r="E29">
        <v>42</v>
      </c>
      <c r="F29" s="3">
        <v>44779</v>
      </c>
      <c r="G29" s="4">
        <v>75000</v>
      </c>
      <c r="H29" t="s">
        <v>43</v>
      </c>
    </row>
    <row r="30" spans="2:8" x14ac:dyDescent="0.25">
      <c r="B30" t="s">
        <v>44</v>
      </c>
      <c r="C30" t="s">
        <v>15</v>
      </c>
      <c r="D30" t="s">
        <v>23</v>
      </c>
      <c r="E30">
        <v>40</v>
      </c>
      <c r="F30" s="3">
        <v>44337</v>
      </c>
      <c r="G30" s="4">
        <v>87620</v>
      </c>
      <c r="H30" t="s">
        <v>13</v>
      </c>
    </row>
    <row r="31" spans="2:8" x14ac:dyDescent="0.25">
      <c r="B31" t="s">
        <v>45</v>
      </c>
      <c r="C31" t="s">
        <v>15</v>
      </c>
      <c r="D31" t="s">
        <v>23</v>
      </c>
      <c r="E31">
        <v>29</v>
      </c>
      <c r="F31" s="3">
        <v>44023</v>
      </c>
      <c r="G31" s="4">
        <v>34980</v>
      </c>
      <c r="H31" t="s">
        <v>13</v>
      </c>
    </row>
    <row r="32" spans="2:8" x14ac:dyDescent="0.25">
      <c r="B32" t="s">
        <v>46</v>
      </c>
      <c r="C32" t="s">
        <v>15</v>
      </c>
      <c r="D32" t="s">
        <v>17</v>
      </c>
      <c r="E32">
        <v>28</v>
      </c>
      <c r="F32" s="3">
        <v>44185</v>
      </c>
      <c r="G32" s="4">
        <v>75970</v>
      </c>
      <c r="H32" t="s">
        <v>13</v>
      </c>
    </row>
    <row r="33" spans="2:8" x14ac:dyDescent="0.25">
      <c r="B33" t="s">
        <v>47</v>
      </c>
      <c r="C33" t="s">
        <v>15</v>
      </c>
      <c r="D33" t="s">
        <v>17</v>
      </c>
      <c r="E33">
        <v>34</v>
      </c>
      <c r="F33" s="3">
        <v>44612</v>
      </c>
      <c r="G33" s="4">
        <v>60130</v>
      </c>
      <c r="H33" t="s">
        <v>13</v>
      </c>
    </row>
    <row r="34" spans="2:8" x14ac:dyDescent="0.25">
      <c r="B34" t="s">
        <v>48</v>
      </c>
      <c r="C34" t="s">
        <v>15</v>
      </c>
      <c r="D34" t="s">
        <v>23</v>
      </c>
      <c r="E34">
        <v>33</v>
      </c>
      <c r="F34" s="3">
        <v>44374</v>
      </c>
      <c r="G34" s="4">
        <v>75480</v>
      </c>
      <c r="H34" t="s">
        <v>49</v>
      </c>
    </row>
    <row r="35" spans="2:8" x14ac:dyDescent="0.25">
      <c r="B35" t="s">
        <v>50</v>
      </c>
      <c r="C35" t="s">
        <v>8</v>
      </c>
      <c r="D35" t="s">
        <v>12</v>
      </c>
      <c r="E35">
        <v>33</v>
      </c>
      <c r="F35" s="3">
        <v>44164</v>
      </c>
      <c r="G35" s="4">
        <v>115920</v>
      </c>
      <c r="H35" t="s">
        <v>13</v>
      </c>
    </row>
    <row r="36" spans="2:8" x14ac:dyDescent="0.25">
      <c r="B36" t="s">
        <v>51</v>
      </c>
      <c r="C36" t="s">
        <v>15</v>
      </c>
      <c r="D36" t="s">
        <v>9</v>
      </c>
      <c r="E36">
        <v>36</v>
      </c>
      <c r="F36" s="3">
        <v>44494</v>
      </c>
      <c r="G36" s="4">
        <v>78540</v>
      </c>
      <c r="H36" t="s">
        <v>13</v>
      </c>
    </row>
    <row r="37" spans="2:8" x14ac:dyDescent="0.25">
      <c r="B37" t="s">
        <v>52</v>
      </c>
      <c r="C37" t="s">
        <v>8</v>
      </c>
      <c r="D37" t="s">
        <v>12</v>
      </c>
      <c r="E37">
        <v>25</v>
      </c>
      <c r="F37" s="3">
        <v>44726</v>
      </c>
      <c r="G37" s="4">
        <v>109190</v>
      </c>
      <c r="H37" t="s">
        <v>10</v>
      </c>
    </row>
    <row r="38" spans="2:8" x14ac:dyDescent="0.25">
      <c r="B38" t="s">
        <v>53</v>
      </c>
      <c r="C38" t="s">
        <v>15</v>
      </c>
      <c r="D38" t="s">
        <v>9</v>
      </c>
      <c r="E38">
        <v>34</v>
      </c>
      <c r="F38" s="3">
        <v>44721</v>
      </c>
      <c r="G38" s="4">
        <v>49630</v>
      </c>
      <c r="H38" t="s">
        <v>18</v>
      </c>
    </row>
    <row r="39" spans="2:8" x14ac:dyDescent="0.25">
      <c r="B39" t="s">
        <v>54</v>
      </c>
      <c r="C39" t="s">
        <v>15</v>
      </c>
      <c r="D39" t="s">
        <v>12</v>
      </c>
      <c r="E39">
        <v>28</v>
      </c>
      <c r="F39" s="3">
        <v>44630</v>
      </c>
      <c r="G39" s="4">
        <v>99970</v>
      </c>
      <c r="H39" t="s">
        <v>13</v>
      </c>
    </row>
    <row r="40" spans="2:8" x14ac:dyDescent="0.25">
      <c r="B40" t="s">
        <v>55</v>
      </c>
      <c r="C40" t="s">
        <v>15</v>
      </c>
      <c r="D40" t="s">
        <v>23</v>
      </c>
      <c r="E40">
        <v>33</v>
      </c>
      <c r="F40" s="3">
        <v>44190</v>
      </c>
      <c r="G40" s="4">
        <v>96140</v>
      </c>
      <c r="H40" t="s">
        <v>13</v>
      </c>
    </row>
    <row r="41" spans="2:8" x14ac:dyDescent="0.25">
      <c r="B41" t="s">
        <v>56</v>
      </c>
      <c r="C41" t="s">
        <v>8</v>
      </c>
      <c r="D41" t="s">
        <v>12</v>
      </c>
      <c r="E41">
        <v>31</v>
      </c>
      <c r="F41" s="3">
        <v>44724</v>
      </c>
      <c r="G41" s="4">
        <v>103550</v>
      </c>
      <c r="H41" t="s">
        <v>13</v>
      </c>
    </row>
    <row r="42" spans="2:8" x14ac:dyDescent="0.25">
      <c r="B42" t="s">
        <v>57</v>
      </c>
      <c r="C42" t="s">
        <v>8</v>
      </c>
      <c r="D42" t="s">
        <v>23</v>
      </c>
      <c r="E42">
        <v>31</v>
      </c>
      <c r="F42" s="3">
        <v>44511</v>
      </c>
      <c r="G42" s="4">
        <v>48950</v>
      </c>
      <c r="H42" t="s">
        <v>13</v>
      </c>
    </row>
    <row r="43" spans="2:8" x14ac:dyDescent="0.25">
      <c r="B43" t="s">
        <v>58</v>
      </c>
      <c r="C43" t="s">
        <v>8</v>
      </c>
      <c r="D43" t="s">
        <v>17</v>
      </c>
      <c r="E43">
        <v>24</v>
      </c>
      <c r="F43" s="3">
        <v>44436</v>
      </c>
      <c r="G43" s="4">
        <v>52610</v>
      </c>
      <c r="H43" t="s">
        <v>18</v>
      </c>
    </row>
    <row r="44" spans="2:8" x14ac:dyDescent="0.25">
      <c r="B44" t="s">
        <v>59</v>
      </c>
      <c r="C44" t="s">
        <v>15</v>
      </c>
      <c r="D44" t="s">
        <v>12</v>
      </c>
      <c r="E44">
        <v>36</v>
      </c>
      <c r="F44" s="3">
        <v>44529</v>
      </c>
      <c r="G44" s="4">
        <v>78390</v>
      </c>
      <c r="H44" t="s">
        <v>13</v>
      </c>
    </row>
    <row r="45" spans="2:8" x14ac:dyDescent="0.25">
      <c r="B45" t="s">
        <v>60</v>
      </c>
      <c r="C45" t="s">
        <v>15</v>
      </c>
      <c r="D45" t="s">
        <v>17</v>
      </c>
      <c r="E45">
        <v>33</v>
      </c>
      <c r="F45" s="3">
        <v>44809</v>
      </c>
      <c r="G45" s="4">
        <v>86570</v>
      </c>
      <c r="H45" t="s">
        <v>13</v>
      </c>
    </row>
    <row r="46" spans="2:8" x14ac:dyDescent="0.25">
      <c r="B46" t="s">
        <v>61</v>
      </c>
      <c r="C46" t="s">
        <v>15</v>
      </c>
      <c r="D46" t="s">
        <v>23</v>
      </c>
      <c r="E46">
        <v>27</v>
      </c>
      <c r="F46" s="3">
        <v>44686</v>
      </c>
      <c r="G46" s="4">
        <v>83750</v>
      </c>
      <c r="H46" t="s">
        <v>13</v>
      </c>
    </row>
    <row r="47" spans="2:8" x14ac:dyDescent="0.25">
      <c r="B47" t="s">
        <v>62</v>
      </c>
      <c r="C47" t="s">
        <v>15</v>
      </c>
      <c r="D47" t="s">
        <v>17</v>
      </c>
      <c r="E47">
        <v>34</v>
      </c>
      <c r="F47" s="3">
        <v>44445</v>
      </c>
      <c r="G47" s="4">
        <v>92450</v>
      </c>
      <c r="H47" t="s">
        <v>13</v>
      </c>
    </row>
    <row r="48" spans="2:8" x14ac:dyDescent="0.25">
      <c r="B48" t="s">
        <v>63</v>
      </c>
      <c r="C48" t="s">
        <v>8</v>
      </c>
      <c r="D48" t="s">
        <v>23</v>
      </c>
      <c r="E48">
        <v>20</v>
      </c>
      <c r="F48" s="3">
        <v>44183</v>
      </c>
      <c r="G48" s="4">
        <v>112650</v>
      </c>
      <c r="H48" t="s">
        <v>13</v>
      </c>
    </row>
    <row r="49" spans="2:8" x14ac:dyDescent="0.25">
      <c r="B49" t="s">
        <v>64</v>
      </c>
      <c r="C49" t="s">
        <v>8</v>
      </c>
      <c r="D49" t="s">
        <v>12</v>
      </c>
      <c r="E49">
        <v>20</v>
      </c>
      <c r="F49" s="3">
        <v>44744</v>
      </c>
      <c r="G49" s="4">
        <v>79570</v>
      </c>
      <c r="H49" t="s">
        <v>13</v>
      </c>
    </row>
    <row r="50" spans="2:8" x14ac:dyDescent="0.25">
      <c r="B50" t="s">
        <v>65</v>
      </c>
      <c r="C50" t="s">
        <v>15</v>
      </c>
      <c r="D50" t="s">
        <v>9</v>
      </c>
      <c r="E50">
        <v>20</v>
      </c>
      <c r="F50" s="3">
        <v>44537</v>
      </c>
      <c r="G50" s="4">
        <v>68900</v>
      </c>
      <c r="H50" t="s">
        <v>18</v>
      </c>
    </row>
    <row r="51" spans="2:8" x14ac:dyDescent="0.25">
      <c r="B51" t="s">
        <v>66</v>
      </c>
      <c r="C51" t="s">
        <v>15</v>
      </c>
      <c r="D51" t="s">
        <v>23</v>
      </c>
      <c r="E51">
        <v>25</v>
      </c>
      <c r="F51" s="3">
        <v>44694</v>
      </c>
      <c r="G51" s="4">
        <v>80700</v>
      </c>
      <c r="H51" t="s">
        <v>10</v>
      </c>
    </row>
    <row r="52" spans="2:8" x14ac:dyDescent="0.25">
      <c r="B52" t="s">
        <v>67</v>
      </c>
      <c r="C52" t="s">
        <v>8</v>
      </c>
      <c r="D52" t="s">
        <v>12</v>
      </c>
      <c r="E52">
        <v>19</v>
      </c>
      <c r="F52" s="3">
        <v>44277</v>
      </c>
      <c r="G52" s="4">
        <v>58960</v>
      </c>
      <c r="H52" t="s">
        <v>13</v>
      </c>
    </row>
    <row r="53" spans="2:8" x14ac:dyDescent="0.25">
      <c r="B53" t="s">
        <v>68</v>
      </c>
      <c r="C53" t="s">
        <v>8</v>
      </c>
      <c r="D53" t="s">
        <v>23</v>
      </c>
      <c r="E53">
        <v>36</v>
      </c>
      <c r="F53" s="3">
        <v>44019</v>
      </c>
      <c r="G53" s="4">
        <v>118840</v>
      </c>
      <c r="H53" t="s">
        <v>13</v>
      </c>
    </row>
    <row r="54" spans="2:8" x14ac:dyDescent="0.25">
      <c r="B54" t="s">
        <v>69</v>
      </c>
      <c r="C54" t="s">
        <v>8</v>
      </c>
      <c r="D54" t="s">
        <v>17</v>
      </c>
      <c r="E54">
        <v>28</v>
      </c>
      <c r="F54" s="3">
        <v>44041</v>
      </c>
      <c r="G54" s="4">
        <v>48170</v>
      </c>
      <c r="H54" t="s">
        <v>10</v>
      </c>
    </row>
    <row r="55" spans="2:8" x14ac:dyDescent="0.25">
      <c r="B55" t="s">
        <v>70</v>
      </c>
      <c r="C55" t="s">
        <v>15</v>
      </c>
      <c r="D55" t="s">
        <v>26</v>
      </c>
      <c r="E55">
        <v>32</v>
      </c>
      <c r="F55" s="3">
        <v>44400</v>
      </c>
      <c r="G55" s="4">
        <v>45510</v>
      </c>
      <c r="H55" t="s">
        <v>13</v>
      </c>
    </row>
    <row r="56" spans="2:8" x14ac:dyDescent="0.25">
      <c r="B56" t="s">
        <v>63</v>
      </c>
      <c r="C56" t="s">
        <v>8</v>
      </c>
      <c r="D56" t="s">
        <v>12</v>
      </c>
      <c r="E56">
        <v>34</v>
      </c>
      <c r="F56" s="3">
        <v>44703</v>
      </c>
      <c r="G56" s="4">
        <v>112650</v>
      </c>
      <c r="H56" t="s">
        <v>13</v>
      </c>
    </row>
    <row r="57" spans="2:8" x14ac:dyDescent="0.25">
      <c r="B57" t="s">
        <v>71</v>
      </c>
      <c r="C57" t="s">
        <v>15</v>
      </c>
      <c r="D57" t="s">
        <v>12</v>
      </c>
      <c r="E57">
        <v>36</v>
      </c>
      <c r="F57" s="3">
        <v>44085</v>
      </c>
      <c r="G57" s="4">
        <v>114890</v>
      </c>
      <c r="H57" t="s">
        <v>13</v>
      </c>
    </row>
    <row r="58" spans="2:8" x14ac:dyDescent="0.25">
      <c r="B58" t="s">
        <v>72</v>
      </c>
      <c r="C58" t="s">
        <v>8</v>
      </c>
      <c r="D58" t="s">
        <v>23</v>
      </c>
      <c r="E58">
        <v>30</v>
      </c>
      <c r="F58" s="3">
        <v>44850</v>
      </c>
      <c r="G58" s="4">
        <v>69710</v>
      </c>
      <c r="H58" t="s">
        <v>13</v>
      </c>
    </row>
    <row r="59" spans="2:8" x14ac:dyDescent="0.25">
      <c r="B59" t="s">
        <v>73</v>
      </c>
      <c r="C59" t="s">
        <v>8</v>
      </c>
      <c r="D59" t="s">
        <v>17</v>
      </c>
      <c r="E59">
        <v>36</v>
      </c>
      <c r="F59" s="3">
        <v>44333</v>
      </c>
      <c r="G59" s="4">
        <v>71380</v>
      </c>
      <c r="H59" t="s">
        <v>13</v>
      </c>
    </row>
    <row r="60" spans="2:8" x14ac:dyDescent="0.25">
      <c r="B60" t="s">
        <v>74</v>
      </c>
      <c r="C60" t="s">
        <v>15</v>
      </c>
      <c r="D60" t="s">
        <v>9</v>
      </c>
      <c r="E60">
        <v>38</v>
      </c>
      <c r="F60" s="3">
        <v>44377</v>
      </c>
      <c r="G60" s="4">
        <v>109160</v>
      </c>
      <c r="H60" t="s">
        <v>43</v>
      </c>
    </row>
    <row r="61" spans="2:8" x14ac:dyDescent="0.25">
      <c r="B61" t="s">
        <v>75</v>
      </c>
      <c r="C61" t="s">
        <v>8</v>
      </c>
      <c r="D61" t="s">
        <v>12</v>
      </c>
      <c r="E61">
        <v>27</v>
      </c>
      <c r="F61" s="3">
        <v>44609</v>
      </c>
      <c r="G61" s="4">
        <v>113280</v>
      </c>
      <c r="H61" t="s">
        <v>49</v>
      </c>
    </row>
    <row r="62" spans="2:8" x14ac:dyDescent="0.25">
      <c r="B62" t="s">
        <v>76</v>
      </c>
      <c r="C62" t="s">
        <v>8</v>
      </c>
      <c r="D62" t="s">
        <v>23</v>
      </c>
      <c r="E62">
        <v>30</v>
      </c>
      <c r="F62" s="3">
        <v>44273</v>
      </c>
      <c r="G62" s="4">
        <v>69120</v>
      </c>
      <c r="H62" t="s">
        <v>13</v>
      </c>
    </row>
    <row r="63" spans="2:8" x14ac:dyDescent="0.25">
      <c r="B63" t="s">
        <v>77</v>
      </c>
      <c r="C63" t="s">
        <v>15</v>
      </c>
      <c r="D63" t="s">
        <v>26</v>
      </c>
      <c r="E63">
        <v>37</v>
      </c>
      <c r="F63" s="3">
        <v>44451</v>
      </c>
      <c r="G63" s="4">
        <v>118100</v>
      </c>
      <c r="H63" t="s">
        <v>13</v>
      </c>
    </row>
    <row r="64" spans="2:8" x14ac:dyDescent="0.25">
      <c r="B64" t="s">
        <v>78</v>
      </c>
      <c r="C64" t="s">
        <v>15</v>
      </c>
      <c r="D64" t="s">
        <v>12</v>
      </c>
      <c r="E64">
        <v>22</v>
      </c>
      <c r="F64" s="3">
        <v>44450</v>
      </c>
      <c r="G64" s="4">
        <v>76900</v>
      </c>
      <c r="H64" t="s">
        <v>10</v>
      </c>
    </row>
    <row r="65" spans="2:8" x14ac:dyDescent="0.25">
      <c r="B65" t="s">
        <v>79</v>
      </c>
      <c r="C65" t="s">
        <v>15</v>
      </c>
      <c r="D65" t="s">
        <v>23</v>
      </c>
      <c r="E65">
        <v>43</v>
      </c>
      <c r="F65" s="3">
        <v>45045</v>
      </c>
      <c r="G65" s="4">
        <v>114870</v>
      </c>
      <c r="H65" t="s">
        <v>13</v>
      </c>
    </row>
    <row r="66" spans="2:8" x14ac:dyDescent="0.25">
      <c r="B66" t="s">
        <v>80</v>
      </c>
      <c r="D66" t="s">
        <v>23</v>
      </c>
      <c r="E66">
        <v>32</v>
      </c>
      <c r="F66" s="3">
        <v>44774</v>
      </c>
      <c r="G66" s="4">
        <v>91310</v>
      </c>
      <c r="H66" t="s">
        <v>13</v>
      </c>
    </row>
    <row r="67" spans="2:8" x14ac:dyDescent="0.25">
      <c r="B67" t="s">
        <v>81</v>
      </c>
      <c r="C67" t="s">
        <v>15</v>
      </c>
      <c r="D67" t="s">
        <v>12</v>
      </c>
      <c r="E67">
        <v>28</v>
      </c>
      <c r="F67" s="3">
        <v>44486</v>
      </c>
      <c r="G67" s="4">
        <v>104770</v>
      </c>
      <c r="H67" t="s">
        <v>13</v>
      </c>
    </row>
    <row r="68" spans="2:8" x14ac:dyDescent="0.25">
      <c r="B68" t="s">
        <v>82</v>
      </c>
      <c r="C68" t="s">
        <v>8</v>
      </c>
      <c r="D68" t="s">
        <v>9</v>
      </c>
      <c r="E68">
        <v>27</v>
      </c>
      <c r="F68" s="3">
        <v>44134</v>
      </c>
      <c r="G68" s="4">
        <v>54970</v>
      </c>
      <c r="H68" t="s">
        <v>13</v>
      </c>
    </row>
    <row r="69" spans="2:8" x14ac:dyDescent="0.25">
      <c r="B69" t="s">
        <v>83</v>
      </c>
      <c r="D69" t="s">
        <v>23</v>
      </c>
      <c r="E69">
        <v>26</v>
      </c>
      <c r="F69" s="3">
        <v>44271</v>
      </c>
      <c r="G69" s="4">
        <v>90700</v>
      </c>
      <c r="H69" t="s">
        <v>10</v>
      </c>
    </row>
    <row r="70" spans="2:8" x14ac:dyDescent="0.25">
      <c r="B70" t="s">
        <v>84</v>
      </c>
      <c r="C70" t="s">
        <v>15</v>
      </c>
      <c r="D70" t="s">
        <v>9</v>
      </c>
      <c r="E70">
        <v>38</v>
      </c>
      <c r="F70" s="3">
        <v>44329</v>
      </c>
      <c r="G70" s="4">
        <v>56870</v>
      </c>
      <c r="H70" t="s">
        <v>10</v>
      </c>
    </row>
    <row r="71" spans="2:8" x14ac:dyDescent="0.25">
      <c r="B71" t="s">
        <v>85</v>
      </c>
      <c r="C71" t="s">
        <v>15</v>
      </c>
      <c r="D71" t="s">
        <v>9</v>
      </c>
      <c r="E71">
        <v>25</v>
      </c>
      <c r="F71" s="3">
        <v>44205</v>
      </c>
      <c r="G71" s="4">
        <v>92700</v>
      </c>
      <c r="H71" t="s">
        <v>13</v>
      </c>
    </row>
    <row r="72" spans="2:8" x14ac:dyDescent="0.25">
      <c r="B72" t="s">
        <v>86</v>
      </c>
      <c r="C72" t="s">
        <v>15</v>
      </c>
      <c r="D72" t="s">
        <v>17</v>
      </c>
      <c r="E72">
        <v>21</v>
      </c>
      <c r="F72" s="3">
        <v>44317</v>
      </c>
      <c r="G72" s="4">
        <v>65920</v>
      </c>
      <c r="H72" t="s">
        <v>13</v>
      </c>
    </row>
    <row r="73" spans="2:8" x14ac:dyDescent="0.25">
      <c r="B73" t="s">
        <v>87</v>
      </c>
      <c r="C73" t="s">
        <v>8</v>
      </c>
      <c r="D73" t="s">
        <v>12</v>
      </c>
      <c r="E73">
        <v>26</v>
      </c>
      <c r="F73" s="3">
        <v>44225</v>
      </c>
      <c r="G73" s="4">
        <v>47360</v>
      </c>
      <c r="H73" t="s">
        <v>13</v>
      </c>
    </row>
    <row r="74" spans="2:8" x14ac:dyDescent="0.25">
      <c r="B74" t="s">
        <v>88</v>
      </c>
      <c r="C74" t="s">
        <v>8</v>
      </c>
      <c r="D74" t="s">
        <v>12</v>
      </c>
      <c r="E74">
        <v>30</v>
      </c>
      <c r="F74" s="3">
        <v>44666</v>
      </c>
      <c r="G74" s="4">
        <v>60570</v>
      </c>
      <c r="H74" t="s">
        <v>13</v>
      </c>
    </row>
    <row r="75" spans="2:8" x14ac:dyDescent="0.25">
      <c r="B75" t="s">
        <v>89</v>
      </c>
      <c r="C75" t="s">
        <v>15</v>
      </c>
      <c r="D75" t="s">
        <v>12</v>
      </c>
      <c r="E75">
        <v>28</v>
      </c>
      <c r="F75" s="3">
        <v>44649</v>
      </c>
      <c r="G75" s="4">
        <v>104120</v>
      </c>
      <c r="H75" t="s">
        <v>13</v>
      </c>
    </row>
    <row r="76" spans="2:8" x14ac:dyDescent="0.25">
      <c r="B76" t="s">
        <v>90</v>
      </c>
      <c r="C76" t="s">
        <v>8</v>
      </c>
      <c r="D76" t="s">
        <v>23</v>
      </c>
      <c r="E76">
        <v>37</v>
      </c>
      <c r="F76" s="3">
        <v>44338</v>
      </c>
      <c r="G76" s="4">
        <v>88050</v>
      </c>
      <c r="H76" t="s">
        <v>18</v>
      </c>
    </row>
    <row r="77" spans="2:8" x14ac:dyDescent="0.25">
      <c r="B77" t="s">
        <v>91</v>
      </c>
      <c r="C77" t="s">
        <v>8</v>
      </c>
      <c r="D77" t="s">
        <v>23</v>
      </c>
      <c r="E77">
        <v>24</v>
      </c>
      <c r="F77" s="3">
        <v>44686</v>
      </c>
      <c r="G77" s="4">
        <v>100420</v>
      </c>
      <c r="H77" t="s">
        <v>13</v>
      </c>
    </row>
    <row r="78" spans="2:8" x14ac:dyDescent="0.25">
      <c r="B78" t="s">
        <v>92</v>
      </c>
      <c r="C78" t="s">
        <v>15</v>
      </c>
      <c r="D78" t="s">
        <v>12</v>
      </c>
      <c r="E78">
        <v>30</v>
      </c>
      <c r="F78" s="3">
        <v>44850</v>
      </c>
      <c r="G78" s="4">
        <v>114180</v>
      </c>
      <c r="H78" t="s">
        <v>13</v>
      </c>
    </row>
    <row r="79" spans="2:8" x14ac:dyDescent="0.25">
      <c r="B79" t="s">
        <v>93</v>
      </c>
      <c r="C79" t="s">
        <v>15</v>
      </c>
      <c r="D79" t="s">
        <v>23</v>
      </c>
      <c r="E79">
        <v>21</v>
      </c>
      <c r="F79" s="3">
        <v>44678</v>
      </c>
      <c r="G79" s="4">
        <v>33920</v>
      </c>
      <c r="H79" t="s">
        <v>13</v>
      </c>
    </row>
    <row r="80" spans="2:8" x14ac:dyDescent="0.25">
      <c r="B80" t="s">
        <v>94</v>
      </c>
      <c r="C80" t="s">
        <v>8</v>
      </c>
      <c r="D80" t="s">
        <v>12</v>
      </c>
      <c r="E80">
        <v>23</v>
      </c>
      <c r="F80" s="3">
        <v>44440</v>
      </c>
      <c r="G80" s="4">
        <v>106460</v>
      </c>
      <c r="H80" t="s">
        <v>13</v>
      </c>
    </row>
    <row r="81" spans="2:8" x14ac:dyDescent="0.25">
      <c r="B81" t="s">
        <v>95</v>
      </c>
      <c r="C81" t="s">
        <v>8</v>
      </c>
      <c r="D81" t="s">
        <v>12</v>
      </c>
      <c r="E81">
        <v>35</v>
      </c>
      <c r="F81" s="3">
        <v>44727</v>
      </c>
      <c r="G81" s="4">
        <v>40400</v>
      </c>
      <c r="H81" t="s">
        <v>13</v>
      </c>
    </row>
    <row r="82" spans="2:8" x14ac:dyDescent="0.25">
      <c r="B82" t="s">
        <v>96</v>
      </c>
      <c r="C82" t="s">
        <v>8</v>
      </c>
      <c r="D82" t="s">
        <v>17</v>
      </c>
      <c r="E82">
        <v>27</v>
      </c>
      <c r="F82" s="3">
        <v>44236</v>
      </c>
      <c r="G82" s="4">
        <v>91650</v>
      </c>
      <c r="H82" t="s">
        <v>10</v>
      </c>
    </row>
    <row r="83" spans="2:8" x14ac:dyDescent="0.25">
      <c r="B83" t="s">
        <v>97</v>
      </c>
      <c r="C83" t="s">
        <v>8</v>
      </c>
      <c r="D83" t="s">
        <v>9</v>
      </c>
      <c r="E83">
        <v>43</v>
      </c>
      <c r="F83" s="3">
        <v>44620</v>
      </c>
      <c r="G83" s="4">
        <v>36040</v>
      </c>
      <c r="H83" t="s">
        <v>13</v>
      </c>
    </row>
    <row r="84" spans="2:8" x14ac:dyDescent="0.25">
      <c r="B84" t="s">
        <v>98</v>
      </c>
      <c r="C84" t="s">
        <v>15</v>
      </c>
      <c r="D84" t="s">
        <v>23</v>
      </c>
      <c r="E84">
        <v>40</v>
      </c>
      <c r="F84" s="3">
        <v>44381</v>
      </c>
      <c r="G84" s="4">
        <v>104410</v>
      </c>
      <c r="H84" t="s">
        <v>13</v>
      </c>
    </row>
    <row r="85" spans="2:8" x14ac:dyDescent="0.25">
      <c r="B85" t="s">
        <v>99</v>
      </c>
      <c r="C85" t="s">
        <v>8</v>
      </c>
      <c r="D85" t="s">
        <v>17</v>
      </c>
      <c r="E85">
        <v>30</v>
      </c>
      <c r="F85" s="3">
        <v>44606</v>
      </c>
      <c r="G85" s="4">
        <v>96800</v>
      </c>
      <c r="H85" t="s">
        <v>13</v>
      </c>
    </row>
    <row r="86" spans="2:8" x14ac:dyDescent="0.25">
      <c r="B86" t="s">
        <v>100</v>
      </c>
      <c r="C86" t="s">
        <v>15</v>
      </c>
      <c r="D86" t="s">
        <v>17</v>
      </c>
      <c r="E86">
        <v>34</v>
      </c>
      <c r="F86" s="3">
        <v>44459</v>
      </c>
      <c r="G86" s="4">
        <v>85000</v>
      </c>
      <c r="H86" t="s">
        <v>13</v>
      </c>
    </row>
    <row r="87" spans="2:8" x14ac:dyDescent="0.25">
      <c r="B87" t="s">
        <v>101</v>
      </c>
      <c r="C87" t="s">
        <v>8</v>
      </c>
      <c r="D87" t="s">
        <v>9</v>
      </c>
      <c r="E87">
        <v>28</v>
      </c>
      <c r="F87" s="3">
        <v>44820</v>
      </c>
      <c r="G87" s="4">
        <v>43510</v>
      </c>
      <c r="H87" t="s">
        <v>49</v>
      </c>
    </row>
    <row r="88" spans="2:8" x14ac:dyDescent="0.25">
      <c r="B88" t="s">
        <v>102</v>
      </c>
      <c r="C88" t="s">
        <v>8</v>
      </c>
      <c r="D88" t="s">
        <v>17</v>
      </c>
      <c r="E88">
        <v>33</v>
      </c>
      <c r="F88" s="3">
        <v>44243</v>
      </c>
      <c r="G88" s="4">
        <v>59430</v>
      </c>
      <c r="H88" t="s">
        <v>13</v>
      </c>
    </row>
    <row r="89" spans="2:8" x14ac:dyDescent="0.25">
      <c r="B89" t="s">
        <v>103</v>
      </c>
      <c r="C89" t="s">
        <v>15</v>
      </c>
      <c r="D89" t="s">
        <v>17</v>
      </c>
      <c r="E89">
        <v>33</v>
      </c>
      <c r="F89" s="3">
        <v>44067</v>
      </c>
      <c r="G89" s="4">
        <v>65360</v>
      </c>
      <c r="H89" t="s">
        <v>13</v>
      </c>
    </row>
    <row r="90" spans="2:8" x14ac:dyDescent="0.25">
      <c r="B90" t="s">
        <v>104</v>
      </c>
      <c r="C90" t="s">
        <v>15</v>
      </c>
      <c r="D90" t="s">
        <v>12</v>
      </c>
      <c r="E90">
        <v>32</v>
      </c>
      <c r="F90" s="3">
        <v>44611</v>
      </c>
      <c r="G90" s="4">
        <v>41570</v>
      </c>
      <c r="H90" t="s">
        <v>13</v>
      </c>
    </row>
    <row r="91" spans="2:8" x14ac:dyDescent="0.25">
      <c r="B91" t="s">
        <v>105</v>
      </c>
      <c r="C91" t="s">
        <v>15</v>
      </c>
      <c r="D91" t="s">
        <v>23</v>
      </c>
      <c r="E91">
        <v>33</v>
      </c>
      <c r="F91" s="3">
        <v>44312</v>
      </c>
      <c r="G91" s="4">
        <v>75280</v>
      </c>
      <c r="H91" t="s">
        <v>13</v>
      </c>
    </row>
    <row r="92" spans="2:8" x14ac:dyDescent="0.25">
      <c r="B92" t="s">
        <v>106</v>
      </c>
      <c r="C92" t="s">
        <v>8</v>
      </c>
      <c r="D92" t="s">
        <v>9</v>
      </c>
      <c r="E92">
        <v>33</v>
      </c>
      <c r="F92" s="3">
        <v>44385</v>
      </c>
      <c r="G92" s="4">
        <v>74550</v>
      </c>
      <c r="H92" t="s">
        <v>13</v>
      </c>
    </row>
    <row r="93" spans="2:8" x14ac:dyDescent="0.25">
      <c r="B93" t="s">
        <v>107</v>
      </c>
      <c r="C93" t="s">
        <v>8</v>
      </c>
      <c r="D93" t="s">
        <v>12</v>
      </c>
      <c r="E93">
        <v>30</v>
      </c>
      <c r="F93" s="3">
        <v>44701</v>
      </c>
      <c r="G93" s="4">
        <v>67950</v>
      </c>
      <c r="H93" t="s">
        <v>13</v>
      </c>
    </row>
    <row r="94" spans="2:8" x14ac:dyDescent="0.25">
      <c r="B94" t="s">
        <v>108</v>
      </c>
      <c r="C94" t="s">
        <v>8</v>
      </c>
      <c r="D94" t="s">
        <v>17</v>
      </c>
      <c r="E94">
        <v>42</v>
      </c>
      <c r="F94" s="3">
        <v>44731</v>
      </c>
      <c r="G94" s="4">
        <v>70270</v>
      </c>
      <c r="H94" t="s">
        <v>18</v>
      </c>
    </row>
    <row r="95" spans="2:8" x14ac:dyDescent="0.25">
      <c r="B95" t="s">
        <v>109</v>
      </c>
      <c r="C95" t="s">
        <v>8</v>
      </c>
      <c r="D95" t="s">
        <v>12</v>
      </c>
      <c r="E95">
        <v>26</v>
      </c>
      <c r="F95" s="3">
        <v>44411</v>
      </c>
      <c r="G95" s="4">
        <v>53540</v>
      </c>
      <c r="H95" t="s">
        <v>13</v>
      </c>
    </row>
    <row r="96" spans="2:8" x14ac:dyDescent="0.25">
      <c r="B96" t="s">
        <v>7</v>
      </c>
      <c r="C96" t="s">
        <v>8</v>
      </c>
      <c r="D96" t="s">
        <v>9</v>
      </c>
      <c r="E96">
        <v>22</v>
      </c>
      <c r="F96" s="3">
        <v>44446</v>
      </c>
      <c r="G96" s="4">
        <v>112780</v>
      </c>
      <c r="H96" t="s">
        <v>10</v>
      </c>
    </row>
    <row r="97" spans="2:8" x14ac:dyDescent="0.25">
      <c r="B97" t="s">
        <v>11</v>
      </c>
      <c r="C97" t="s">
        <v>8</v>
      </c>
      <c r="D97" t="s">
        <v>12</v>
      </c>
      <c r="E97">
        <v>46</v>
      </c>
      <c r="F97" s="3">
        <v>44758</v>
      </c>
      <c r="G97" s="4">
        <v>70610</v>
      </c>
      <c r="H97" t="s">
        <v>13</v>
      </c>
    </row>
    <row r="98" spans="2:8" x14ac:dyDescent="0.25">
      <c r="B98" t="s">
        <v>14</v>
      </c>
      <c r="C98" t="s">
        <v>15</v>
      </c>
      <c r="D98" t="s">
        <v>9</v>
      </c>
      <c r="E98">
        <v>28</v>
      </c>
      <c r="F98" s="3">
        <v>44357</v>
      </c>
      <c r="G98" s="4">
        <v>53240</v>
      </c>
      <c r="H98" t="s">
        <v>13</v>
      </c>
    </row>
    <row r="99" spans="2:8" x14ac:dyDescent="0.25">
      <c r="B99" t="s">
        <v>16</v>
      </c>
      <c r="D99" t="s">
        <v>17</v>
      </c>
      <c r="E99">
        <v>37</v>
      </c>
      <c r="F99" s="3">
        <v>44146</v>
      </c>
      <c r="G99" s="4">
        <v>115440</v>
      </c>
      <c r="H99" t="s">
        <v>18</v>
      </c>
    </row>
    <row r="100" spans="2:8" x14ac:dyDescent="0.25">
      <c r="B100" t="s">
        <v>19</v>
      </c>
      <c r="C100" t="s">
        <v>8</v>
      </c>
      <c r="D100" t="s">
        <v>9</v>
      </c>
      <c r="E100">
        <v>32</v>
      </c>
      <c r="F100" s="3">
        <v>44465</v>
      </c>
      <c r="G100" s="4">
        <v>53540</v>
      </c>
      <c r="H100" t="s">
        <v>13</v>
      </c>
    </row>
    <row r="101" spans="2:8" x14ac:dyDescent="0.25">
      <c r="B101" t="s">
        <v>20</v>
      </c>
      <c r="C101" t="s">
        <v>15</v>
      </c>
      <c r="D101" t="s">
        <v>12</v>
      </c>
      <c r="E101">
        <v>30</v>
      </c>
      <c r="F101" s="3">
        <v>44861</v>
      </c>
      <c r="G101" s="4">
        <v>112570</v>
      </c>
      <c r="H101" t="s">
        <v>13</v>
      </c>
    </row>
    <row r="102" spans="2:8" x14ac:dyDescent="0.25">
      <c r="B102" t="s">
        <v>21</v>
      </c>
      <c r="C102" t="s">
        <v>8</v>
      </c>
      <c r="D102" t="s">
        <v>12</v>
      </c>
      <c r="E102">
        <v>33</v>
      </c>
      <c r="F102" s="3">
        <v>44701</v>
      </c>
      <c r="G102" s="4">
        <v>48530</v>
      </c>
      <c r="H102" t="s">
        <v>10</v>
      </c>
    </row>
    <row r="103" spans="2:8" x14ac:dyDescent="0.25">
      <c r="B103" t="s">
        <v>22</v>
      </c>
      <c r="C103" t="s">
        <v>15</v>
      </c>
      <c r="D103" t="s">
        <v>23</v>
      </c>
      <c r="E103">
        <v>24</v>
      </c>
      <c r="F103" s="3">
        <v>44148</v>
      </c>
      <c r="G103" s="4">
        <v>62780</v>
      </c>
      <c r="H103" t="s">
        <v>13</v>
      </c>
    </row>
    <row r="104" spans="2:8" x14ac:dyDescent="0.25">
      <c r="B104" t="s">
        <v>110</v>
      </c>
      <c r="E104">
        <f>SUBTOTAL(101,nz_staff[Age])</f>
        <v>30.52</v>
      </c>
      <c r="G104" s="4">
        <f>SUBTOTAL(101,nz_staff[Salary])</f>
        <v>77472.100000000006</v>
      </c>
      <c r="H104">
        <f>SUBTOTAL(103,nz_staff[Rating])</f>
        <v>100</v>
      </c>
    </row>
  </sheetData>
  <conditionalFormatting sqref="B4:B103">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BE023-A087-40F2-AAFA-FBE4E4D22B8A}">
  <dimension ref="B2:H114"/>
  <sheetViews>
    <sheetView workbookViewId="0">
      <selection activeCell="D11" sqref="D11"/>
    </sheetView>
  </sheetViews>
  <sheetFormatPr defaultRowHeight="15" x14ac:dyDescent="0.25"/>
  <cols>
    <col min="2" max="2" width="30" bestFit="1" customWidth="1"/>
    <col min="3" max="3" width="9.85546875" customWidth="1"/>
    <col min="6" max="6" width="13.5703125" customWidth="1"/>
    <col min="7" max="7" width="13.85546875" customWidth="1"/>
  </cols>
  <sheetData>
    <row r="2" spans="2:8" x14ac:dyDescent="0.25">
      <c r="B2" s="1" t="s">
        <v>0</v>
      </c>
      <c r="C2" s="1" t="s">
        <v>1</v>
      </c>
      <c r="D2" s="1" t="s">
        <v>3</v>
      </c>
      <c r="E2" s="1" t="s">
        <v>6</v>
      </c>
      <c r="F2" s="1" t="s">
        <v>4</v>
      </c>
      <c r="G2" s="1" t="s">
        <v>2</v>
      </c>
      <c r="H2" s="1" t="s">
        <v>5</v>
      </c>
    </row>
    <row r="3" spans="2:8" x14ac:dyDescent="0.25">
      <c r="B3" t="s">
        <v>111</v>
      </c>
      <c r="C3" t="s">
        <v>8</v>
      </c>
      <c r="D3">
        <v>20</v>
      </c>
      <c r="E3" t="s">
        <v>13</v>
      </c>
      <c r="F3" s="3">
        <v>44122</v>
      </c>
      <c r="G3" t="s">
        <v>23</v>
      </c>
      <c r="H3">
        <v>112650</v>
      </c>
    </row>
    <row r="4" spans="2:8" x14ac:dyDescent="0.25">
      <c r="B4" t="s">
        <v>112</v>
      </c>
      <c r="C4" t="s">
        <v>15</v>
      </c>
      <c r="D4">
        <v>32</v>
      </c>
      <c r="E4" t="s">
        <v>10</v>
      </c>
      <c r="F4" s="3">
        <v>44293</v>
      </c>
      <c r="G4" t="s">
        <v>23</v>
      </c>
      <c r="H4">
        <v>43840</v>
      </c>
    </row>
    <row r="5" spans="2:8" x14ac:dyDescent="0.25">
      <c r="B5" t="s">
        <v>113</v>
      </c>
      <c r="C5" t="s">
        <v>8</v>
      </c>
      <c r="D5">
        <v>31</v>
      </c>
      <c r="E5" t="s">
        <v>13</v>
      </c>
      <c r="F5" s="3">
        <v>44663</v>
      </c>
      <c r="G5" t="s">
        <v>12</v>
      </c>
      <c r="H5">
        <v>103550</v>
      </c>
    </row>
    <row r="6" spans="2:8" x14ac:dyDescent="0.25">
      <c r="B6" t="s">
        <v>114</v>
      </c>
      <c r="C6" t="s">
        <v>15</v>
      </c>
      <c r="D6">
        <v>32</v>
      </c>
      <c r="E6" t="s">
        <v>13</v>
      </c>
      <c r="F6" s="3">
        <v>44339</v>
      </c>
      <c r="G6" t="s">
        <v>26</v>
      </c>
      <c r="H6">
        <v>45510</v>
      </c>
    </row>
    <row r="7" spans="2:8" x14ac:dyDescent="0.25">
      <c r="B7" t="s">
        <v>115</v>
      </c>
      <c r="D7">
        <v>37</v>
      </c>
      <c r="E7" t="s">
        <v>18</v>
      </c>
      <c r="F7" s="3">
        <v>44085</v>
      </c>
      <c r="G7" t="s">
        <v>17</v>
      </c>
      <c r="H7">
        <v>115440</v>
      </c>
    </row>
    <row r="8" spans="2:8" x14ac:dyDescent="0.25">
      <c r="B8" t="s">
        <v>116</v>
      </c>
      <c r="C8" t="s">
        <v>15</v>
      </c>
      <c r="D8">
        <v>38</v>
      </c>
      <c r="E8" t="s">
        <v>10</v>
      </c>
      <c r="F8" s="3">
        <v>44268</v>
      </c>
      <c r="G8" t="s">
        <v>9</v>
      </c>
      <c r="H8">
        <v>56870</v>
      </c>
    </row>
    <row r="9" spans="2:8" x14ac:dyDescent="0.25">
      <c r="B9" t="s">
        <v>117</v>
      </c>
      <c r="C9" t="s">
        <v>15</v>
      </c>
      <c r="D9">
        <v>25</v>
      </c>
      <c r="E9" t="s">
        <v>13</v>
      </c>
      <c r="F9" s="3">
        <v>44144</v>
      </c>
      <c r="G9" t="s">
        <v>9</v>
      </c>
      <c r="H9">
        <v>92700</v>
      </c>
    </row>
    <row r="10" spans="2:8" x14ac:dyDescent="0.25">
      <c r="B10" t="s">
        <v>118</v>
      </c>
      <c r="D10">
        <v>32</v>
      </c>
      <c r="E10" t="s">
        <v>13</v>
      </c>
      <c r="F10" s="3">
        <v>44713</v>
      </c>
      <c r="G10" t="s">
        <v>23</v>
      </c>
      <c r="H10">
        <v>91310</v>
      </c>
    </row>
    <row r="11" spans="2:8" x14ac:dyDescent="0.25">
      <c r="B11" t="s">
        <v>119</v>
      </c>
      <c r="C11" t="s">
        <v>8</v>
      </c>
      <c r="D11">
        <v>33</v>
      </c>
      <c r="E11" t="s">
        <v>13</v>
      </c>
      <c r="F11" s="3">
        <v>44324</v>
      </c>
      <c r="G11" t="s">
        <v>9</v>
      </c>
      <c r="H11">
        <v>74550</v>
      </c>
    </row>
    <row r="12" spans="2:8" x14ac:dyDescent="0.25">
      <c r="B12" t="s">
        <v>120</v>
      </c>
      <c r="C12" t="s">
        <v>8</v>
      </c>
      <c r="D12">
        <v>25</v>
      </c>
      <c r="E12" t="s">
        <v>10</v>
      </c>
      <c r="F12" s="3">
        <v>44665</v>
      </c>
      <c r="G12" t="s">
        <v>12</v>
      </c>
      <c r="H12">
        <v>109190</v>
      </c>
    </row>
    <row r="13" spans="2:8" x14ac:dyDescent="0.25">
      <c r="B13" t="s">
        <v>121</v>
      </c>
      <c r="C13" t="s">
        <v>15</v>
      </c>
      <c r="D13">
        <v>40</v>
      </c>
      <c r="E13" t="s">
        <v>13</v>
      </c>
      <c r="F13" s="3">
        <v>44320</v>
      </c>
      <c r="G13" t="s">
        <v>23</v>
      </c>
      <c r="H13">
        <v>104410</v>
      </c>
    </row>
    <row r="14" spans="2:8" x14ac:dyDescent="0.25">
      <c r="B14" t="s">
        <v>122</v>
      </c>
      <c r="C14" t="s">
        <v>8</v>
      </c>
      <c r="D14">
        <v>30</v>
      </c>
      <c r="E14" t="s">
        <v>13</v>
      </c>
      <c r="F14" s="3">
        <v>44544</v>
      </c>
      <c r="G14" t="s">
        <v>17</v>
      </c>
      <c r="H14">
        <v>96800</v>
      </c>
    </row>
    <row r="15" spans="2:8" x14ac:dyDescent="0.25">
      <c r="B15" t="s">
        <v>123</v>
      </c>
      <c r="C15" t="s">
        <v>8</v>
      </c>
      <c r="D15">
        <v>28</v>
      </c>
      <c r="E15" t="s">
        <v>10</v>
      </c>
      <c r="F15" s="3">
        <v>43980</v>
      </c>
      <c r="G15" t="s">
        <v>17</v>
      </c>
      <c r="H15">
        <v>48170</v>
      </c>
    </row>
    <row r="16" spans="2:8" x14ac:dyDescent="0.25">
      <c r="B16" t="s">
        <v>124</v>
      </c>
      <c r="C16" t="s">
        <v>8</v>
      </c>
      <c r="D16">
        <v>21</v>
      </c>
      <c r="E16" t="s">
        <v>13</v>
      </c>
      <c r="F16" s="3">
        <v>44042</v>
      </c>
      <c r="G16" t="s">
        <v>12</v>
      </c>
      <c r="H16">
        <v>37920</v>
      </c>
    </row>
    <row r="17" spans="2:8" x14ac:dyDescent="0.25">
      <c r="B17" t="s">
        <v>125</v>
      </c>
      <c r="C17" t="s">
        <v>8</v>
      </c>
      <c r="D17">
        <v>34</v>
      </c>
      <c r="E17" t="s">
        <v>13</v>
      </c>
      <c r="F17" s="3">
        <v>44642</v>
      </c>
      <c r="G17" t="s">
        <v>12</v>
      </c>
      <c r="H17">
        <v>112650</v>
      </c>
    </row>
    <row r="18" spans="2:8" x14ac:dyDescent="0.25">
      <c r="B18" t="s">
        <v>126</v>
      </c>
      <c r="C18" t="s">
        <v>15</v>
      </c>
      <c r="D18">
        <v>34</v>
      </c>
      <c r="E18" t="s">
        <v>18</v>
      </c>
      <c r="F18" s="3">
        <v>44660</v>
      </c>
      <c r="G18" t="s">
        <v>9</v>
      </c>
      <c r="H18">
        <v>49630</v>
      </c>
    </row>
    <row r="19" spans="2:8" x14ac:dyDescent="0.25">
      <c r="B19" t="s">
        <v>127</v>
      </c>
      <c r="C19" t="s">
        <v>8</v>
      </c>
      <c r="D19">
        <v>36</v>
      </c>
      <c r="E19" t="s">
        <v>13</v>
      </c>
      <c r="F19" s="3">
        <v>43958</v>
      </c>
      <c r="G19" t="s">
        <v>23</v>
      </c>
      <c r="H19">
        <v>118840</v>
      </c>
    </row>
    <row r="20" spans="2:8" x14ac:dyDescent="0.25">
      <c r="B20" t="s">
        <v>128</v>
      </c>
      <c r="C20" t="s">
        <v>8</v>
      </c>
      <c r="D20">
        <v>30</v>
      </c>
      <c r="E20" t="s">
        <v>13</v>
      </c>
      <c r="F20" s="3">
        <v>44789</v>
      </c>
      <c r="G20" t="s">
        <v>23</v>
      </c>
      <c r="H20">
        <v>69710</v>
      </c>
    </row>
    <row r="21" spans="2:8" x14ac:dyDescent="0.25">
      <c r="B21" t="s">
        <v>129</v>
      </c>
      <c r="C21" t="s">
        <v>8</v>
      </c>
      <c r="D21">
        <v>20</v>
      </c>
      <c r="E21" t="s">
        <v>13</v>
      </c>
      <c r="F21" s="3">
        <v>44683</v>
      </c>
      <c r="G21" t="s">
        <v>12</v>
      </c>
      <c r="H21">
        <v>79570</v>
      </c>
    </row>
    <row r="22" spans="2:8" x14ac:dyDescent="0.25">
      <c r="B22" t="s">
        <v>130</v>
      </c>
      <c r="C22" t="s">
        <v>15</v>
      </c>
      <c r="D22">
        <v>22</v>
      </c>
      <c r="E22" t="s">
        <v>10</v>
      </c>
      <c r="F22" s="3">
        <v>44388</v>
      </c>
      <c r="G22" t="s">
        <v>12</v>
      </c>
      <c r="H22">
        <v>76900</v>
      </c>
    </row>
    <row r="23" spans="2:8" x14ac:dyDescent="0.25">
      <c r="B23" t="s">
        <v>131</v>
      </c>
      <c r="C23" t="s">
        <v>8</v>
      </c>
      <c r="D23">
        <v>27</v>
      </c>
      <c r="E23" t="s">
        <v>13</v>
      </c>
      <c r="F23" s="3">
        <v>44073</v>
      </c>
      <c r="G23" t="s">
        <v>9</v>
      </c>
      <c r="H23">
        <v>54970</v>
      </c>
    </row>
    <row r="24" spans="2:8" x14ac:dyDescent="0.25">
      <c r="B24" t="s">
        <v>132</v>
      </c>
      <c r="C24" t="s">
        <v>8</v>
      </c>
      <c r="D24">
        <v>37</v>
      </c>
      <c r="E24" t="s">
        <v>18</v>
      </c>
      <c r="F24" s="3">
        <v>44277</v>
      </c>
      <c r="G24" t="s">
        <v>23</v>
      </c>
      <c r="H24">
        <v>88050</v>
      </c>
    </row>
    <row r="25" spans="2:8" x14ac:dyDescent="0.25">
      <c r="B25" t="s">
        <v>133</v>
      </c>
      <c r="C25" t="s">
        <v>8</v>
      </c>
      <c r="D25">
        <v>43</v>
      </c>
      <c r="E25" t="s">
        <v>13</v>
      </c>
      <c r="F25" s="3">
        <v>44558</v>
      </c>
      <c r="G25" t="s">
        <v>9</v>
      </c>
      <c r="H25">
        <v>36040</v>
      </c>
    </row>
    <row r="26" spans="2:8" x14ac:dyDescent="0.25">
      <c r="B26" t="s">
        <v>134</v>
      </c>
      <c r="C26" t="s">
        <v>15</v>
      </c>
      <c r="D26">
        <v>42</v>
      </c>
      <c r="E26" t="s">
        <v>43</v>
      </c>
      <c r="F26" s="3">
        <v>44718</v>
      </c>
      <c r="G26" t="s">
        <v>12</v>
      </c>
      <c r="H26">
        <v>75000</v>
      </c>
    </row>
    <row r="27" spans="2:8" x14ac:dyDescent="0.25">
      <c r="B27" t="s">
        <v>135</v>
      </c>
      <c r="C27" t="s">
        <v>8</v>
      </c>
      <c r="D27">
        <v>35</v>
      </c>
      <c r="E27" t="s">
        <v>13</v>
      </c>
      <c r="F27" s="3">
        <v>44666</v>
      </c>
      <c r="G27" t="s">
        <v>12</v>
      </c>
      <c r="H27">
        <v>40400</v>
      </c>
    </row>
    <row r="28" spans="2:8" x14ac:dyDescent="0.25">
      <c r="B28" t="s">
        <v>136</v>
      </c>
      <c r="C28" t="s">
        <v>8</v>
      </c>
      <c r="D28">
        <v>24</v>
      </c>
      <c r="E28" t="s">
        <v>13</v>
      </c>
      <c r="F28" s="3">
        <v>44625</v>
      </c>
      <c r="G28" t="s">
        <v>23</v>
      </c>
      <c r="H28">
        <v>100420</v>
      </c>
    </row>
    <row r="29" spans="2:8" x14ac:dyDescent="0.25">
      <c r="B29" t="s">
        <v>137</v>
      </c>
      <c r="C29" t="s">
        <v>15</v>
      </c>
      <c r="D29">
        <v>31</v>
      </c>
      <c r="E29" t="s">
        <v>13</v>
      </c>
      <c r="F29" s="3">
        <v>44604</v>
      </c>
      <c r="G29" t="s">
        <v>23</v>
      </c>
      <c r="H29">
        <v>58100</v>
      </c>
    </row>
    <row r="30" spans="2:8" x14ac:dyDescent="0.25">
      <c r="B30" t="s">
        <v>138</v>
      </c>
      <c r="C30" t="s">
        <v>15</v>
      </c>
      <c r="D30">
        <v>44</v>
      </c>
      <c r="E30" t="s">
        <v>13</v>
      </c>
      <c r="F30" s="3">
        <v>44985</v>
      </c>
      <c r="G30" t="s">
        <v>23</v>
      </c>
      <c r="H30">
        <v>114870</v>
      </c>
    </row>
    <row r="31" spans="2:8" x14ac:dyDescent="0.25">
      <c r="B31" t="s">
        <v>139</v>
      </c>
      <c r="C31" t="s">
        <v>15</v>
      </c>
      <c r="D31">
        <v>32</v>
      </c>
      <c r="E31" t="s">
        <v>13</v>
      </c>
      <c r="F31" s="3">
        <v>44549</v>
      </c>
      <c r="G31" t="s">
        <v>12</v>
      </c>
      <c r="H31">
        <v>41570</v>
      </c>
    </row>
    <row r="32" spans="2:8" x14ac:dyDescent="0.25">
      <c r="B32" t="s">
        <v>140</v>
      </c>
      <c r="C32" t="s">
        <v>15</v>
      </c>
      <c r="D32">
        <v>30</v>
      </c>
      <c r="E32" t="s">
        <v>13</v>
      </c>
      <c r="F32" s="3">
        <v>44800</v>
      </c>
      <c r="G32" t="s">
        <v>12</v>
      </c>
      <c r="H32">
        <v>112570</v>
      </c>
    </row>
    <row r="33" spans="2:8" x14ac:dyDescent="0.25">
      <c r="B33" t="s">
        <v>141</v>
      </c>
      <c r="C33" t="s">
        <v>8</v>
      </c>
      <c r="D33">
        <v>26</v>
      </c>
      <c r="E33" t="s">
        <v>13</v>
      </c>
      <c r="F33" s="3">
        <v>44164</v>
      </c>
      <c r="G33" t="s">
        <v>12</v>
      </c>
      <c r="H33">
        <v>47360</v>
      </c>
    </row>
    <row r="34" spans="2:8" x14ac:dyDescent="0.25">
      <c r="B34" t="s">
        <v>142</v>
      </c>
      <c r="C34" t="s">
        <v>15</v>
      </c>
      <c r="D34">
        <v>21</v>
      </c>
      <c r="E34" t="s">
        <v>13</v>
      </c>
      <c r="F34" s="3">
        <v>44256</v>
      </c>
      <c r="G34" t="s">
        <v>17</v>
      </c>
      <c r="H34">
        <v>65920</v>
      </c>
    </row>
    <row r="35" spans="2:8" x14ac:dyDescent="0.25">
      <c r="B35" t="s">
        <v>143</v>
      </c>
      <c r="C35" t="s">
        <v>15</v>
      </c>
      <c r="D35">
        <v>28</v>
      </c>
      <c r="E35" t="s">
        <v>13</v>
      </c>
      <c r="F35" s="3">
        <v>44571</v>
      </c>
      <c r="G35" t="s">
        <v>12</v>
      </c>
      <c r="H35">
        <v>99970</v>
      </c>
    </row>
    <row r="36" spans="2:8" x14ac:dyDescent="0.25">
      <c r="B36" t="s">
        <v>144</v>
      </c>
      <c r="C36" t="s">
        <v>15</v>
      </c>
      <c r="D36">
        <v>25</v>
      </c>
      <c r="E36" t="s">
        <v>10</v>
      </c>
      <c r="F36" s="3">
        <v>44633</v>
      </c>
      <c r="G36" t="s">
        <v>23</v>
      </c>
      <c r="H36">
        <v>80700</v>
      </c>
    </row>
    <row r="37" spans="2:8" x14ac:dyDescent="0.25">
      <c r="B37" t="s">
        <v>145</v>
      </c>
      <c r="C37" t="s">
        <v>8</v>
      </c>
      <c r="D37">
        <v>24</v>
      </c>
      <c r="E37" t="s">
        <v>18</v>
      </c>
      <c r="F37" s="3">
        <v>44375</v>
      </c>
      <c r="G37" t="s">
        <v>17</v>
      </c>
      <c r="H37">
        <v>52610</v>
      </c>
    </row>
    <row r="38" spans="2:8" x14ac:dyDescent="0.25">
      <c r="B38" t="s">
        <v>146</v>
      </c>
      <c r="C38" t="s">
        <v>8</v>
      </c>
      <c r="D38">
        <v>29</v>
      </c>
      <c r="E38" t="s">
        <v>18</v>
      </c>
      <c r="F38" s="3">
        <v>44119</v>
      </c>
      <c r="G38" t="s">
        <v>23</v>
      </c>
      <c r="H38">
        <v>112110</v>
      </c>
    </row>
    <row r="39" spans="2:8" x14ac:dyDescent="0.25">
      <c r="B39" t="s">
        <v>147</v>
      </c>
      <c r="C39" t="s">
        <v>15</v>
      </c>
      <c r="D39">
        <v>27</v>
      </c>
      <c r="E39" t="s">
        <v>13</v>
      </c>
      <c r="F39" s="3">
        <v>44061</v>
      </c>
      <c r="G39" t="s">
        <v>26</v>
      </c>
      <c r="H39">
        <v>119110</v>
      </c>
    </row>
    <row r="40" spans="2:8" x14ac:dyDescent="0.25">
      <c r="B40" t="s">
        <v>148</v>
      </c>
      <c r="C40" t="s">
        <v>8</v>
      </c>
      <c r="D40">
        <v>22</v>
      </c>
      <c r="E40" t="s">
        <v>10</v>
      </c>
      <c r="F40" s="3">
        <v>44384</v>
      </c>
      <c r="G40" t="s">
        <v>9</v>
      </c>
      <c r="H40">
        <v>112780</v>
      </c>
    </row>
    <row r="41" spans="2:8" x14ac:dyDescent="0.25">
      <c r="B41" t="s">
        <v>149</v>
      </c>
      <c r="C41" t="s">
        <v>15</v>
      </c>
      <c r="D41">
        <v>36</v>
      </c>
      <c r="E41" t="s">
        <v>13</v>
      </c>
      <c r="F41" s="3">
        <v>44023</v>
      </c>
      <c r="G41" t="s">
        <v>12</v>
      </c>
      <c r="H41">
        <v>114890</v>
      </c>
    </row>
    <row r="42" spans="2:8" x14ac:dyDescent="0.25">
      <c r="B42" t="s">
        <v>150</v>
      </c>
      <c r="C42" t="s">
        <v>8</v>
      </c>
      <c r="D42">
        <v>27</v>
      </c>
      <c r="E42" t="s">
        <v>13</v>
      </c>
      <c r="F42" s="3">
        <v>44506</v>
      </c>
      <c r="G42" t="s">
        <v>17</v>
      </c>
      <c r="H42">
        <v>48980</v>
      </c>
    </row>
    <row r="43" spans="2:8" x14ac:dyDescent="0.25">
      <c r="B43" t="s">
        <v>151</v>
      </c>
      <c r="C43" t="s">
        <v>8</v>
      </c>
      <c r="D43">
        <v>21</v>
      </c>
      <c r="E43" t="s">
        <v>13</v>
      </c>
      <c r="F43" s="3">
        <v>44180</v>
      </c>
      <c r="G43" t="s">
        <v>26</v>
      </c>
      <c r="H43">
        <v>75880</v>
      </c>
    </row>
    <row r="44" spans="2:8" x14ac:dyDescent="0.25">
      <c r="B44" t="s">
        <v>152</v>
      </c>
      <c r="C44" t="s">
        <v>15</v>
      </c>
      <c r="D44">
        <v>28</v>
      </c>
      <c r="E44" t="s">
        <v>13</v>
      </c>
      <c r="F44" s="3">
        <v>44296</v>
      </c>
      <c r="G44" t="s">
        <v>9</v>
      </c>
      <c r="H44">
        <v>53240</v>
      </c>
    </row>
    <row r="45" spans="2:8" x14ac:dyDescent="0.25">
      <c r="B45" t="s">
        <v>153</v>
      </c>
      <c r="C45" t="s">
        <v>15</v>
      </c>
      <c r="D45">
        <v>34</v>
      </c>
      <c r="E45" t="s">
        <v>13</v>
      </c>
      <c r="F45" s="3">
        <v>44397</v>
      </c>
      <c r="G45" t="s">
        <v>17</v>
      </c>
      <c r="H45">
        <v>85000</v>
      </c>
    </row>
    <row r="46" spans="2:8" x14ac:dyDescent="0.25">
      <c r="B46" t="s">
        <v>154</v>
      </c>
      <c r="C46" t="s">
        <v>15</v>
      </c>
      <c r="D46">
        <v>21</v>
      </c>
      <c r="E46" t="s">
        <v>13</v>
      </c>
      <c r="F46" s="3">
        <v>44619</v>
      </c>
      <c r="G46" t="s">
        <v>23</v>
      </c>
      <c r="H46">
        <v>33920</v>
      </c>
    </row>
    <row r="47" spans="2:8" x14ac:dyDescent="0.25">
      <c r="B47" t="s">
        <v>155</v>
      </c>
      <c r="C47" t="s">
        <v>15</v>
      </c>
      <c r="D47">
        <v>33</v>
      </c>
      <c r="E47" t="s">
        <v>13</v>
      </c>
      <c r="F47" s="3">
        <v>44253</v>
      </c>
      <c r="G47" t="s">
        <v>23</v>
      </c>
      <c r="H47">
        <v>75280</v>
      </c>
    </row>
    <row r="48" spans="2:8" x14ac:dyDescent="0.25">
      <c r="B48" t="s">
        <v>156</v>
      </c>
      <c r="C48" t="s">
        <v>15</v>
      </c>
      <c r="D48">
        <v>34</v>
      </c>
      <c r="E48" t="s">
        <v>13</v>
      </c>
      <c r="F48" s="3">
        <v>44594</v>
      </c>
      <c r="G48" t="s">
        <v>17</v>
      </c>
      <c r="H48">
        <v>58940</v>
      </c>
    </row>
    <row r="49" spans="2:8" x14ac:dyDescent="0.25">
      <c r="B49" t="s">
        <v>157</v>
      </c>
      <c r="C49" t="s">
        <v>15</v>
      </c>
      <c r="D49">
        <v>28</v>
      </c>
      <c r="E49" t="s">
        <v>13</v>
      </c>
      <c r="F49" s="3">
        <v>44425</v>
      </c>
      <c r="G49" t="s">
        <v>12</v>
      </c>
      <c r="H49">
        <v>104770</v>
      </c>
    </row>
    <row r="50" spans="2:8" x14ac:dyDescent="0.25">
      <c r="B50" t="s">
        <v>158</v>
      </c>
      <c r="C50" t="s">
        <v>8</v>
      </c>
      <c r="D50">
        <v>21</v>
      </c>
      <c r="E50" t="s">
        <v>13</v>
      </c>
      <c r="F50" s="3">
        <v>44701</v>
      </c>
      <c r="G50" t="s">
        <v>12</v>
      </c>
      <c r="H50">
        <v>57090</v>
      </c>
    </row>
    <row r="51" spans="2:8" x14ac:dyDescent="0.25">
      <c r="B51" t="s">
        <v>159</v>
      </c>
      <c r="C51" t="s">
        <v>8</v>
      </c>
      <c r="D51">
        <v>27</v>
      </c>
      <c r="E51" t="s">
        <v>10</v>
      </c>
      <c r="F51" s="3">
        <v>44174</v>
      </c>
      <c r="G51" t="s">
        <v>17</v>
      </c>
      <c r="H51">
        <v>91650</v>
      </c>
    </row>
    <row r="52" spans="2:8" x14ac:dyDescent="0.25">
      <c r="B52" t="s">
        <v>160</v>
      </c>
      <c r="C52" t="s">
        <v>8</v>
      </c>
      <c r="D52">
        <v>42</v>
      </c>
      <c r="E52" t="s">
        <v>18</v>
      </c>
      <c r="F52" s="3">
        <v>44670</v>
      </c>
      <c r="G52" t="s">
        <v>17</v>
      </c>
      <c r="H52">
        <v>70270</v>
      </c>
    </row>
    <row r="53" spans="2:8" x14ac:dyDescent="0.25">
      <c r="B53" t="s">
        <v>161</v>
      </c>
      <c r="C53" t="s">
        <v>15</v>
      </c>
      <c r="D53">
        <v>28</v>
      </c>
      <c r="E53" t="s">
        <v>13</v>
      </c>
      <c r="F53" s="3">
        <v>44124</v>
      </c>
      <c r="G53" t="s">
        <v>17</v>
      </c>
      <c r="H53">
        <v>75970</v>
      </c>
    </row>
    <row r="54" spans="2:8" x14ac:dyDescent="0.25">
      <c r="B54" t="s">
        <v>162</v>
      </c>
      <c r="D54">
        <v>27</v>
      </c>
      <c r="E54" t="s">
        <v>10</v>
      </c>
      <c r="F54" s="3">
        <v>44212</v>
      </c>
      <c r="G54" t="s">
        <v>23</v>
      </c>
      <c r="H54">
        <v>90700</v>
      </c>
    </row>
    <row r="55" spans="2:8" x14ac:dyDescent="0.25">
      <c r="B55" t="s">
        <v>163</v>
      </c>
      <c r="C55" t="s">
        <v>8</v>
      </c>
      <c r="D55">
        <v>30</v>
      </c>
      <c r="E55" t="s">
        <v>13</v>
      </c>
      <c r="F55" s="3">
        <v>44607</v>
      </c>
      <c r="G55" t="s">
        <v>12</v>
      </c>
      <c r="H55">
        <v>60570</v>
      </c>
    </row>
    <row r="56" spans="2:8" x14ac:dyDescent="0.25">
      <c r="B56" t="s">
        <v>164</v>
      </c>
      <c r="C56" t="s">
        <v>8</v>
      </c>
      <c r="D56">
        <v>33</v>
      </c>
      <c r="E56" t="s">
        <v>13</v>
      </c>
      <c r="F56" s="3">
        <v>44103</v>
      </c>
      <c r="G56" t="s">
        <v>12</v>
      </c>
      <c r="H56">
        <v>115920</v>
      </c>
    </row>
    <row r="57" spans="2:8" x14ac:dyDescent="0.25">
      <c r="B57" t="s">
        <v>165</v>
      </c>
      <c r="C57" t="s">
        <v>15</v>
      </c>
      <c r="D57">
        <v>33</v>
      </c>
      <c r="E57" t="s">
        <v>13</v>
      </c>
      <c r="F57" s="3">
        <v>44006</v>
      </c>
      <c r="G57" t="s">
        <v>17</v>
      </c>
      <c r="H57">
        <v>65360</v>
      </c>
    </row>
    <row r="58" spans="2:8" x14ac:dyDescent="0.25">
      <c r="B58" t="s">
        <v>166</v>
      </c>
      <c r="D58">
        <v>30</v>
      </c>
      <c r="E58" t="s">
        <v>13</v>
      </c>
      <c r="F58" s="3">
        <v>44535</v>
      </c>
      <c r="G58" t="s">
        <v>17</v>
      </c>
      <c r="H58">
        <v>64000</v>
      </c>
    </row>
    <row r="59" spans="2:8" x14ac:dyDescent="0.25">
      <c r="B59" t="s">
        <v>167</v>
      </c>
      <c r="C59" t="s">
        <v>15</v>
      </c>
      <c r="D59">
        <v>34</v>
      </c>
      <c r="E59" t="s">
        <v>13</v>
      </c>
      <c r="F59" s="3">
        <v>44383</v>
      </c>
      <c r="G59" t="s">
        <v>17</v>
      </c>
      <c r="H59">
        <v>92450</v>
      </c>
    </row>
    <row r="60" spans="2:8" x14ac:dyDescent="0.25">
      <c r="B60" t="s">
        <v>168</v>
      </c>
      <c r="C60" t="s">
        <v>8</v>
      </c>
      <c r="D60">
        <v>31</v>
      </c>
      <c r="E60" t="s">
        <v>13</v>
      </c>
      <c r="F60" s="3">
        <v>44450</v>
      </c>
      <c r="G60" t="s">
        <v>23</v>
      </c>
      <c r="H60">
        <v>48950</v>
      </c>
    </row>
    <row r="61" spans="2:8" x14ac:dyDescent="0.25">
      <c r="B61" t="s">
        <v>169</v>
      </c>
      <c r="C61" t="s">
        <v>15</v>
      </c>
      <c r="D61">
        <v>27</v>
      </c>
      <c r="E61" t="s">
        <v>13</v>
      </c>
      <c r="F61" s="3">
        <v>44625</v>
      </c>
      <c r="G61" t="s">
        <v>23</v>
      </c>
      <c r="H61">
        <v>83750</v>
      </c>
    </row>
    <row r="62" spans="2:8" x14ac:dyDescent="0.25">
      <c r="B62" t="s">
        <v>170</v>
      </c>
      <c r="C62" t="s">
        <v>15</v>
      </c>
      <c r="D62">
        <v>40</v>
      </c>
      <c r="E62" t="s">
        <v>13</v>
      </c>
      <c r="F62" s="3">
        <v>44276</v>
      </c>
      <c r="G62" t="s">
        <v>23</v>
      </c>
      <c r="H62">
        <v>87620</v>
      </c>
    </row>
    <row r="63" spans="2:8" x14ac:dyDescent="0.25">
      <c r="B63" t="s">
        <v>171</v>
      </c>
      <c r="C63" t="s">
        <v>15</v>
      </c>
      <c r="D63">
        <v>20</v>
      </c>
      <c r="E63" t="s">
        <v>18</v>
      </c>
      <c r="F63" s="3">
        <v>44476</v>
      </c>
      <c r="G63" t="s">
        <v>9</v>
      </c>
      <c r="H63">
        <v>68900</v>
      </c>
    </row>
    <row r="64" spans="2:8" x14ac:dyDescent="0.25">
      <c r="B64" t="s">
        <v>172</v>
      </c>
      <c r="C64" t="s">
        <v>8</v>
      </c>
      <c r="D64">
        <v>32</v>
      </c>
      <c r="E64" t="s">
        <v>13</v>
      </c>
      <c r="F64" s="3">
        <v>44403</v>
      </c>
      <c r="G64" t="s">
        <v>9</v>
      </c>
      <c r="H64">
        <v>53540</v>
      </c>
    </row>
    <row r="65" spans="2:8" x14ac:dyDescent="0.25">
      <c r="B65" t="s">
        <v>173</v>
      </c>
      <c r="C65" t="s">
        <v>8</v>
      </c>
      <c r="D65">
        <v>28</v>
      </c>
      <c r="E65" t="s">
        <v>49</v>
      </c>
      <c r="F65" s="3">
        <v>44758</v>
      </c>
      <c r="G65" t="s">
        <v>9</v>
      </c>
      <c r="H65">
        <v>43510</v>
      </c>
    </row>
    <row r="66" spans="2:8" x14ac:dyDescent="0.25">
      <c r="B66" t="s">
        <v>174</v>
      </c>
      <c r="C66" t="s">
        <v>15</v>
      </c>
      <c r="D66">
        <v>38</v>
      </c>
      <c r="E66" t="s">
        <v>43</v>
      </c>
      <c r="F66" s="3">
        <v>44316</v>
      </c>
      <c r="G66" t="s">
        <v>9</v>
      </c>
      <c r="H66">
        <v>109160</v>
      </c>
    </row>
    <row r="67" spans="2:8" x14ac:dyDescent="0.25">
      <c r="B67" t="s">
        <v>175</v>
      </c>
      <c r="C67" t="s">
        <v>8</v>
      </c>
      <c r="D67">
        <v>40</v>
      </c>
      <c r="E67" t="s">
        <v>13</v>
      </c>
      <c r="F67" s="3">
        <v>44204</v>
      </c>
      <c r="G67" t="s">
        <v>12</v>
      </c>
      <c r="H67">
        <v>99750</v>
      </c>
    </row>
    <row r="68" spans="2:8" x14ac:dyDescent="0.25">
      <c r="B68" t="s">
        <v>176</v>
      </c>
      <c r="C68" t="s">
        <v>15</v>
      </c>
      <c r="D68">
        <v>31</v>
      </c>
      <c r="E68" t="s">
        <v>13</v>
      </c>
      <c r="F68" s="3">
        <v>44084</v>
      </c>
      <c r="G68" t="s">
        <v>23</v>
      </c>
      <c r="H68">
        <v>41980</v>
      </c>
    </row>
    <row r="69" spans="2:8" x14ac:dyDescent="0.25">
      <c r="B69" t="s">
        <v>177</v>
      </c>
      <c r="C69" t="s">
        <v>8</v>
      </c>
      <c r="D69">
        <v>36</v>
      </c>
      <c r="E69" t="s">
        <v>13</v>
      </c>
      <c r="F69" s="3">
        <v>44272</v>
      </c>
      <c r="G69" t="s">
        <v>17</v>
      </c>
      <c r="H69">
        <v>71380</v>
      </c>
    </row>
    <row r="70" spans="2:8" x14ac:dyDescent="0.25">
      <c r="B70" t="s">
        <v>178</v>
      </c>
      <c r="C70" t="s">
        <v>8</v>
      </c>
      <c r="D70">
        <v>27</v>
      </c>
      <c r="E70" t="s">
        <v>49</v>
      </c>
      <c r="F70" s="3">
        <v>44547</v>
      </c>
      <c r="G70" t="s">
        <v>12</v>
      </c>
      <c r="H70">
        <v>113280</v>
      </c>
    </row>
    <row r="71" spans="2:8" x14ac:dyDescent="0.25">
      <c r="B71" t="s">
        <v>179</v>
      </c>
      <c r="C71" t="s">
        <v>15</v>
      </c>
      <c r="D71">
        <v>33</v>
      </c>
      <c r="E71" t="s">
        <v>13</v>
      </c>
      <c r="F71" s="3">
        <v>44747</v>
      </c>
      <c r="G71" t="s">
        <v>17</v>
      </c>
      <c r="H71">
        <v>86570</v>
      </c>
    </row>
    <row r="72" spans="2:8" x14ac:dyDescent="0.25">
      <c r="B72" t="s">
        <v>180</v>
      </c>
      <c r="C72" t="s">
        <v>8</v>
      </c>
      <c r="D72">
        <v>26</v>
      </c>
      <c r="E72" t="s">
        <v>13</v>
      </c>
      <c r="F72" s="3">
        <v>44350</v>
      </c>
      <c r="G72" t="s">
        <v>12</v>
      </c>
      <c r="H72">
        <v>53540</v>
      </c>
    </row>
    <row r="73" spans="2:8" x14ac:dyDescent="0.25">
      <c r="B73" t="s">
        <v>181</v>
      </c>
      <c r="C73" t="s">
        <v>8</v>
      </c>
      <c r="D73">
        <v>37</v>
      </c>
      <c r="E73" t="s">
        <v>13</v>
      </c>
      <c r="F73" s="3">
        <v>44640</v>
      </c>
      <c r="G73" t="s">
        <v>23</v>
      </c>
      <c r="H73">
        <v>69070</v>
      </c>
    </row>
    <row r="74" spans="2:8" x14ac:dyDescent="0.25">
      <c r="B74" t="s">
        <v>182</v>
      </c>
      <c r="C74" t="s">
        <v>15</v>
      </c>
      <c r="D74">
        <v>30</v>
      </c>
      <c r="E74" t="s">
        <v>18</v>
      </c>
      <c r="F74" s="3">
        <v>44328</v>
      </c>
      <c r="G74" t="s">
        <v>17</v>
      </c>
      <c r="H74">
        <v>67910</v>
      </c>
    </row>
    <row r="75" spans="2:8" x14ac:dyDescent="0.25">
      <c r="B75" t="s">
        <v>183</v>
      </c>
      <c r="C75" t="s">
        <v>8</v>
      </c>
      <c r="D75">
        <v>30</v>
      </c>
      <c r="E75" t="s">
        <v>13</v>
      </c>
      <c r="F75" s="3">
        <v>44214</v>
      </c>
      <c r="G75" t="s">
        <v>23</v>
      </c>
      <c r="H75">
        <v>69120</v>
      </c>
    </row>
    <row r="76" spans="2:8" x14ac:dyDescent="0.25">
      <c r="B76" t="s">
        <v>184</v>
      </c>
      <c r="C76" t="s">
        <v>15</v>
      </c>
      <c r="D76">
        <v>34</v>
      </c>
      <c r="E76" t="s">
        <v>13</v>
      </c>
      <c r="F76" s="3">
        <v>44550</v>
      </c>
      <c r="G76" t="s">
        <v>17</v>
      </c>
      <c r="H76">
        <v>60130</v>
      </c>
    </row>
    <row r="77" spans="2:8" x14ac:dyDescent="0.25">
      <c r="B77" t="s">
        <v>185</v>
      </c>
      <c r="C77" t="s">
        <v>8</v>
      </c>
      <c r="D77">
        <v>23</v>
      </c>
      <c r="E77" t="s">
        <v>13</v>
      </c>
      <c r="F77" s="3">
        <v>44378</v>
      </c>
      <c r="G77" t="s">
        <v>12</v>
      </c>
      <c r="H77">
        <v>106460</v>
      </c>
    </row>
    <row r="78" spans="2:8" x14ac:dyDescent="0.25">
      <c r="B78" t="s">
        <v>186</v>
      </c>
      <c r="C78" t="s">
        <v>15</v>
      </c>
      <c r="D78">
        <v>37</v>
      </c>
      <c r="E78" t="s">
        <v>13</v>
      </c>
      <c r="F78" s="3">
        <v>44389</v>
      </c>
      <c r="G78" t="s">
        <v>26</v>
      </c>
      <c r="H78">
        <v>118100</v>
      </c>
    </row>
    <row r="79" spans="2:8" x14ac:dyDescent="0.25">
      <c r="B79" t="s">
        <v>187</v>
      </c>
      <c r="C79" t="s">
        <v>15</v>
      </c>
      <c r="D79">
        <v>36</v>
      </c>
      <c r="E79" t="s">
        <v>13</v>
      </c>
      <c r="F79" s="3">
        <v>44468</v>
      </c>
      <c r="G79" t="s">
        <v>12</v>
      </c>
      <c r="H79">
        <v>78390</v>
      </c>
    </row>
    <row r="80" spans="2:8" x14ac:dyDescent="0.25">
      <c r="B80" t="s">
        <v>188</v>
      </c>
      <c r="C80" t="s">
        <v>15</v>
      </c>
      <c r="D80">
        <v>30</v>
      </c>
      <c r="E80" t="s">
        <v>13</v>
      </c>
      <c r="F80" s="3">
        <v>44789</v>
      </c>
      <c r="G80" t="s">
        <v>12</v>
      </c>
      <c r="H80">
        <v>114180</v>
      </c>
    </row>
    <row r="81" spans="2:8" x14ac:dyDescent="0.25">
      <c r="B81" t="s">
        <v>189</v>
      </c>
      <c r="C81" t="s">
        <v>15</v>
      </c>
      <c r="D81">
        <v>28</v>
      </c>
      <c r="E81" t="s">
        <v>13</v>
      </c>
      <c r="F81" s="3">
        <v>44590</v>
      </c>
      <c r="G81" t="s">
        <v>12</v>
      </c>
      <c r="H81">
        <v>104120</v>
      </c>
    </row>
    <row r="82" spans="2:8" x14ac:dyDescent="0.25">
      <c r="B82" t="s">
        <v>190</v>
      </c>
      <c r="C82" t="s">
        <v>8</v>
      </c>
      <c r="D82">
        <v>30</v>
      </c>
      <c r="E82" t="s">
        <v>13</v>
      </c>
      <c r="F82" s="3">
        <v>44640</v>
      </c>
      <c r="G82" t="s">
        <v>12</v>
      </c>
      <c r="H82">
        <v>67950</v>
      </c>
    </row>
    <row r="83" spans="2:8" x14ac:dyDescent="0.25">
      <c r="B83" t="s">
        <v>191</v>
      </c>
      <c r="C83" t="s">
        <v>15</v>
      </c>
      <c r="D83">
        <v>29</v>
      </c>
      <c r="E83" t="s">
        <v>13</v>
      </c>
      <c r="F83" s="3">
        <v>43962</v>
      </c>
      <c r="G83" t="s">
        <v>23</v>
      </c>
      <c r="H83">
        <v>34980</v>
      </c>
    </row>
    <row r="84" spans="2:8" x14ac:dyDescent="0.25">
      <c r="B84" t="s">
        <v>192</v>
      </c>
      <c r="C84" t="s">
        <v>15</v>
      </c>
      <c r="D84">
        <v>24</v>
      </c>
      <c r="E84" t="s">
        <v>13</v>
      </c>
      <c r="F84" s="3">
        <v>44087</v>
      </c>
      <c r="G84" t="s">
        <v>23</v>
      </c>
      <c r="H84">
        <v>62780</v>
      </c>
    </row>
    <row r="85" spans="2:8" x14ac:dyDescent="0.25">
      <c r="B85" t="s">
        <v>193</v>
      </c>
      <c r="C85" t="s">
        <v>8</v>
      </c>
      <c r="D85">
        <v>20</v>
      </c>
      <c r="E85" t="s">
        <v>13</v>
      </c>
      <c r="F85" s="3">
        <v>44397</v>
      </c>
      <c r="G85" t="s">
        <v>23</v>
      </c>
      <c r="H85">
        <v>107700</v>
      </c>
    </row>
    <row r="86" spans="2:8" x14ac:dyDescent="0.25">
      <c r="B86" t="s">
        <v>194</v>
      </c>
      <c r="C86" t="s">
        <v>8</v>
      </c>
      <c r="D86">
        <v>25</v>
      </c>
      <c r="E86" t="s">
        <v>13</v>
      </c>
      <c r="F86" s="3">
        <v>44322</v>
      </c>
      <c r="G86" t="s">
        <v>9</v>
      </c>
      <c r="H86">
        <v>65700</v>
      </c>
    </row>
    <row r="87" spans="2:8" x14ac:dyDescent="0.25">
      <c r="B87" t="s">
        <v>195</v>
      </c>
      <c r="C87" t="s">
        <v>15</v>
      </c>
      <c r="D87">
        <v>33</v>
      </c>
      <c r="E87" t="s">
        <v>49</v>
      </c>
      <c r="F87" s="3">
        <v>44313</v>
      </c>
      <c r="G87" t="s">
        <v>23</v>
      </c>
      <c r="H87">
        <v>75480</v>
      </c>
    </row>
    <row r="88" spans="2:8" x14ac:dyDescent="0.25">
      <c r="B88" t="s">
        <v>196</v>
      </c>
      <c r="C88" t="s">
        <v>8</v>
      </c>
      <c r="D88">
        <v>33</v>
      </c>
      <c r="E88" t="s">
        <v>13</v>
      </c>
      <c r="F88" s="3">
        <v>44448</v>
      </c>
      <c r="G88" t="s">
        <v>23</v>
      </c>
      <c r="H88">
        <v>53870</v>
      </c>
    </row>
    <row r="89" spans="2:8" x14ac:dyDescent="0.25">
      <c r="B89" t="s">
        <v>197</v>
      </c>
      <c r="C89" t="s">
        <v>15</v>
      </c>
      <c r="D89">
        <v>36</v>
      </c>
      <c r="E89" t="s">
        <v>13</v>
      </c>
      <c r="F89" s="3">
        <v>44433</v>
      </c>
      <c r="G89" t="s">
        <v>9</v>
      </c>
      <c r="H89">
        <v>78540</v>
      </c>
    </row>
    <row r="90" spans="2:8" x14ac:dyDescent="0.25">
      <c r="B90" t="s">
        <v>198</v>
      </c>
      <c r="C90" t="s">
        <v>8</v>
      </c>
      <c r="D90">
        <v>19</v>
      </c>
      <c r="E90" t="s">
        <v>13</v>
      </c>
      <c r="F90" s="3">
        <v>44218</v>
      </c>
      <c r="G90" t="s">
        <v>12</v>
      </c>
      <c r="H90">
        <v>58960</v>
      </c>
    </row>
    <row r="91" spans="2:8" x14ac:dyDescent="0.25">
      <c r="B91" t="s">
        <v>199</v>
      </c>
      <c r="C91" t="s">
        <v>8</v>
      </c>
      <c r="D91">
        <v>46</v>
      </c>
      <c r="E91" t="s">
        <v>13</v>
      </c>
      <c r="F91" s="3">
        <v>44697</v>
      </c>
      <c r="G91" t="s">
        <v>12</v>
      </c>
      <c r="H91">
        <v>70610</v>
      </c>
    </row>
    <row r="92" spans="2:8" x14ac:dyDescent="0.25">
      <c r="B92" t="s">
        <v>200</v>
      </c>
      <c r="C92" t="s">
        <v>8</v>
      </c>
      <c r="D92">
        <v>33</v>
      </c>
      <c r="E92" t="s">
        <v>13</v>
      </c>
      <c r="F92" s="3">
        <v>44181</v>
      </c>
      <c r="G92" t="s">
        <v>17</v>
      </c>
      <c r="H92">
        <v>59430</v>
      </c>
    </row>
    <row r="93" spans="2:8" x14ac:dyDescent="0.25">
      <c r="B93" t="s">
        <v>201</v>
      </c>
      <c r="C93" t="s">
        <v>8</v>
      </c>
      <c r="D93">
        <v>33</v>
      </c>
      <c r="E93" t="s">
        <v>10</v>
      </c>
      <c r="F93" s="3">
        <v>44640</v>
      </c>
      <c r="G93" t="s">
        <v>12</v>
      </c>
      <c r="H93">
        <v>48530</v>
      </c>
    </row>
    <row r="94" spans="2:8" x14ac:dyDescent="0.25">
      <c r="B94" t="s">
        <v>202</v>
      </c>
      <c r="C94" t="s">
        <v>15</v>
      </c>
      <c r="D94">
        <v>33</v>
      </c>
      <c r="E94" t="s">
        <v>13</v>
      </c>
      <c r="F94" s="3">
        <v>44129</v>
      </c>
      <c r="G94" t="s">
        <v>23</v>
      </c>
      <c r="H94">
        <v>96140</v>
      </c>
    </row>
    <row r="95" spans="2:8" x14ac:dyDescent="0.25">
      <c r="B95" t="s">
        <v>111</v>
      </c>
      <c r="C95" t="s">
        <v>8</v>
      </c>
      <c r="D95">
        <v>20</v>
      </c>
      <c r="E95" t="s">
        <v>13</v>
      </c>
      <c r="F95" s="3">
        <v>44122</v>
      </c>
      <c r="G95" t="s">
        <v>23</v>
      </c>
      <c r="H95">
        <v>112650</v>
      </c>
    </row>
    <row r="96" spans="2:8" x14ac:dyDescent="0.25">
      <c r="B96" t="s">
        <v>112</v>
      </c>
      <c r="C96" t="s">
        <v>15</v>
      </c>
      <c r="D96">
        <v>32</v>
      </c>
      <c r="E96" t="s">
        <v>10</v>
      </c>
      <c r="F96" s="3">
        <v>44293</v>
      </c>
      <c r="G96" t="s">
        <v>23</v>
      </c>
      <c r="H96">
        <v>43840</v>
      </c>
    </row>
    <row r="97" spans="2:8" x14ac:dyDescent="0.25">
      <c r="B97" t="s">
        <v>113</v>
      </c>
      <c r="C97" t="s">
        <v>8</v>
      </c>
      <c r="D97">
        <v>31</v>
      </c>
      <c r="E97" t="s">
        <v>13</v>
      </c>
      <c r="F97" s="3">
        <v>44663</v>
      </c>
      <c r="G97" t="s">
        <v>12</v>
      </c>
      <c r="H97">
        <v>103550</v>
      </c>
    </row>
    <row r="98" spans="2:8" x14ac:dyDescent="0.25">
      <c r="B98" t="s">
        <v>114</v>
      </c>
      <c r="C98" t="s">
        <v>15</v>
      </c>
      <c r="D98">
        <v>32</v>
      </c>
      <c r="E98" t="s">
        <v>13</v>
      </c>
      <c r="F98" s="3">
        <v>44339</v>
      </c>
      <c r="G98" t="s">
        <v>26</v>
      </c>
      <c r="H98">
        <v>45510</v>
      </c>
    </row>
    <row r="99" spans="2:8" x14ac:dyDescent="0.25">
      <c r="B99" t="s">
        <v>115</v>
      </c>
      <c r="D99">
        <v>37</v>
      </c>
      <c r="E99" t="s">
        <v>18</v>
      </c>
      <c r="F99" s="3">
        <v>44085</v>
      </c>
      <c r="G99" t="s">
        <v>17</v>
      </c>
      <c r="H99">
        <v>115440</v>
      </c>
    </row>
    <row r="100" spans="2:8" x14ac:dyDescent="0.25">
      <c r="B100" t="s">
        <v>116</v>
      </c>
      <c r="C100" t="s">
        <v>15</v>
      </c>
      <c r="D100">
        <v>38</v>
      </c>
      <c r="E100" t="s">
        <v>10</v>
      </c>
      <c r="F100" s="3">
        <v>44268</v>
      </c>
      <c r="G100" t="s">
        <v>9</v>
      </c>
      <c r="H100">
        <v>56870</v>
      </c>
    </row>
    <row r="101" spans="2:8" x14ac:dyDescent="0.25">
      <c r="B101" t="s">
        <v>117</v>
      </c>
      <c r="C101" t="s">
        <v>15</v>
      </c>
      <c r="D101">
        <v>25</v>
      </c>
      <c r="E101" t="s">
        <v>13</v>
      </c>
      <c r="F101" s="3">
        <v>44144</v>
      </c>
      <c r="G101" t="s">
        <v>9</v>
      </c>
      <c r="H101">
        <v>92700</v>
      </c>
    </row>
    <row r="102" spans="2:8" x14ac:dyDescent="0.25">
      <c r="B102" t="s">
        <v>118</v>
      </c>
      <c r="D102">
        <v>32</v>
      </c>
      <c r="E102" t="s">
        <v>13</v>
      </c>
      <c r="F102" s="3">
        <v>44713</v>
      </c>
      <c r="G102" t="s">
        <v>23</v>
      </c>
      <c r="H102">
        <v>91310</v>
      </c>
    </row>
    <row r="103" spans="2:8" x14ac:dyDescent="0.25">
      <c r="B103" t="s">
        <v>119</v>
      </c>
      <c r="C103" t="s">
        <v>8</v>
      </c>
      <c r="D103">
        <v>33</v>
      </c>
      <c r="E103" t="s">
        <v>13</v>
      </c>
      <c r="F103" s="3">
        <v>44324</v>
      </c>
      <c r="G103" t="s">
        <v>9</v>
      </c>
      <c r="H103">
        <v>74550</v>
      </c>
    </row>
    <row r="104" spans="2:8" x14ac:dyDescent="0.25">
      <c r="B104" t="s">
        <v>120</v>
      </c>
      <c r="C104" t="s">
        <v>8</v>
      </c>
      <c r="D104">
        <v>25</v>
      </c>
      <c r="E104" t="s">
        <v>10</v>
      </c>
      <c r="F104" s="3">
        <v>44665</v>
      </c>
      <c r="G104" t="s">
        <v>12</v>
      </c>
      <c r="H104">
        <v>109190</v>
      </c>
    </row>
    <row r="105" spans="2:8" x14ac:dyDescent="0.25">
      <c r="B105" t="s">
        <v>121</v>
      </c>
      <c r="C105" t="s">
        <v>15</v>
      </c>
      <c r="D105">
        <v>40</v>
      </c>
      <c r="E105" t="s">
        <v>13</v>
      </c>
      <c r="F105" s="3">
        <v>44320</v>
      </c>
      <c r="G105" t="s">
        <v>23</v>
      </c>
      <c r="H105">
        <v>104410</v>
      </c>
    </row>
    <row r="106" spans="2:8" x14ac:dyDescent="0.25">
      <c r="B106" t="s">
        <v>122</v>
      </c>
      <c r="C106" t="s">
        <v>8</v>
      </c>
      <c r="D106">
        <v>30</v>
      </c>
      <c r="E106" t="s">
        <v>13</v>
      </c>
      <c r="F106" s="3">
        <v>44544</v>
      </c>
      <c r="G106" t="s">
        <v>17</v>
      </c>
      <c r="H106">
        <v>96800</v>
      </c>
    </row>
    <row r="107" spans="2:8" x14ac:dyDescent="0.25">
      <c r="B107" t="s">
        <v>123</v>
      </c>
      <c r="C107" t="s">
        <v>8</v>
      </c>
      <c r="D107">
        <v>28</v>
      </c>
      <c r="E107" t="s">
        <v>10</v>
      </c>
      <c r="F107" s="3">
        <v>43980</v>
      </c>
      <c r="G107" t="s">
        <v>17</v>
      </c>
      <c r="H107">
        <v>48170</v>
      </c>
    </row>
    <row r="108" spans="2:8" x14ac:dyDescent="0.25">
      <c r="B108" t="s">
        <v>124</v>
      </c>
      <c r="C108" t="s">
        <v>8</v>
      </c>
      <c r="D108">
        <v>21</v>
      </c>
      <c r="E108" t="s">
        <v>13</v>
      </c>
      <c r="F108" s="3">
        <v>44042</v>
      </c>
      <c r="G108" t="s">
        <v>12</v>
      </c>
      <c r="H108">
        <v>37920</v>
      </c>
    </row>
    <row r="109" spans="2:8" x14ac:dyDescent="0.25">
      <c r="B109" t="s">
        <v>125</v>
      </c>
      <c r="C109" t="s">
        <v>8</v>
      </c>
      <c r="D109">
        <v>34</v>
      </c>
      <c r="E109" t="s">
        <v>13</v>
      </c>
      <c r="F109" s="3">
        <v>44642</v>
      </c>
      <c r="G109" t="s">
        <v>12</v>
      </c>
      <c r="H109">
        <v>112650</v>
      </c>
    </row>
    <row r="110" spans="2:8" x14ac:dyDescent="0.25">
      <c r="B110" t="s">
        <v>126</v>
      </c>
      <c r="C110" t="s">
        <v>15</v>
      </c>
      <c r="D110">
        <v>34</v>
      </c>
      <c r="E110" t="s">
        <v>18</v>
      </c>
      <c r="F110" s="3">
        <v>44660</v>
      </c>
      <c r="G110" t="s">
        <v>9</v>
      </c>
      <c r="H110">
        <v>49630</v>
      </c>
    </row>
    <row r="111" spans="2:8" x14ac:dyDescent="0.25">
      <c r="B111" t="s">
        <v>127</v>
      </c>
      <c r="C111" t="s">
        <v>8</v>
      </c>
      <c r="D111">
        <v>36</v>
      </c>
      <c r="E111" t="s">
        <v>13</v>
      </c>
      <c r="F111" s="3">
        <v>43958</v>
      </c>
      <c r="G111" t="s">
        <v>23</v>
      </c>
      <c r="H111">
        <v>118840</v>
      </c>
    </row>
    <row r="112" spans="2:8" x14ac:dyDescent="0.25">
      <c r="B112" t="s">
        <v>128</v>
      </c>
      <c r="C112" t="s">
        <v>8</v>
      </c>
      <c r="D112">
        <v>30</v>
      </c>
      <c r="E112" t="s">
        <v>13</v>
      </c>
      <c r="F112" s="3">
        <v>44789</v>
      </c>
      <c r="G112" t="s">
        <v>23</v>
      </c>
      <c r="H112">
        <v>69710</v>
      </c>
    </row>
    <row r="113" spans="2:8" x14ac:dyDescent="0.25">
      <c r="B113" t="s">
        <v>129</v>
      </c>
      <c r="C113" t="s">
        <v>8</v>
      </c>
      <c r="D113">
        <v>20</v>
      </c>
      <c r="E113" t="s">
        <v>13</v>
      </c>
      <c r="F113" s="3">
        <v>44683</v>
      </c>
      <c r="G113" t="s">
        <v>12</v>
      </c>
      <c r="H113">
        <v>79570</v>
      </c>
    </row>
    <row r="114" spans="2:8" x14ac:dyDescent="0.25">
      <c r="B114" t="s">
        <v>130</v>
      </c>
      <c r="C114" t="s">
        <v>15</v>
      </c>
      <c r="D114">
        <v>22</v>
      </c>
      <c r="E114" t="s">
        <v>10</v>
      </c>
      <c r="F114" s="3">
        <v>44388</v>
      </c>
      <c r="G114" t="s">
        <v>12</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A24E5-CFE5-4B05-9DDE-65EF5BAB3E65}">
  <sheetPr>
    <tabColor rgb="FFFF0000"/>
  </sheetPr>
  <dimension ref="A1:R207"/>
  <sheetViews>
    <sheetView workbookViewId="0">
      <selection activeCell="E2" sqref="E2"/>
    </sheetView>
  </sheetViews>
  <sheetFormatPr defaultRowHeight="15" x14ac:dyDescent="0.25"/>
  <cols>
    <col min="1" max="1" width="30" bestFit="1" customWidth="1"/>
    <col min="2" max="2" width="10" bestFit="1" customWidth="1"/>
    <col min="3" max="3" width="14" bestFit="1" customWidth="1"/>
    <col min="4" max="4" width="6.7109375" bestFit="1" customWidth="1"/>
    <col min="5" max="5" width="13.7109375" bestFit="1" customWidth="1"/>
    <col min="6" max="6" width="12.7109375" style="38" customWidth="1"/>
    <col min="7" max="7" width="14.28515625" bestFit="1" customWidth="1"/>
    <col min="8" max="8" width="10" bestFit="1" customWidth="1"/>
    <col min="9" max="9" width="10" style="8" customWidth="1"/>
    <col min="10" max="10" width="11.5703125" style="35" customWidth="1"/>
    <col min="11" max="11" width="16.85546875" style="40" customWidth="1"/>
    <col min="12" max="14" width="6.7109375" customWidth="1"/>
    <col min="15" max="15" width="19.140625" bestFit="1" customWidth="1"/>
    <col min="16" max="16" width="26.140625" bestFit="1" customWidth="1"/>
    <col min="17" max="17" width="14.28515625" bestFit="1" customWidth="1"/>
    <col min="18" max="18" width="10" bestFit="1" customWidth="1"/>
  </cols>
  <sheetData>
    <row r="1" spans="1:18" ht="18.75" x14ac:dyDescent="0.3">
      <c r="A1" t="s">
        <v>0</v>
      </c>
      <c r="B1" t="s">
        <v>1</v>
      </c>
      <c r="C1" t="s">
        <v>2</v>
      </c>
      <c r="D1" t="s">
        <v>3</v>
      </c>
      <c r="E1" t="s">
        <v>4</v>
      </c>
      <c r="F1" s="38" t="s">
        <v>5</v>
      </c>
      <c r="G1" t="s">
        <v>6</v>
      </c>
      <c r="H1" t="s">
        <v>203</v>
      </c>
      <c r="I1" s="8" t="s">
        <v>204</v>
      </c>
      <c r="J1" s="35" t="s">
        <v>205</v>
      </c>
      <c r="K1" s="40" t="s">
        <v>206</v>
      </c>
      <c r="P1" s="29">
        <v>1</v>
      </c>
    </row>
    <row r="2" spans="1:18" x14ac:dyDescent="0.25">
      <c r="A2" t="s">
        <v>93</v>
      </c>
      <c r="B2" t="s">
        <v>15</v>
      </c>
      <c r="C2" t="s">
        <v>23</v>
      </c>
      <c r="D2">
        <v>21</v>
      </c>
      <c r="E2" s="7">
        <v>44678</v>
      </c>
      <c r="F2" s="38">
        <v>33920</v>
      </c>
      <c r="G2" t="s">
        <v>13</v>
      </c>
      <c r="H2" t="s">
        <v>207</v>
      </c>
      <c r="I2" s="33">
        <f ca="1">(TODAY()-staff[[#This Row],[Date Joined]])/365</f>
        <v>1.5863013698630137</v>
      </c>
      <c r="J2" s="36">
        <f ca="1">ROUNDUP(IF(staff[[#This Row],[Tenure]]&gt;2,3%,2%)*staff[[#This Row],[Salary]],0)</f>
        <v>679</v>
      </c>
      <c r="K2" s="40">
        <f>_xlfn.XLOOKUP(staff[[#This Row],[Rating]],Rating!$B$4:$B$8,Rating!$C$4:$C$8)</f>
        <v>3</v>
      </c>
      <c r="O2" s="42" t="s">
        <v>208</v>
      </c>
      <c r="P2" s="42"/>
      <c r="Q2" s="42"/>
      <c r="R2" s="42"/>
    </row>
    <row r="3" spans="1:18" x14ac:dyDescent="0.25">
      <c r="A3" t="s">
        <v>154</v>
      </c>
      <c r="B3" t="s">
        <v>15</v>
      </c>
      <c r="C3" t="s">
        <v>23</v>
      </c>
      <c r="D3">
        <v>21</v>
      </c>
      <c r="E3" s="7">
        <v>44619</v>
      </c>
      <c r="F3" s="38">
        <v>33920</v>
      </c>
      <c r="G3" t="s">
        <v>13</v>
      </c>
      <c r="H3" t="s">
        <v>209</v>
      </c>
      <c r="I3" s="33">
        <f ca="1">(TODAY()-staff[[#This Row],[Date Joined]])/365</f>
        <v>1.747945205479452</v>
      </c>
      <c r="J3" s="36">
        <f ca="1">ROUNDUP(IF(staff[[#This Row],[Tenure]]&gt;2,3%,2%)*staff[[#This Row],[Salary]],0)</f>
        <v>679</v>
      </c>
      <c r="K3" s="40">
        <f>_xlfn.XLOOKUP(staff[[#This Row],[Rating]],Rating!$B$4:$B$8,Rating!$C$4:$C$8)</f>
        <v>3</v>
      </c>
      <c r="O3" s="9" t="s">
        <v>210</v>
      </c>
      <c r="P3" s="10">
        <f>COUNTA(staff[Name])</f>
        <v>183</v>
      </c>
      <c r="Q3" s="11"/>
      <c r="R3" s="12"/>
    </row>
    <row r="4" spans="1:18" x14ac:dyDescent="0.25">
      <c r="A4" t="s">
        <v>45</v>
      </c>
      <c r="B4" t="s">
        <v>15</v>
      </c>
      <c r="C4" t="s">
        <v>23</v>
      </c>
      <c r="D4">
        <v>29</v>
      </c>
      <c r="E4" s="7">
        <v>44023</v>
      </c>
      <c r="F4" s="38">
        <v>34980</v>
      </c>
      <c r="G4" t="s">
        <v>13</v>
      </c>
      <c r="H4" t="s">
        <v>207</v>
      </c>
      <c r="I4" s="33">
        <f ca="1">(TODAY()-staff[[#This Row],[Date Joined]])/365</f>
        <v>3.3808219178082193</v>
      </c>
      <c r="J4" s="36">
        <f ca="1">ROUNDUP(IF(staff[[#This Row],[Tenure]]&gt;2,3%,2%)*staff[[#This Row],[Salary]],0)</f>
        <v>1050</v>
      </c>
      <c r="K4" s="40">
        <f>_xlfn.XLOOKUP(staff[[#This Row],[Rating]],Rating!$B$4:$B$8,Rating!$C$4:$C$8)</f>
        <v>3</v>
      </c>
      <c r="O4" s="13" t="s">
        <v>211</v>
      </c>
      <c r="P4" s="37">
        <f>AVERAGE(staff[Salary])</f>
        <v>77173.715846994543</v>
      </c>
      <c r="Q4" t="s">
        <v>212</v>
      </c>
      <c r="R4" s="14">
        <f>MEDIAN(staff[Salary])</f>
        <v>75000</v>
      </c>
    </row>
    <row r="5" spans="1:18" x14ac:dyDescent="0.25">
      <c r="A5" t="s">
        <v>191</v>
      </c>
      <c r="B5" t="s">
        <v>15</v>
      </c>
      <c r="C5" t="s">
        <v>23</v>
      </c>
      <c r="D5">
        <v>29</v>
      </c>
      <c r="E5" s="7">
        <v>43962</v>
      </c>
      <c r="F5" s="38">
        <v>34980</v>
      </c>
      <c r="G5" t="s">
        <v>13</v>
      </c>
      <c r="H5" t="s">
        <v>209</v>
      </c>
      <c r="I5" s="33">
        <f ca="1">(TODAY()-staff[[#This Row],[Date Joined]])/365</f>
        <v>3.547945205479452</v>
      </c>
      <c r="J5" s="36">
        <f ca="1">ROUNDUP(IF(staff[[#This Row],[Tenure]]&gt;2,3%,2%)*staff[[#This Row],[Salary]],0)</f>
        <v>1050</v>
      </c>
      <c r="K5" s="40">
        <f>_xlfn.XLOOKUP(staff[[#This Row],[Rating]],Rating!$B$4:$B$8,Rating!$C$4:$C$8)</f>
        <v>3</v>
      </c>
      <c r="O5" s="13" t="s">
        <v>213</v>
      </c>
      <c r="P5">
        <f>AVERAGE(staff[Age])</f>
        <v>30.42622950819672</v>
      </c>
      <c r="Q5" t="s">
        <v>214</v>
      </c>
      <c r="R5" s="15">
        <f>MEDIAN(staff[Age])</f>
        <v>30</v>
      </c>
    </row>
    <row r="6" spans="1:18" x14ac:dyDescent="0.25">
      <c r="A6" t="s">
        <v>97</v>
      </c>
      <c r="B6" t="s">
        <v>8</v>
      </c>
      <c r="C6" t="s">
        <v>9</v>
      </c>
      <c r="D6">
        <v>43</v>
      </c>
      <c r="E6" s="7">
        <v>44620</v>
      </c>
      <c r="F6" s="38">
        <v>36040</v>
      </c>
      <c r="G6" t="s">
        <v>13</v>
      </c>
      <c r="H6" t="s">
        <v>207</v>
      </c>
      <c r="I6" s="33">
        <f ca="1">(TODAY()-staff[[#This Row],[Date Joined]])/365</f>
        <v>1.7452054794520548</v>
      </c>
      <c r="J6" s="36">
        <f ca="1">ROUNDUP(IF(staff[[#This Row],[Tenure]]&gt;2,3%,2%)*staff[[#This Row],[Salary]],0)</f>
        <v>721</v>
      </c>
      <c r="K6" s="40">
        <f>_xlfn.XLOOKUP(staff[[#This Row],[Rating]],Rating!$B$4:$B$8,Rating!$C$4:$C$8)</f>
        <v>3</v>
      </c>
      <c r="O6" s="13" t="s">
        <v>215</v>
      </c>
      <c r="P6">
        <f ca="1">AVERAGE(staff[Tenure])</f>
        <v>2.2574444194924776</v>
      </c>
      <c r="R6" s="15"/>
    </row>
    <row r="7" spans="1:18" x14ac:dyDescent="0.25">
      <c r="A7" t="s">
        <v>133</v>
      </c>
      <c r="B7" t="s">
        <v>8</v>
      </c>
      <c r="C7" t="s">
        <v>9</v>
      </c>
      <c r="D7">
        <v>43</v>
      </c>
      <c r="E7" s="7">
        <v>44558</v>
      </c>
      <c r="F7" s="38">
        <v>36040</v>
      </c>
      <c r="G7" t="s">
        <v>13</v>
      </c>
      <c r="H7" t="s">
        <v>209</v>
      </c>
      <c r="I7" s="33">
        <f ca="1">(TODAY()-staff[[#This Row],[Date Joined]])/365</f>
        <v>1.9150684931506849</v>
      </c>
      <c r="J7" s="36">
        <f ca="1">ROUNDUP(IF(staff[[#This Row],[Tenure]]&gt;2,3%,2%)*staff[[#This Row],[Salary]],0)</f>
        <v>721</v>
      </c>
      <c r="K7" s="40">
        <f>_xlfn.XLOOKUP(staff[[#This Row],[Rating]],Rating!$B$4:$B$8,Rating!$C$4:$C$8)</f>
        <v>3</v>
      </c>
      <c r="O7" s="13" t="s">
        <v>216</v>
      </c>
      <c r="P7">
        <f>COUNTIFS(staff[Gender], "Female")</f>
        <v>86</v>
      </c>
      <c r="R7" s="15"/>
    </row>
    <row r="8" spans="1:18" x14ac:dyDescent="0.25">
      <c r="A8" t="s">
        <v>33</v>
      </c>
      <c r="B8" t="s">
        <v>8</v>
      </c>
      <c r="C8" t="s">
        <v>12</v>
      </c>
      <c r="D8">
        <v>21</v>
      </c>
      <c r="E8" s="7">
        <v>44104</v>
      </c>
      <c r="F8" s="38">
        <v>37920</v>
      </c>
      <c r="G8" t="s">
        <v>13</v>
      </c>
      <c r="H8" t="s">
        <v>207</v>
      </c>
      <c r="I8" s="33">
        <f ca="1">(TODAY()-staff[[#This Row],[Date Joined]])/365</f>
        <v>3.1589041095890411</v>
      </c>
      <c r="J8" s="36">
        <f ca="1">ROUNDUP(IF(staff[[#This Row],[Tenure]]&gt;2,3%,2%)*staff[[#This Row],[Salary]],0)</f>
        <v>1138</v>
      </c>
      <c r="K8" s="40">
        <f>_xlfn.XLOOKUP(staff[[#This Row],[Rating]],Rating!$B$4:$B$8,Rating!$C$4:$C$8)</f>
        <v>3</v>
      </c>
      <c r="O8" s="13" t="s">
        <v>217</v>
      </c>
      <c r="P8" s="16">
        <f>P7/P3</f>
        <v>0.46994535519125685</v>
      </c>
      <c r="R8" s="15"/>
    </row>
    <row r="9" spans="1:18" x14ac:dyDescent="0.25">
      <c r="A9" t="s">
        <v>124</v>
      </c>
      <c r="B9" t="s">
        <v>8</v>
      </c>
      <c r="C9" t="s">
        <v>12</v>
      </c>
      <c r="D9">
        <v>21</v>
      </c>
      <c r="E9" s="7">
        <v>44042</v>
      </c>
      <c r="F9" s="38">
        <v>37920</v>
      </c>
      <c r="G9" t="s">
        <v>13</v>
      </c>
      <c r="H9" t="s">
        <v>209</v>
      </c>
      <c r="I9" s="33">
        <f ca="1">(TODAY()-staff[[#This Row],[Date Joined]])/365</f>
        <v>3.3287671232876712</v>
      </c>
      <c r="J9" s="36">
        <f ca="1">ROUNDUP(IF(staff[[#This Row],[Tenure]]&gt;2,3%,2%)*staff[[#This Row],[Salary]],0)</f>
        <v>1138</v>
      </c>
      <c r="K9" s="40">
        <f>_xlfn.XLOOKUP(staff[[#This Row],[Rating]],Rating!$B$4:$B$8,Rating!$C$4:$C$8)</f>
        <v>3</v>
      </c>
      <c r="O9" s="13" t="s">
        <v>218</v>
      </c>
      <c r="P9">
        <f>COUNTIFS(staff[Salary], "&gt; 90000")</f>
        <v>63</v>
      </c>
      <c r="R9" s="15"/>
    </row>
    <row r="10" spans="1:18" x14ac:dyDescent="0.25">
      <c r="A10" t="s">
        <v>95</v>
      </c>
      <c r="B10" t="s">
        <v>8</v>
      </c>
      <c r="C10" t="s">
        <v>12</v>
      </c>
      <c r="D10">
        <v>35</v>
      </c>
      <c r="E10" s="7">
        <v>44727</v>
      </c>
      <c r="F10" s="38">
        <v>40400</v>
      </c>
      <c r="G10" t="s">
        <v>13</v>
      </c>
      <c r="H10" t="s">
        <v>207</v>
      </c>
      <c r="I10" s="33">
        <f ca="1">(TODAY()-staff[[#This Row],[Date Joined]])/365</f>
        <v>1.452054794520548</v>
      </c>
      <c r="J10" s="36">
        <f ca="1">ROUNDUP(IF(staff[[#This Row],[Tenure]]&gt;2,3%,2%)*staff[[#This Row],[Salary]],0)</f>
        <v>808</v>
      </c>
      <c r="K10" s="40">
        <f>_xlfn.XLOOKUP(staff[[#This Row],[Rating]],Rating!$B$4:$B$8,Rating!$C$4:$C$8)</f>
        <v>3</v>
      </c>
      <c r="O10" s="17" t="s">
        <v>219</v>
      </c>
      <c r="P10" s="18">
        <f>P9/P3</f>
        <v>0.34426229508196721</v>
      </c>
      <c r="Q10" s="19"/>
      <c r="R10" s="20"/>
    </row>
    <row r="11" spans="1:18" x14ac:dyDescent="0.25">
      <c r="A11" t="s">
        <v>135</v>
      </c>
      <c r="B11" t="s">
        <v>8</v>
      </c>
      <c r="C11" t="s">
        <v>12</v>
      </c>
      <c r="D11">
        <v>35</v>
      </c>
      <c r="E11" s="7">
        <v>44666</v>
      </c>
      <c r="F11" s="38">
        <v>40400</v>
      </c>
      <c r="G11" t="s">
        <v>13</v>
      </c>
      <c r="H11" t="s">
        <v>209</v>
      </c>
      <c r="I11" s="33">
        <f ca="1">(TODAY()-staff[[#This Row],[Date Joined]])/365</f>
        <v>1.6191780821917807</v>
      </c>
      <c r="J11" s="36">
        <f ca="1">ROUNDUP(IF(staff[[#This Row],[Tenure]]&gt;2,3%,2%)*staff[[#This Row],[Salary]],0)</f>
        <v>808</v>
      </c>
      <c r="K11" s="40">
        <f>_xlfn.XLOOKUP(staff[[#This Row],[Rating]],Rating!$B$4:$B$8,Rating!$C$4:$C$8)</f>
        <v>3</v>
      </c>
    </row>
    <row r="12" spans="1:18" x14ac:dyDescent="0.25">
      <c r="A12" t="s">
        <v>104</v>
      </c>
      <c r="B12" t="s">
        <v>15</v>
      </c>
      <c r="C12" t="s">
        <v>12</v>
      </c>
      <c r="D12">
        <v>32</v>
      </c>
      <c r="E12" s="7">
        <v>44611</v>
      </c>
      <c r="F12" s="38">
        <v>41570</v>
      </c>
      <c r="G12" t="s">
        <v>13</v>
      </c>
      <c r="H12" t="s">
        <v>207</v>
      </c>
      <c r="I12" s="33">
        <f ca="1">(TODAY()-staff[[#This Row],[Date Joined]])/365</f>
        <v>1.7698630136986302</v>
      </c>
      <c r="J12" s="36">
        <f ca="1">ROUNDUP(IF(staff[[#This Row],[Tenure]]&gt;2,3%,2%)*staff[[#This Row],[Salary]],0)</f>
        <v>832</v>
      </c>
      <c r="K12" s="40">
        <f>_xlfn.XLOOKUP(staff[[#This Row],[Rating]],Rating!$B$4:$B$8,Rating!$C$4:$C$8)</f>
        <v>3</v>
      </c>
    </row>
    <row r="13" spans="1:18" x14ac:dyDescent="0.25">
      <c r="A13" t="s">
        <v>139</v>
      </c>
      <c r="B13" t="s">
        <v>15</v>
      </c>
      <c r="C13" t="s">
        <v>12</v>
      </c>
      <c r="D13">
        <v>32</v>
      </c>
      <c r="E13" s="7">
        <v>44549</v>
      </c>
      <c r="F13" s="38">
        <v>41570</v>
      </c>
      <c r="G13" t="s">
        <v>13</v>
      </c>
      <c r="H13" t="s">
        <v>209</v>
      </c>
      <c r="I13" s="33">
        <f ca="1">(TODAY()-staff[[#This Row],[Date Joined]])/365</f>
        <v>1.9397260273972603</v>
      </c>
      <c r="J13" s="36">
        <f ca="1">ROUNDUP(IF(staff[[#This Row],[Tenure]]&gt;2,3%,2%)*staff[[#This Row],[Salary]],0)</f>
        <v>832</v>
      </c>
      <c r="K13" s="40">
        <f>_xlfn.XLOOKUP(staff[[#This Row],[Rating]],Rating!$B$4:$B$8,Rating!$C$4:$C$8)</f>
        <v>3</v>
      </c>
    </row>
    <row r="14" spans="1:18" ht="18.75" x14ac:dyDescent="0.3">
      <c r="A14" t="s">
        <v>35</v>
      </c>
      <c r="B14" t="s">
        <v>15</v>
      </c>
      <c r="C14" t="s">
        <v>23</v>
      </c>
      <c r="D14">
        <v>31</v>
      </c>
      <c r="E14" s="7">
        <v>44145</v>
      </c>
      <c r="F14" s="38">
        <v>41980</v>
      </c>
      <c r="G14" t="s">
        <v>13</v>
      </c>
      <c r="H14" t="s">
        <v>207</v>
      </c>
      <c r="I14" s="33">
        <f ca="1">(TODAY()-staff[[#This Row],[Date Joined]])/365</f>
        <v>3.0465753424657533</v>
      </c>
      <c r="J14" s="36">
        <f ca="1">ROUNDUP(IF(staff[[#This Row],[Tenure]]&gt;2,3%,2%)*staff[[#This Row],[Salary]],0)</f>
        <v>1260</v>
      </c>
      <c r="K14" s="40">
        <f>_xlfn.XLOOKUP(staff[[#This Row],[Rating]],Rating!$B$4:$B$8,Rating!$C$4:$C$8)</f>
        <v>3</v>
      </c>
      <c r="O14" s="29">
        <v>2</v>
      </c>
    </row>
    <row r="15" spans="1:18" x14ac:dyDescent="0.25">
      <c r="A15" t="s">
        <v>176</v>
      </c>
      <c r="B15" t="s">
        <v>15</v>
      </c>
      <c r="C15" t="s">
        <v>23</v>
      </c>
      <c r="D15">
        <v>31</v>
      </c>
      <c r="E15" s="7">
        <v>44084</v>
      </c>
      <c r="F15" s="38">
        <v>41980</v>
      </c>
      <c r="G15" t="s">
        <v>13</v>
      </c>
      <c r="H15" t="s">
        <v>209</v>
      </c>
      <c r="I15" s="33">
        <f ca="1">(TODAY()-staff[[#This Row],[Date Joined]])/365</f>
        <v>3.2136986301369861</v>
      </c>
      <c r="J15" s="36">
        <f ca="1">ROUNDUP(IF(staff[[#This Row],[Tenure]]&gt;2,3%,2%)*staff[[#This Row],[Salary]],0)</f>
        <v>1260</v>
      </c>
      <c r="K15" s="40">
        <f>_xlfn.XLOOKUP(staff[[#This Row],[Rating]],Rating!$B$4:$B$8,Rating!$C$4:$C$8)</f>
        <v>3</v>
      </c>
      <c r="O15" s="22" t="s">
        <v>7</v>
      </c>
    </row>
    <row r="16" spans="1:18" x14ac:dyDescent="0.25">
      <c r="A16" t="s">
        <v>101</v>
      </c>
      <c r="B16" t="s">
        <v>8</v>
      </c>
      <c r="C16" t="s">
        <v>9</v>
      </c>
      <c r="D16">
        <v>28</v>
      </c>
      <c r="E16" s="7">
        <v>44820</v>
      </c>
      <c r="F16" s="38">
        <v>43510</v>
      </c>
      <c r="G16" t="s">
        <v>49</v>
      </c>
      <c r="H16" t="s">
        <v>207</v>
      </c>
      <c r="I16" s="33">
        <f ca="1">(TODAY()-staff[[#This Row],[Date Joined]])/365</f>
        <v>1.1972602739726028</v>
      </c>
      <c r="J16" s="36">
        <f ca="1">ROUNDUP(IF(staff[[#This Row],[Tenure]]&gt;2,3%,2%)*staff[[#This Row],[Salary]],0)</f>
        <v>871</v>
      </c>
      <c r="K16" s="40">
        <f>_xlfn.XLOOKUP(staff[[#This Row],[Rating]],Rating!$B$4:$B$8,Rating!$C$4:$C$8)</f>
        <v>1</v>
      </c>
    </row>
    <row r="17" spans="1:17" x14ac:dyDescent="0.25">
      <c r="A17" t="s">
        <v>173</v>
      </c>
      <c r="B17" t="s">
        <v>8</v>
      </c>
      <c r="C17" t="s">
        <v>9</v>
      </c>
      <c r="D17">
        <v>28</v>
      </c>
      <c r="E17" s="7">
        <v>44758</v>
      </c>
      <c r="F17" s="38">
        <v>43510</v>
      </c>
      <c r="G17" t="s">
        <v>49</v>
      </c>
      <c r="H17" t="s">
        <v>209</v>
      </c>
      <c r="I17" s="33">
        <f ca="1">(TODAY()-staff[[#This Row],[Date Joined]])/365</f>
        <v>1.3671232876712329</v>
      </c>
      <c r="J17" s="36">
        <f ca="1">ROUNDUP(IF(staff[[#This Row],[Tenure]]&gt;2,3%,2%)*staff[[#This Row],[Salary]],0)</f>
        <v>871</v>
      </c>
      <c r="K17" s="40">
        <f>_xlfn.XLOOKUP(staff[[#This Row],[Rating]],Rating!$B$4:$B$8,Rating!$C$4:$C$8)</f>
        <v>1</v>
      </c>
    </row>
    <row r="18" spans="1:17" x14ac:dyDescent="0.25">
      <c r="A18" t="s">
        <v>31</v>
      </c>
      <c r="B18" t="s">
        <v>15</v>
      </c>
      <c r="C18" t="s">
        <v>23</v>
      </c>
      <c r="D18">
        <v>32</v>
      </c>
      <c r="E18" s="7">
        <v>44354</v>
      </c>
      <c r="F18" s="38">
        <v>43840</v>
      </c>
      <c r="G18" t="s">
        <v>10</v>
      </c>
      <c r="H18" t="s">
        <v>207</v>
      </c>
      <c r="I18" s="33">
        <f ca="1">(TODAY()-staff[[#This Row],[Date Joined]])/365</f>
        <v>2.473972602739726</v>
      </c>
      <c r="J18" s="36">
        <f ca="1">ROUNDUP(IF(staff[[#This Row],[Tenure]]&gt;2,3%,2%)*staff[[#This Row],[Salary]],0)</f>
        <v>1316</v>
      </c>
      <c r="K18" s="40">
        <f>_xlfn.XLOOKUP(staff[[#This Row],[Rating]],Rating!$B$4:$B$8,Rating!$C$4:$C$8)</f>
        <v>4</v>
      </c>
    </row>
    <row r="19" spans="1:17" x14ac:dyDescent="0.25">
      <c r="A19" t="s">
        <v>112</v>
      </c>
      <c r="B19" t="s">
        <v>15</v>
      </c>
      <c r="C19" t="s">
        <v>23</v>
      </c>
      <c r="D19">
        <v>32</v>
      </c>
      <c r="E19" s="7">
        <v>44293</v>
      </c>
      <c r="F19" s="38">
        <v>43840</v>
      </c>
      <c r="G19" t="s">
        <v>10</v>
      </c>
      <c r="H19" t="s">
        <v>209</v>
      </c>
      <c r="I19" s="33">
        <f ca="1">(TODAY()-staff[[#This Row],[Date Joined]])/365</f>
        <v>2.6410958904109587</v>
      </c>
      <c r="J19" s="36">
        <f ca="1">ROUNDUP(IF(staff[[#This Row],[Tenure]]&gt;2,3%,2%)*staff[[#This Row],[Salary]],0)</f>
        <v>1316</v>
      </c>
      <c r="K19" s="40">
        <f>_xlfn.XLOOKUP(staff[[#This Row],[Rating]],Rating!$B$4:$B$8,Rating!$C$4:$C$8)</f>
        <v>4</v>
      </c>
      <c r="O19" s="23" t="s">
        <v>1</v>
      </c>
      <c r="P19" s="24" t="str" cm="1">
        <f t="array" aca="1" ref="P19:P26" ca="1">TRANSPOSE(_xlfn.XLOOKUP(O15,staff[Name], staff[[Gender]:[Tenure]]))</f>
        <v>Male</v>
      </c>
      <c r="Q19" s="21"/>
    </row>
    <row r="20" spans="1:17" x14ac:dyDescent="0.25">
      <c r="A20" t="s">
        <v>70</v>
      </c>
      <c r="B20" t="s">
        <v>15</v>
      </c>
      <c r="C20" t="s">
        <v>26</v>
      </c>
      <c r="D20">
        <v>32</v>
      </c>
      <c r="E20" s="7">
        <v>44400</v>
      </c>
      <c r="F20" s="38">
        <v>45510</v>
      </c>
      <c r="G20" t="s">
        <v>13</v>
      </c>
      <c r="H20" t="s">
        <v>207</v>
      </c>
      <c r="I20" s="33">
        <f ca="1">(TODAY()-staff[[#This Row],[Date Joined]])/365</f>
        <v>2.3479452054794518</v>
      </c>
      <c r="J20" s="36">
        <f ca="1">ROUNDUP(IF(staff[[#This Row],[Tenure]]&gt;2,3%,2%)*staff[[#This Row],[Salary]],0)</f>
        <v>1366</v>
      </c>
      <c r="K20" s="40">
        <f>_xlfn.XLOOKUP(staff[[#This Row],[Rating]],Rating!$B$4:$B$8,Rating!$C$4:$C$8)</f>
        <v>3</v>
      </c>
      <c r="O20" s="23" t="s">
        <v>2</v>
      </c>
      <c r="P20" s="24" t="str">
        <f ca="1"/>
        <v>Sales</v>
      </c>
      <c r="Q20" s="21"/>
    </row>
    <row r="21" spans="1:17" x14ac:dyDescent="0.25">
      <c r="A21" t="s">
        <v>114</v>
      </c>
      <c r="B21" t="s">
        <v>15</v>
      </c>
      <c r="C21" t="s">
        <v>26</v>
      </c>
      <c r="D21">
        <v>32</v>
      </c>
      <c r="E21" s="7">
        <v>44339</v>
      </c>
      <c r="F21" s="38">
        <v>45510</v>
      </c>
      <c r="G21" t="s">
        <v>13</v>
      </c>
      <c r="H21" t="s">
        <v>209</v>
      </c>
      <c r="I21" s="33">
        <f ca="1">(TODAY()-staff[[#This Row],[Date Joined]])/365</f>
        <v>2.515068493150685</v>
      </c>
      <c r="J21" s="36">
        <f ca="1">ROUNDUP(IF(staff[[#This Row],[Tenure]]&gt;2,3%,2%)*staff[[#This Row],[Salary]],0)</f>
        <v>1366</v>
      </c>
      <c r="K21" s="40">
        <f>_xlfn.XLOOKUP(staff[[#This Row],[Rating]],Rating!$B$4:$B$8,Rating!$C$4:$C$8)</f>
        <v>3</v>
      </c>
      <c r="O21" s="23" t="s">
        <v>3</v>
      </c>
      <c r="P21" s="24">
        <f ca="1"/>
        <v>22</v>
      </c>
      <c r="Q21" s="21"/>
    </row>
    <row r="22" spans="1:17" x14ac:dyDescent="0.25">
      <c r="A22" t="s">
        <v>87</v>
      </c>
      <c r="B22" t="s">
        <v>8</v>
      </c>
      <c r="C22" t="s">
        <v>12</v>
      </c>
      <c r="D22">
        <v>26</v>
      </c>
      <c r="E22" s="7">
        <v>44225</v>
      </c>
      <c r="F22" s="38">
        <v>47360</v>
      </c>
      <c r="G22" t="s">
        <v>13</v>
      </c>
      <c r="H22" t="s">
        <v>207</v>
      </c>
      <c r="I22" s="33">
        <f ca="1">(TODAY()-staff[[#This Row],[Date Joined]])/365</f>
        <v>2.8273972602739725</v>
      </c>
      <c r="J22" s="36">
        <f ca="1">ROUNDUP(IF(staff[[#This Row],[Tenure]]&gt;2,3%,2%)*staff[[#This Row],[Salary]],0)</f>
        <v>1421</v>
      </c>
      <c r="K22" s="40">
        <f>_xlfn.XLOOKUP(staff[[#This Row],[Rating]],Rating!$B$4:$B$8,Rating!$C$4:$C$8)</f>
        <v>3</v>
      </c>
      <c r="O22" s="23" t="s">
        <v>4</v>
      </c>
      <c r="P22" s="25">
        <f ca="1"/>
        <v>44446</v>
      </c>
      <c r="Q22" s="21"/>
    </row>
    <row r="23" spans="1:17" x14ac:dyDescent="0.25">
      <c r="A23" t="s">
        <v>141</v>
      </c>
      <c r="B23" t="s">
        <v>8</v>
      </c>
      <c r="C23" t="s">
        <v>12</v>
      </c>
      <c r="D23">
        <v>26</v>
      </c>
      <c r="E23" s="7">
        <v>44164</v>
      </c>
      <c r="F23" s="38">
        <v>47360</v>
      </c>
      <c r="G23" t="s">
        <v>13</v>
      </c>
      <c r="H23" t="s">
        <v>209</v>
      </c>
      <c r="I23" s="33">
        <f ca="1">(TODAY()-staff[[#This Row],[Date Joined]])/365</f>
        <v>2.9945205479452053</v>
      </c>
      <c r="J23" s="36">
        <f ca="1">ROUNDUP(IF(staff[[#This Row],[Tenure]]&gt;2,3%,2%)*staff[[#This Row],[Salary]],0)</f>
        <v>1421</v>
      </c>
      <c r="K23" s="40">
        <f>_xlfn.XLOOKUP(staff[[#This Row],[Rating]],Rating!$B$4:$B$8,Rating!$C$4:$C$8)</f>
        <v>3</v>
      </c>
      <c r="O23" s="23" t="s">
        <v>5</v>
      </c>
      <c r="P23" s="24">
        <f ca="1"/>
        <v>112780</v>
      </c>
      <c r="Q23" s="21"/>
    </row>
    <row r="24" spans="1:17" x14ac:dyDescent="0.25">
      <c r="A24" t="s">
        <v>69</v>
      </c>
      <c r="B24" t="s">
        <v>8</v>
      </c>
      <c r="C24" t="s">
        <v>17</v>
      </c>
      <c r="D24">
        <v>28</v>
      </c>
      <c r="E24" s="7">
        <v>44041</v>
      </c>
      <c r="F24" s="38">
        <v>48170</v>
      </c>
      <c r="G24" t="s">
        <v>10</v>
      </c>
      <c r="H24" t="s">
        <v>207</v>
      </c>
      <c r="I24" s="33">
        <f ca="1">(TODAY()-staff[[#This Row],[Date Joined]])/365</f>
        <v>3.3315068493150686</v>
      </c>
      <c r="J24" s="36">
        <f ca="1">ROUNDUP(IF(staff[[#This Row],[Tenure]]&gt;2,3%,2%)*staff[[#This Row],[Salary]],0)</f>
        <v>1446</v>
      </c>
      <c r="K24" s="40">
        <f>_xlfn.XLOOKUP(staff[[#This Row],[Rating]],Rating!$B$4:$B$8,Rating!$C$4:$C$8)</f>
        <v>4</v>
      </c>
      <c r="O24" s="23" t="s">
        <v>6</v>
      </c>
      <c r="P24" s="24" t="str">
        <f ca="1"/>
        <v>Above average</v>
      </c>
      <c r="Q24" s="21"/>
    </row>
    <row r="25" spans="1:17" x14ac:dyDescent="0.25">
      <c r="A25" t="s">
        <v>123</v>
      </c>
      <c r="B25" t="s">
        <v>8</v>
      </c>
      <c r="C25" t="s">
        <v>17</v>
      </c>
      <c r="D25">
        <v>28</v>
      </c>
      <c r="E25" s="7">
        <v>43980</v>
      </c>
      <c r="F25" s="38">
        <v>48170</v>
      </c>
      <c r="G25" t="s">
        <v>10</v>
      </c>
      <c r="H25" t="s">
        <v>209</v>
      </c>
      <c r="I25" s="33">
        <f ca="1">(TODAY()-staff[[#This Row],[Date Joined]])/365</f>
        <v>3.4986301369863013</v>
      </c>
      <c r="J25" s="36">
        <f ca="1">ROUNDUP(IF(staff[[#This Row],[Tenure]]&gt;2,3%,2%)*staff[[#This Row],[Salary]],0)</f>
        <v>1446</v>
      </c>
      <c r="K25" s="40">
        <f>_xlfn.XLOOKUP(staff[[#This Row],[Rating]],Rating!$B$4:$B$8,Rating!$C$4:$C$8)</f>
        <v>4</v>
      </c>
      <c r="O25" s="23" t="s">
        <v>220</v>
      </c>
      <c r="P25" s="26" t="str">
        <f ca="1"/>
        <v>NZ</v>
      </c>
      <c r="Q25" s="21"/>
    </row>
    <row r="26" spans="1:17" x14ac:dyDescent="0.25">
      <c r="A26" t="s">
        <v>21</v>
      </c>
      <c r="B26" t="s">
        <v>8</v>
      </c>
      <c r="C26" t="s">
        <v>12</v>
      </c>
      <c r="D26">
        <v>33</v>
      </c>
      <c r="E26" s="7">
        <v>44701</v>
      </c>
      <c r="F26" s="38">
        <v>48530</v>
      </c>
      <c r="G26" t="s">
        <v>10</v>
      </c>
      <c r="H26" t="s">
        <v>207</v>
      </c>
      <c r="I26" s="33">
        <f ca="1">(TODAY()-staff[[#This Row],[Date Joined]])/365</f>
        <v>1.5232876712328767</v>
      </c>
      <c r="J26" s="36">
        <f ca="1">ROUNDUP(IF(staff[[#This Row],[Tenure]]&gt;2,3%,2%)*staff[[#This Row],[Salary]],0)</f>
        <v>971</v>
      </c>
      <c r="K26" s="40">
        <f>_xlfn.XLOOKUP(staff[[#This Row],[Rating]],Rating!$B$4:$B$8,Rating!$C$4:$C$8)</f>
        <v>4</v>
      </c>
      <c r="O26" s="23" t="s">
        <v>204</v>
      </c>
      <c r="P26" s="27">
        <f ca="1"/>
        <v>2.2219178082191782</v>
      </c>
      <c r="Q26" s="21"/>
    </row>
    <row r="27" spans="1:17" x14ac:dyDescent="0.25">
      <c r="A27" t="s">
        <v>201</v>
      </c>
      <c r="B27" t="s">
        <v>8</v>
      </c>
      <c r="C27" t="s">
        <v>12</v>
      </c>
      <c r="D27">
        <v>33</v>
      </c>
      <c r="E27" s="7">
        <v>44640</v>
      </c>
      <c r="F27" s="38">
        <v>48530</v>
      </c>
      <c r="G27" t="s">
        <v>10</v>
      </c>
      <c r="H27" t="s">
        <v>209</v>
      </c>
      <c r="I27" s="33">
        <f ca="1">(TODAY()-staff[[#This Row],[Date Joined]])/365</f>
        <v>1.6904109589041096</v>
      </c>
      <c r="J27" s="36">
        <f ca="1">ROUNDUP(IF(staff[[#This Row],[Tenure]]&gt;2,3%,2%)*staff[[#This Row],[Salary]],0)</f>
        <v>971</v>
      </c>
      <c r="K27" s="40">
        <f>_xlfn.XLOOKUP(staff[[#This Row],[Rating]],Rating!$B$4:$B$8,Rating!$C$4:$C$8)</f>
        <v>4</v>
      </c>
      <c r="O27" s="6"/>
    </row>
    <row r="28" spans="1:17" x14ac:dyDescent="0.25">
      <c r="A28" t="s">
        <v>57</v>
      </c>
      <c r="B28" t="s">
        <v>8</v>
      </c>
      <c r="C28" t="s">
        <v>23</v>
      </c>
      <c r="D28">
        <v>31</v>
      </c>
      <c r="E28" s="7">
        <v>44511</v>
      </c>
      <c r="F28" s="38">
        <v>48950</v>
      </c>
      <c r="G28" t="s">
        <v>13</v>
      </c>
      <c r="H28" t="s">
        <v>207</v>
      </c>
      <c r="I28" s="33">
        <f ca="1">(TODAY()-staff[[#This Row],[Date Joined]])/365</f>
        <v>2.043835616438356</v>
      </c>
      <c r="J28" s="36">
        <f ca="1">ROUNDUP(IF(staff[[#This Row],[Tenure]]&gt;2,3%,2%)*staff[[#This Row],[Salary]],0)</f>
        <v>1469</v>
      </c>
      <c r="K28" s="40">
        <f>_xlfn.XLOOKUP(staff[[#This Row],[Rating]],Rating!$B$4:$B$8,Rating!$C$4:$C$8)</f>
        <v>3</v>
      </c>
      <c r="O28" s="6"/>
    </row>
    <row r="29" spans="1:17" x14ac:dyDescent="0.25">
      <c r="A29" t="s">
        <v>168</v>
      </c>
      <c r="B29" t="s">
        <v>8</v>
      </c>
      <c r="C29" t="s">
        <v>23</v>
      </c>
      <c r="D29">
        <v>31</v>
      </c>
      <c r="E29" s="7">
        <v>44450</v>
      </c>
      <c r="F29" s="38">
        <v>48950</v>
      </c>
      <c r="G29" t="s">
        <v>13</v>
      </c>
      <c r="H29" t="s">
        <v>209</v>
      </c>
      <c r="I29" s="33">
        <f ca="1">(TODAY()-staff[[#This Row],[Date Joined]])/365</f>
        <v>2.2109589041095892</v>
      </c>
      <c r="J29" s="36">
        <f ca="1">ROUNDUP(IF(staff[[#This Row],[Tenure]]&gt;2,3%,2%)*staff[[#This Row],[Salary]],0)</f>
        <v>1469</v>
      </c>
      <c r="K29" s="40">
        <f>_xlfn.XLOOKUP(staff[[#This Row],[Rating]],Rating!$B$4:$B$8,Rating!$C$4:$C$8)</f>
        <v>3</v>
      </c>
      <c r="O29" s="7">
        <f>VLOOKUP(O15,staff[],5,FALSE)</f>
        <v>44446</v>
      </c>
    </row>
    <row r="30" spans="1:17" x14ac:dyDescent="0.25">
      <c r="A30" t="s">
        <v>40</v>
      </c>
      <c r="B30" t="s">
        <v>8</v>
      </c>
      <c r="C30" t="s">
        <v>17</v>
      </c>
      <c r="D30">
        <v>27</v>
      </c>
      <c r="E30" s="7">
        <v>44567</v>
      </c>
      <c r="F30" s="38">
        <v>48980</v>
      </c>
      <c r="G30" t="s">
        <v>13</v>
      </c>
      <c r="H30" t="s">
        <v>207</v>
      </c>
      <c r="I30" s="33">
        <f ca="1">(TODAY()-staff[[#This Row],[Date Joined]])/365</f>
        <v>1.8904109589041096</v>
      </c>
      <c r="J30" s="36">
        <f ca="1">ROUNDUP(IF(staff[[#This Row],[Tenure]]&gt;2,3%,2%)*staff[[#This Row],[Salary]],0)</f>
        <v>980</v>
      </c>
      <c r="K30" s="40">
        <f>_xlfn.XLOOKUP(staff[[#This Row],[Rating]],Rating!$B$4:$B$8,Rating!$C$4:$C$8)</f>
        <v>3</v>
      </c>
      <c r="O30" s="6"/>
    </row>
    <row r="31" spans="1:17" x14ac:dyDescent="0.25">
      <c r="A31" t="s">
        <v>150</v>
      </c>
      <c r="B31" t="s">
        <v>8</v>
      </c>
      <c r="C31" t="s">
        <v>17</v>
      </c>
      <c r="D31">
        <v>27</v>
      </c>
      <c r="E31" s="7">
        <v>44506</v>
      </c>
      <c r="F31" s="38">
        <v>48980</v>
      </c>
      <c r="G31" t="s">
        <v>13</v>
      </c>
      <c r="H31" t="s">
        <v>209</v>
      </c>
      <c r="I31" s="33">
        <f ca="1">(TODAY()-staff[[#This Row],[Date Joined]])/365</f>
        <v>2.0575342465753423</v>
      </c>
      <c r="J31" s="36">
        <f ca="1">ROUNDUP(IF(staff[[#This Row],[Tenure]]&gt;2,3%,2%)*staff[[#This Row],[Salary]],0)</f>
        <v>1470</v>
      </c>
      <c r="K31" s="40">
        <f>_xlfn.XLOOKUP(staff[[#This Row],[Rating]],Rating!$B$4:$B$8,Rating!$C$4:$C$8)</f>
        <v>3</v>
      </c>
      <c r="O31" s="6"/>
    </row>
    <row r="32" spans="1:17" x14ac:dyDescent="0.25">
      <c r="A32" t="s">
        <v>53</v>
      </c>
      <c r="B32" t="s">
        <v>15</v>
      </c>
      <c r="C32" t="s">
        <v>9</v>
      </c>
      <c r="D32">
        <v>34</v>
      </c>
      <c r="E32" s="7">
        <v>44721</v>
      </c>
      <c r="F32" s="38">
        <v>49630</v>
      </c>
      <c r="G32" t="s">
        <v>18</v>
      </c>
      <c r="H32" t="s">
        <v>207</v>
      </c>
      <c r="I32" s="33">
        <f ca="1">(TODAY()-staff[[#This Row],[Date Joined]])/365</f>
        <v>1.4684931506849315</v>
      </c>
      <c r="J32" s="36">
        <f ca="1">ROUNDUP(IF(staff[[#This Row],[Tenure]]&gt;2,3%,2%)*staff[[#This Row],[Salary]],0)</f>
        <v>993</v>
      </c>
      <c r="K32" s="40">
        <f>_xlfn.XLOOKUP(staff[[#This Row],[Rating]],Rating!$B$4:$B$8,Rating!$C$4:$C$8)</f>
        <v>2</v>
      </c>
      <c r="O32" s="6"/>
    </row>
    <row r="33" spans="1:15" x14ac:dyDescent="0.25">
      <c r="A33" t="s">
        <v>126</v>
      </c>
      <c r="B33" t="s">
        <v>15</v>
      </c>
      <c r="C33" t="s">
        <v>9</v>
      </c>
      <c r="D33">
        <v>34</v>
      </c>
      <c r="E33" s="7">
        <v>44660</v>
      </c>
      <c r="F33" s="38">
        <v>49630</v>
      </c>
      <c r="G33" t="s">
        <v>18</v>
      </c>
      <c r="H33" t="s">
        <v>209</v>
      </c>
      <c r="I33" s="33">
        <f ca="1">(TODAY()-staff[[#This Row],[Date Joined]])/365</f>
        <v>1.6356164383561644</v>
      </c>
      <c r="J33" s="36">
        <f ca="1">ROUNDUP(IF(staff[[#This Row],[Tenure]]&gt;2,3%,2%)*staff[[#This Row],[Salary]],0)</f>
        <v>993</v>
      </c>
      <c r="K33" s="40">
        <f>_xlfn.XLOOKUP(staff[[#This Row],[Rating]],Rating!$B$4:$B$8,Rating!$C$4:$C$8)</f>
        <v>2</v>
      </c>
      <c r="O33" s="6"/>
    </row>
    <row r="34" spans="1:15" x14ac:dyDescent="0.25">
      <c r="A34" t="s">
        <v>58</v>
      </c>
      <c r="B34" t="s">
        <v>8</v>
      </c>
      <c r="C34" t="s">
        <v>17</v>
      </c>
      <c r="D34">
        <v>24</v>
      </c>
      <c r="E34" s="7">
        <v>44436</v>
      </c>
      <c r="F34" s="38">
        <v>52610</v>
      </c>
      <c r="G34" t="s">
        <v>18</v>
      </c>
      <c r="H34" t="s">
        <v>207</v>
      </c>
      <c r="I34" s="33">
        <f ca="1">(TODAY()-staff[[#This Row],[Date Joined]])/365</f>
        <v>2.2493150684931509</v>
      </c>
      <c r="J34" s="36">
        <f ca="1">ROUNDUP(IF(staff[[#This Row],[Tenure]]&gt;2,3%,2%)*staff[[#This Row],[Salary]],0)</f>
        <v>1579</v>
      </c>
      <c r="K34" s="40">
        <f>_xlfn.XLOOKUP(staff[[#This Row],[Rating]],Rating!$B$4:$B$8,Rating!$C$4:$C$8)</f>
        <v>2</v>
      </c>
      <c r="O34" s="6"/>
    </row>
    <row r="35" spans="1:15" x14ac:dyDescent="0.25">
      <c r="A35" t="s">
        <v>145</v>
      </c>
      <c r="B35" t="s">
        <v>8</v>
      </c>
      <c r="C35" t="s">
        <v>17</v>
      </c>
      <c r="D35">
        <v>24</v>
      </c>
      <c r="E35" s="7">
        <v>44375</v>
      </c>
      <c r="F35" s="38">
        <v>52610</v>
      </c>
      <c r="G35" t="s">
        <v>18</v>
      </c>
      <c r="H35" t="s">
        <v>209</v>
      </c>
      <c r="I35" s="33">
        <f ca="1">(TODAY()-staff[[#This Row],[Date Joined]])/365</f>
        <v>2.4164383561643836</v>
      </c>
      <c r="J35" s="36">
        <f ca="1">ROUNDUP(IF(staff[[#This Row],[Tenure]]&gt;2,3%,2%)*staff[[#This Row],[Salary]],0)</f>
        <v>1579</v>
      </c>
      <c r="K35" s="40">
        <f>_xlfn.XLOOKUP(staff[[#This Row],[Rating]],Rating!$B$4:$B$8,Rating!$C$4:$C$8)</f>
        <v>2</v>
      </c>
      <c r="O35" s="6"/>
    </row>
    <row r="36" spans="1:15" x14ac:dyDescent="0.25">
      <c r="A36" t="s">
        <v>14</v>
      </c>
      <c r="B36" t="s">
        <v>15</v>
      </c>
      <c r="C36" t="s">
        <v>9</v>
      </c>
      <c r="D36">
        <v>28</v>
      </c>
      <c r="E36" s="7">
        <v>44357</v>
      </c>
      <c r="F36" s="38">
        <v>53240</v>
      </c>
      <c r="G36" t="s">
        <v>13</v>
      </c>
      <c r="H36" t="s">
        <v>207</v>
      </c>
      <c r="I36" s="33">
        <f ca="1">(TODAY()-staff[[#This Row],[Date Joined]])/365</f>
        <v>2.4657534246575343</v>
      </c>
      <c r="J36" s="36">
        <f ca="1">ROUNDUP(IF(staff[[#This Row],[Tenure]]&gt;2,3%,2%)*staff[[#This Row],[Salary]],0)</f>
        <v>1598</v>
      </c>
      <c r="K36" s="40">
        <f>_xlfn.XLOOKUP(staff[[#This Row],[Rating]],Rating!$B$4:$B$8,Rating!$C$4:$C$8)</f>
        <v>3</v>
      </c>
      <c r="O36" s="6"/>
    </row>
    <row r="37" spans="1:15" x14ac:dyDescent="0.25">
      <c r="A37" t="s">
        <v>152</v>
      </c>
      <c r="B37" t="s">
        <v>15</v>
      </c>
      <c r="C37" t="s">
        <v>9</v>
      </c>
      <c r="D37">
        <v>28</v>
      </c>
      <c r="E37" s="7">
        <v>44296</v>
      </c>
      <c r="F37" s="38">
        <v>53240</v>
      </c>
      <c r="G37" t="s">
        <v>13</v>
      </c>
      <c r="H37" t="s">
        <v>209</v>
      </c>
      <c r="I37" s="33">
        <f ca="1">(TODAY()-staff[[#This Row],[Date Joined]])/365</f>
        <v>2.6328767123287671</v>
      </c>
      <c r="J37" s="36">
        <f ca="1">ROUNDUP(IF(staff[[#This Row],[Tenure]]&gt;2,3%,2%)*staff[[#This Row],[Salary]],0)</f>
        <v>1598</v>
      </c>
      <c r="K37" s="40">
        <f>_xlfn.XLOOKUP(staff[[#This Row],[Rating]],Rating!$B$4:$B$8,Rating!$C$4:$C$8)</f>
        <v>3</v>
      </c>
      <c r="O37" s="6"/>
    </row>
    <row r="38" spans="1:15" x14ac:dyDescent="0.25">
      <c r="A38" t="s">
        <v>19</v>
      </c>
      <c r="B38" t="s">
        <v>8</v>
      </c>
      <c r="C38" t="s">
        <v>9</v>
      </c>
      <c r="D38">
        <v>32</v>
      </c>
      <c r="E38" s="7">
        <v>44465</v>
      </c>
      <c r="F38" s="38">
        <v>53540</v>
      </c>
      <c r="G38" t="s">
        <v>13</v>
      </c>
      <c r="H38" t="s">
        <v>207</v>
      </c>
      <c r="I38" s="33">
        <f ca="1">(TODAY()-staff[[#This Row],[Date Joined]])/365</f>
        <v>2.1698630136986301</v>
      </c>
      <c r="J38" s="36">
        <f ca="1">ROUNDUP(IF(staff[[#This Row],[Tenure]]&gt;2,3%,2%)*staff[[#This Row],[Salary]],0)</f>
        <v>1607</v>
      </c>
      <c r="K38" s="40">
        <f>_xlfn.XLOOKUP(staff[[#This Row],[Rating]],Rating!$B$4:$B$8,Rating!$C$4:$C$8)</f>
        <v>3</v>
      </c>
      <c r="O38" s="6"/>
    </row>
    <row r="39" spans="1:15" x14ac:dyDescent="0.25">
      <c r="A39" t="s">
        <v>109</v>
      </c>
      <c r="B39" t="s">
        <v>8</v>
      </c>
      <c r="C39" t="s">
        <v>12</v>
      </c>
      <c r="D39">
        <v>26</v>
      </c>
      <c r="E39" s="7">
        <v>44411</v>
      </c>
      <c r="F39" s="38">
        <v>53540</v>
      </c>
      <c r="G39" t="s">
        <v>13</v>
      </c>
      <c r="H39" t="s">
        <v>207</v>
      </c>
      <c r="I39" s="33">
        <f ca="1">(TODAY()-staff[[#This Row],[Date Joined]])/365</f>
        <v>2.3178082191780822</v>
      </c>
      <c r="J39" s="36">
        <f ca="1">ROUNDUP(IF(staff[[#This Row],[Tenure]]&gt;2,3%,2%)*staff[[#This Row],[Salary]],0)</f>
        <v>1607</v>
      </c>
      <c r="K39" s="40">
        <f>_xlfn.XLOOKUP(staff[[#This Row],[Rating]],Rating!$B$4:$B$8,Rating!$C$4:$C$8)</f>
        <v>3</v>
      </c>
      <c r="O39" s="6"/>
    </row>
    <row r="40" spans="1:15" x14ac:dyDescent="0.25">
      <c r="A40" t="s">
        <v>172</v>
      </c>
      <c r="B40" t="s">
        <v>8</v>
      </c>
      <c r="C40" t="s">
        <v>9</v>
      </c>
      <c r="D40">
        <v>32</v>
      </c>
      <c r="E40" s="7">
        <v>44403</v>
      </c>
      <c r="F40" s="38">
        <v>53540</v>
      </c>
      <c r="G40" t="s">
        <v>13</v>
      </c>
      <c r="H40" t="s">
        <v>209</v>
      </c>
      <c r="I40" s="33">
        <f ca="1">(TODAY()-staff[[#This Row],[Date Joined]])/365</f>
        <v>2.3397260273972602</v>
      </c>
      <c r="J40" s="36">
        <f ca="1">ROUNDUP(IF(staff[[#This Row],[Tenure]]&gt;2,3%,2%)*staff[[#This Row],[Salary]],0)</f>
        <v>1607</v>
      </c>
      <c r="K40" s="40">
        <f>_xlfn.XLOOKUP(staff[[#This Row],[Rating]],Rating!$B$4:$B$8,Rating!$C$4:$C$8)</f>
        <v>3</v>
      </c>
      <c r="O40" s="6"/>
    </row>
    <row r="41" spans="1:15" x14ac:dyDescent="0.25">
      <c r="A41" t="s">
        <v>180</v>
      </c>
      <c r="B41" t="s">
        <v>8</v>
      </c>
      <c r="C41" t="s">
        <v>12</v>
      </c>
      <c r="D41">
        <v>26</v>
      </c>
      <c r="E41" s="7">
        <v>44350</v>
      </c>
      <c r="F41" s="38">
        <v>53540</v>
      </c>
      <c r="G41" t="s">
        <v>13</v>
      </c>
      <c r="H41" t="s">
        <v>209</v>
      </c>
      <c r="I41" s="33">
        <f ca="1">(TODAY()-staff[[#This Row],[Date Joined]])/365</f>
        <v>2.484931506849315</v>
      </c>
      <c r="J41" s="36">
        <f ca="1">ROUNDUP(IF(staff[[#This Row],[Tenure]]&gt;2,3%,2%)*staff[[#This Row],[Salary]],0)</f>
        <v>1607</v>
      </c>
      <c r="K41" s="40">
        <f>_xlfn.XLOOKUP(staff[[#This Row],[Rating]],Rating!$B$4:$B$8,Rating!$C$4:$C$8)</f>
        <v>3</v>
      </c>
      <c r="O41" s="6"/>
    </row>
    <row r="42" spans="1:15" x14ac:dyDescent="0.25">
      <c r="A42" t="s">
        <v>24</v>
      </c>
      <c r="B42" t="s">
        <v>8</v>
      </c>
      <c r="C42" t="s">
        <v>23</v>
      </c>
      <c r="D42">
        <v>33</v>
      </c>
      <c r="E42" s="7">
        <v>44509</v>
      </c>
      <c r="F42" s="38">
        <v>53870</v>
      </c>
      <c r="G42" t="s">
        <v>13</v>
      </c>
      <c r="H42" t="s">
        <v>207</v>
      </c>
      <c r="I42" s="33">
        <f ca="1">(TODAY()-staff[[#This Row],[Date Joined]])/365</f>
        <v>2.0493150684931507</v>
      </c>
      <c r="J42" s="36">
        <f ca="1">ROUNDUP(IF(staff[[#This Row],[Tenure]]&gt;2,3%,2%)*staff[[#This Row],[Salary]],0)</f>
        <v>1617</v>
      </c>
      <c r="K42" s="40">
        <f>_xlfn.XLOOKUP(staff[[#This Row],[Rating]],Rating!$B$4:$B$8,Rating!$C$4:$C$8)</f>
        <v>3</v>
      </c>
      <c r="O42" s="6"/>
    </row>
    <row r="43" spans="1:15" x14ac:dyDescent="0.25">
      <c r="A43" t="s">
        <v>196</v>
      </c>
      <c r="B43" t="s">
        <v>8</v>
      </c>
      <c r="C43" t="s">
        <v>23</v>
      </c>
      <c r="D43">
        <v>33</v>
      </c>
      <c r="E43" s="7">
        <v>44448</v>
      </c>
      <c r="F43" s="38">
        <v>53870</v>
      </c>
      <c r="G43" t="s">
        <v>13</v>
      </c>
      <c r="H43" t="s">
        <v>209</v>
      </c>
      <c r="I43" s="33">
        <f ca="1">(TODAY()-staff[[#This Row],[Date Joined]])/365</f>
        <v>2.2164383561643834</v>
      </c>
      <c r="J43" s="36">
        <f ca="1">ROUNDUP(IF(staff[[#This Row],[Tenure]]&gt;2,3%,2%)*staff[[#This Row],[Salary]],0)</f>
        <v>1617</v>
      </c>
      <c r="K43" s="40">
        <f>_xlfn.XLOOKUP(staff[[#This Row],[Rating]],Rating!$B$4:$B$8,Rating!$C$4:$C$8)</f>
        <v>3</v>
      </c>
      <c r="O43" s="6"/>
    </row>
    <row r="44" spans="1:15" x14ac:dyDescent="0.25">
      <c r="A44" t="s">
        <v>82</v>
      </c>
      <c r="B44" t="s">
        <v>8</v>
      </c>
      <c r="C44" t="s">
        <v>9</v>
      </c>
      <c r="D44">
        <v>27</v>
      </c>
      <c r="E44" s="7">
        <v>44134</v>
      </c>
      <c r="F44" s="38">
        <v>54970</v>
      </c>
      <c r="G44" t="s">
        <v>13</v>
      </c>
      <c r="H44" t="s">
        <v>207</v>
      </c>
      <c r="I44" s="33">
        <f ca="1">(TODAY()-staff[[#This Row],[Date Joined]])/365</f>
        <v>3.0767123287671234</v>
      </c>
      <c r="J44" s="36">
        <f ca="1">ROUNDUP(IF(staff[[#This Row],[Tenure]]&gt;2,3%,2%)*staff[[#This Row],[Salary]],0)</f>
        <v>1650</v>
      </c>
      <c r="K44" s="40">
        <f>_xlfn.XLOOKUP(staff[[#This Row],[Rating]],Rating!$B$4:$B$8,Rating!$C$4:$C$8)</f>
        <v>3</v>
      </c>
      <c r="O44" s="6"/>
    </row>
    <row r="45" spans="1:15" x14ac:dyDescent="0.25">
      <c r="A45" t="s">
        <v>131</v>
      </c>
      <c r="B45" t="s">
        <v>8</v>
      </c>
      <c r="C45" t="s">
        <v>9</v>
      </c>
      <c r="D45">
        <v>27</v>
      </c>
      <c r="E45" s="7">
        <v>44073</v>
      </c>
      <c r="F45" s="38">
        <v>54970</v>
      </c>
      <c r="G45" t="s">
        <v>13</v>
      </c>
      <c r="H45" t="s">
        <v>209</v>
      </c>
      <c r="I45" s="33">
        <f ca="1">(TODAY()-staff[[#This Row],[Date Joined]])/365</f>
        <v>3.2438356164383562</v>
      </c>
      <c r="J45" s="36">
        <f ca="1">ROUNDUP(IF(staff[[#This Row],[Tenure]]&gt;2,3%,2%)*staff[[#This Row],[Salary]],0)</f>
        <v>1650</v>
      </c>
      <c r="K45" s="40">
        <f>_xlfn.XLOOKUP(staff[[#This Row],[Rating]],Rating!$B$4:$B$8,Rating!$C$4:$C$8)</f>
        <v>3</v>
      </c>
      <c r="O45" s="6"/>
    </row>
    <row r="46" spans="1:15" x14ac:dyDescent="0.25">
      <c r="A46" t="s">
        <v>84</v>
      </c>
      <c r="B46" t="s">
        <v>15</v>
      </c>
      <c r="C46" t="s">
        <v>9</v>
      </c>
      <c r="D46">
        <v>38</v>
      </c>
      <c r="E46" s="7">
        <v>44329</v>
      </c>
      <c r="F46" s="38">
        <v>56870</v>
      </c>
      <c r="G46" t="s">
        <v>10</v>
      </c>
      <c r="H46" t="s">
        <v>207</v>
      </c>
      <c r="I46" s="33">
        <f ca="1">(TODAY()-staff[[#This Row],[Date Joined]])/365</f>
        <v>2.5424657534246577</v>
      </c>
      <c r="J46" s="36">
        <f ca="1">ROUNDUP(IF(staff[[#This Row],[Tenure]]&gt;2,3%,2%)*staff[[#This Row],[Salary]],0)</f>
        <v>1707</v>
      </c>
      <c r="K46" s="40">
        <f>_xlfn.XLOOKUP(staff[[#This Row],[Rating]],Rating!$B$4:$B$8,Rating!$C$4:$C$8)</f>
        <v>4</v>
      </c>
      <c r="O46" s="6"/>
    </row>
    <row r="47" spans="1:15" x14ac:dyDescent="0.25">
      <c r="A47" t="s">
        <v>116</v>
      </c>
      <c r="B47" t="s">
        <v>15</v>
      </c>
      <c r="C47" t="s">
        <v>9</v>
      </c>
      <c r="D47">
        <v>38</v>
      </c>
      <c r="E47" s="7">
        <v>44268</v>
      </c>
      <c r="F47" s="38">
        <v>56870</v>
      </c>
      <c r="G47" t="s">
        <v>10</v>
      </c>
      <c r="H47" t="s">
        <v>209</v>
      </c>
      <c r="I47" s="33">
        <f ca="1">(TODAY()-staff[[#This Row],[Date Joined]])/365</f>
        <v>2.7095890410958905</v>
      </c>
      <c r="J47" s="36">
        <f ca="1">ROUNDUP(IF(staff[[#This Row],[Tenure]]&gt;2,3%,2%)*staff[[#This Row],[Salary]],0)</f>
        <v>1707</v>
      </c>
      <c r="K47" s="40">
        <f>_xlfn.XLOOKUP(staff[[#This Row],[Rating]],Rating!$B$4:$B$8,Rating!$C$4:$C$8)</f>
        <v>4</v>
      </c>
      <c r="O47" s="6"/>
    </row>
    <row r="48" spans="1:15" x14ac:dyDescent="0.25">
      <c r="A48" t="s">
        <v>34</v>
      </c>
      <c r="B48" t="s">
        <v>8</v>
      </c>
      <c r="C48" t="s">
        <v>12</v>
      </c>
      <c r="D48">
        <v>21</v>
      </c>
      <c r="E48" s="7">
        <v>44762</v>
      </c>
      <c r="F48" s="38">
        <v>57090</v>
      </c>
      <c r="G48" t="s">
        <v>13</v>
      </c>
      <c r="H48" t="s">
        <v>207</v>
      </c>
      <c r="I48" s="33">
        <f ca="1">(TODAY()-staff[[#This Row],[Date Joined]])/365</f>
        <v>1.3561643835616439</v>
      </c>
      <c r="J48" s="36">
        <f ca="1">ROUNDUP(IF(staff[[#This Row],[Tenure]]&gt;2,3%,2%)*staff[[#This Row],[Salary]],0)</f>
        <v>1142</v>
      </c>
      <c r="K48" s="40">
        <f>_xlfn.XLOOKUP(staff[[#This Row],[Rating]],Rating!$B$4:$B$8,Rating!$C$4:$C$8)</f>
        <v>3</v>
      </c>
      <c r="O48" s="6"/>
    </row>
    <row r="49" spans="1:15" x14ac:dyDescent="0.25">
      <c r="A49" t="s">
        <v>158</v>
      </c>
      <c r="B49" t="s">
        <v>8</v>
      </c>
      <c r="C49" t="s">
        <v>12</v>
      </c>
      <c r="D49">
        <v>21</v>
      </c>
      <c r="E49" s="7">
        <v>44701</v>
      </c>
      <c r="F49" s="38">
        <v>57090</v>
      </c>
      <c r="G49" t="s">
        <v>13</v>
      </c>
      <c r="H49" t="s">
        <v>209</v>
      </c>
      <c r="I49" s="33">
        <f ca="1">(TODAY()-staff[[#This Row],[Date Joined]])/365</f>
        <v>1.5232876712328767</v>
      </c>
      <c r="J49" s="36">
        <f ca="1">ROUNDUP(IF(staff[[#This Row],[Tenure]]&gt;2,3%,2%)*staff[[#This Row],[Salary]],0)</f>
        <v>1142</v>
      </c>
      <c r="K49" s="40">
        <f>_xlfn.XLOOKUP(staff[[#This Row],[Rating]],Rating!$B$4:$B$8,Rating!$C$4:$C$8)</f>
        <v>3</v>
      </c>
      <c r="O49" s="6"/>
    </row>
    <row r="50" spans="1:15" x14ac:dyDescent="0.25">
      <c r="A50" t="s">
        <v>39</v>
      </c>
      <c r="B50" t="s">
        <v>15</v>
      </c>
      <c r="C50" t="s">
        <v>23</v>
      </c>
      <c r="D50">
        <v>31</v>
      </c>
      <c r="E50" s="7">
        <v>44663</v>
      </c>
      <c r="F50" s="38">
        <v>58100</v>
      </c>
      <c r="G50" t="s">
        <v>13</v>
      </c>
      <c r="H50" t="s">
        <v>207</v>
      </c>
      <c r="I50" s="33">
        <f ca="1">(TODAY()-staff[[#This Row],[Date Joined]])/365</f>
        <v>1.6273972602739726</v>
      </c>
      <c r="J50" s="36">
        <f ca="1">ROUNDUP(IF(staff[[#This Row],[Tenure]]&gt;2,3%,2%)*staff[[#This Row],[Salary]],0)</f>
        <v>1162</v>
      </c>
      <c r="K50" s="40">
        <f>_xlfn.XLOOKUP(staff[[#This Row],[Rating]],Rating!$B$4:$B$8,Rating!$C$4:$C$8)</f>
        <v>3</v>
      </c>
      <c r="O50" s="6"/>
    </row>
    <row r="51" spans="1:15" x14ac:dyDescent="0.25">
      <c r="A51" t="s">
        <v>137</v>
      </c>
      <c r="B51" t="s">
        <v>15</v>
      </c>
      <c r="C51" t="s">
        <v>23</v>
      </c>
      <c r="D51">
        <v>31</v>
      </c>
      <c r="E51" s="7">
        <v>44604</v>
      </c>
      <c r="F51" s="38">
        <v>58100</v>
      </c>
      <c r="G51" t="s">
        <v>13</v>
      </c>
      <c r="H51" t="s">
        <v>209</v>
      </c>
      <c r="I51" s="33">
        <f ca="1">(TODAY()-staff[[#This Row],[Date Joined]])/365</f>
        <v>1.789041095890411</v>
      </c>
      <c r="J51" s="36">
        <f ca="1">ROUNDUP(IF(staff[[#This Row],[Tenure]]&gt;2,3%,2%)*staff[[#This Row],[Salary]],0)</f>
        <v>1162</v>
      </c>
      <c r="K51" s="40">
        <f>_xlfn.XLOOKUP(staff[[#This Row],[Rating]],Rating!$B$4:$B$8,Rating!$C$4:$C$8)</f>
        <v>3</v>
      </c>
      <c r="O51" s="6"/>
    </row>
    <row r="52" spans="1:15" x14ac:dyDescent="0.25">
      <c r="A52" t="s">
        <v>37</v>
      </c>
      <c r="B52" t="s">
        <v>15</v>
      </c>
      <c r="C52" t="s">
        <v>17</v>
      </c>
      <c r="D52">
        <v>34</v>
      </c>
      <c r="E52" s="7">
        <v>44653</v>
      </c>
      <c r="F52" s="38">
        <v>58940</v>
      </c>
      <c r="G52" t="s">
        <v>13</v>
      </c>
      <c r="H52" t="s">
        <v>207</v>
      </c>
      <c r="I52" s="33">
        <f ca="1">(TODAY()-staff[[#This Row],[Date Joined]])/365</f>
        <v>1.6547945205479453</v>
      </c>
      <c r="J52" s="36">
        <f ca="1">ROUNDUP(IF(staff[[#This Row],[Tenure]]&gt;2,3%,2%)*staff[[#This Row],[Salary]],0)</f>
        <v>1179</v>
      </c>
      <c r="K52" s="40">
        <f>_xlfn.XLOOKUP(staff[[#This Row],[Rating]],Rating!$B$4:$B$8,Rating!$C$4:$C$8)</f>
        <v>3</v>
      </c>
      <c r="O52" s="6"/>
    </row>
    <row r="53" spans="1:15" x14ac:dyDescent="0.25">
      <c r="A53" t="s">
        <v>156</v>
      </c>
      <c r="B53" t="s">
        <v>15</v>
      </c>
      <c r="C53" t="s">
        <v>17</v>
      </c>
      <c r="D53">
        <v>34</v>
      </c>
      <c r="E53" s="7">
        <v>44594</v>
      </c>
      <c r="F53" s="38">
        <v>58940</v>
      </c>
      <c r="G53" t="s">
        <v>13</v>
      </c>
      <c r="H53" t="s">
        <v>209</v>
      </c>
      <c r="I53" s="33">
        <f ca="1">(TODAY()-staff[[#This Row],[Date Joined]])/365</f>
        <v>1.8164383561643835</v>
      </c>
      <c r="J53" s="36">
        <f ca="1">ROUNDUP(IF(staff[[#This Row],[Tenure]]&gt;2,3%,2%)*staff[[#This Row],[Salary]],0)</f>
        <v>1179</v>
      </c>
      <c r="K53" s="40">
        <f>_xlfn.XLOOKUP(staff[[#This Row],[Rating]],Rating!$B$4:$B$8,Rating!$C$4:$C$8)</f>
        <v>3</v>
      </c>
      <c r="O53" s="6"/>
    </row>
    <row r="54" spans="1:15" x14ac:dyDescent="0.25">
      <c r="A54" t="s">
        <v>67</v>
      </c>
      <c r="B54" t="s">
        <v>8</v>
      </c>
      <c r="C54" t="s">
        <v>12</v>
      </c>
      <c r="D54">
        <v>19</v>
      </c>
      <c r="E54" s="7">
        <v>44277</v>
      </c>
      <c r="F54" s="38">
        <v>58960</v>
      </c>
      <c r="G54" t="s">
        <v>13</v>
      </c>
      <c r="H54" t="s">
        <v>207</v>
      </c>
      <c r="I54" s="33">
        <f ca="1">(TODAY()-staff[[#This Row],[Date Joined]])/365</f>
        <v>2.6849315068493151</v>
      </c>
      <c r="J54" s="36">
        <f ca="1">ROUNDUP(IF(staff[[#This Row],[Tenure]]&gt;2,3%,2%)*staff[[#This Row],[Salary]],0)</f>
        <v>1769</v>
      </c>
      <c r="K54" s="40">
        <f>_xlfn.XLOOKUP(staff[[#This Row],[Rating]],Rating!$B$4:$B$8,Rating!$C$4:$C$8)</f>
        <v>3</v>
      </c>
      <c r="O54" s="6"/>
    </row>
    <row r="55" spans="1:15" x14ac:dyDescent="0.25">
      <c r="A55" t="s">
        <v>198</v>
      </c>
      <c r="B55" t="s">
        <v>8</v>
      </c>
      <c r="C55" t="s">
        <v>12</v>
      </c>
      <c r="D55">
        <v>19</v>
      </c>
      <c r="E55" s="7">
        <v>44218</v>
      </c>
      <c r="F55" s="38">
        <v>58960</v>
      </c>
      <c r="G55" t="s">
        <v>13</v>
      </c>
      <c r="H55" t="s">
        <v>209</v>
      </c>
      <c r="I55" s="33">
        <f ca="1">(TODAY()-staff[[#This Row],[Date Joined]])/365</f>
        <v>2.8465753424657536</v>
      </c>
      <c r="J55" s="36">
        <f ca="1">ROUNDUP(IF(staff[[#This Row],[Tenure]]&gt;2,3%,2%)*staff[[#This Row],[Salary]],0)</f>
        <v>1769</v>
      </c>
      <c r="K55" s="40">
        <f>_xlfn.XLOOKUP(staff[[#This Row],[Rating]],Rating!$B$4:$B$8,Rating!$C$4:$C$8)</f>
        <v>3</v>
      </c>
      <c r="O55" s="6"/>
    </row>
    <row r="56" spans="1:15" x14ac:dyDescent="0.25">
      <c r="A56" t="s">
        <v>102</v>
      </c>
      <c r="B56" t="s">
        <v>8</v>
      </c>
      <c r="C56" t="s">
        <v>17</v>
      </c>
      <c r="D56">
        <v>33</v>
      </c>
      <c r="E56" s="7">
        <v>44243</v>
      </c>
      <c r="F56" s="38">
        <v>59430</v>
      </c>
      <c r="G56" t="s">
        <v>13</v>
      </c>
      <c r="H56" t="s">
        <v>207</v>
      </c>
      <c r="I56" s="33">
        <f ca="1">(TODAY()-staff[[#This Row],[Date Joined]])/365</f>
        <v>2.7780821917808218</v>
      </c>
      <c r="J56" s="36">
        <f ca="1">ROUNDUP(IF(staff[[#This Row],[Tenure]]&gt;2,3%,2%)*staff[[#This Row],[Salary]],0)</f>
        <v>1783</v>
      </c>
      <c r="K56" s="40">
        <f>_xlfn.XLOOKUP(staff[[#This Row],[Rating]],Rating!$B$4:$B$8,Rating!$C$4:$C$8)</f>
        <v>3</v>
      </c>
      <c r="O56" s="6"/>
    </row>
    <row r="57" spans="1:15" x14ac:dyDescent="0.25">
      <c r="A57" t="s">
        <v>200</v>
      </c>
      <c r="B57" t="s">
        <v>8</v>
      </c>
      <c r="C57" t="s">
        <v>17</v>
      </c>
      <c r="D57">
        <v>33</v>
      </c>
      <c r="E57" s="7">
        <v>44181</v>
      </c>
      <c r="F57" s="38">
        <v>59430</v>
      </c>
      <c r="G57" t="s">
        <v>13</v>
      </c>
      <c r="H57" t="s">
        <v>209</v>
      </c>
      <c r="I57" s="33">
        <f ca="1">(TODAY()-staff[[#This Row],[Date Joined]])/365</f>
        <v>2.9479452054794519</v>
      </c>
      <c r="J57" s="36">
        <f ca="1">ROUNDUP(IF(staff[[#This Row],[Tenure]]&gt;2,3%,2%)*staff[[#This Row],[Salary]],0)</f>
        <v>1783</v>
      </c>
      <c r="K57" s="40">
        <f>_xlfn.XLOOKUP(staff[[#This Row],[Rating]],Rating!$B$4:$B$8,Rating!$C$4:$C$8)</f>
        <v>3</v>
      </c>
      <c r="O57" s="6"/>
    </row>
    <row r="58" spans="1:15" x14ac:dyDescent="0.25">
      <c r="A58" t="s">
        <v>47</v>
      </c>
      <c r="B58" t="s">
        <v>15</v>
      </c>
      <c r="C58" t="s">
        <v>17</v>
      </c>
      <c r="D58">
        <v>34</v>
      </c>
      <c r="E58" s="7">
        <v>44612</v>
      </c>
      <c r="F58" s="38">
        <v>60130</v>
      </c>
      <c r="G58" t="s">
        <v>13</v>
      </c>
      <c r="H58" t="s">
        <v>207</v>
      </c>
      <c r="I58" s="33">
        <f ca="1">(TODAY()-staff[[#This Row],[Date Joined]])/365</f>
        <v>1.7671232876712328</v>
      </c>
      <c r="J58" s="36">
        <f ca="1">ROUNDUP(IF(staff[[#This Row],[Tenure]]&gt;2,3%,2%)*staff[[#This Row],[Salary]],0)</f>
        <v>1203</v>
      </c>
      <c r="K58" s="40">
        <f>_xlfn.XLOOKUP(staff[[#This Row],[Rating]],Rating!$B$4:$B$8,Rating!$C$4:$C$8)</f>
        <v>3</v>
      </c>
      <c r="O58" s="6"/>
    </row>
    <row r="59" spans="1:15" x14ac:dyDescent="0.25">
      <c r="A59" t="s">
        <v>184</v>
      </c>
      <c r="B59" t="s">
        <v>15</v>
      </c>
      <c r="C59" t="s">
        <v>17</v>
      </c>
      <c r="D59">
        <v>34</v>
      </c>
      <c r="E59" s="7">
        <v>44550</v>
      </c>
      <c r="F59" s="38">
        <v>60130</v>
      </c>
      <c r="G59" t="s">
        <v>13</v>
      </c>
      <c r="H59" t="s">
        <v>209</v>
      </c>
      <c r="I59" s="33">
        <f ca="1">(TODAY()-staff[[#This Row],[Date Joined]])/365</f>
        <v>1.9369863013698629</v>
      </c>
      <c r="J59" s="36">
        <f ca="1">ROUNDUP(IF(staff[[#This Row],[Tenure]]&gt;2,3%,2%)*staff[[#This Row],[Salary]],0)</f>
        <v>1203</v>
      </c>
      <c r="K59" s="40">
        <f>_xlfn.XLOOKUP(staff[[#This Row],[Rating]],Rating!$B$4:$B$8,Rating!$C$4:$C$8)</f>
        <v>3</v>
      </c>
      <c r="O59" s="6"/>
    </row>
    <row r="60" spans="1:15" x14ac:dyDescent="0.25">
      <c r="A60" t="s">
        <v>88</v>
      </c>
      <c r="B60" t="s">
        <v>8</v>
      </c>
      <c r="C60" t="s">
        <v>12</v>
      </c>
      <c r="D60">
        <v>30</v>
      </c>
      <c r="E60" s="7">
        <v>44666</v>
      </c>
      <c r="F60" s="38">
        <v>60570</v>
      </c>
      <c r="G60" t="s">
        <v>13</v>
      </c>
      <c r="H60" t="s">
        <v>207</v>
      </c>
      <c r="I60" s="33">
        <f ca="1">(TODAY()-staff[[#This Row],[Date Joined]])/365</f>
        <v>1.6191780821917807</v>
      </c>
      <c r="J60" s="36">
        <f ca="1">ROUNDUP(IF(staff[[#This Row],[Tenure]]&gt;2,3%,2%)*staff[[#This Row],[Salary]],0)</f>
        <v>1212</v>
      </c>
      <c r="K60" s="40">
        <f>_xlfn.XLOOKUP(staff[[#This Row],[Rating]],Rating!$B$4:$B$8,Rating!$C$4:$C$8)</f>
        <v>3</v>
      </c>
      <c r="O60" s="6"/>
    </row>
    <row r="61" spans="1:15" x14ac:dyDescent="0.25">
      <c r="A61" t="s">
        <v>163</v>
      </c>
      <c r="B61" t="s">
        <v>8</v>
      </c>
      <c r="C61" t="s">
        <v>12</v>
      </c>
      <c r="D61">
        <v>30</v>
      </c>
      <c r="E61" s="7">
        <v>44607</v>
      </c>
      <c r="F61" s="38">
        <v>60570</v>
      </c>
      <c r="G61" t="s">
        <v>13</v>
      </c>
      <c r="H61" t="s">
        <v>209</v>
      </c>
      <c r="I61" s="33">
        <f ca="1">(TODAY()-staff[[#This Row],[Date Joined]])/365</f>
        <v>1.7808219178082192</v>
      </c>
      <c r="J61" s="36">
        <f ca="1">ROUNDUP(IF(staff[[#This Row],[Tenure]]&gt;2,3%,2%)*staff[[#This Row],[Salary]],0)</f>
        <v>1212</v>
      </c>
      <c r="K61" s="40">
        <f>_xlfn.XLOOKUP(staff[[#This Row],[Rating]],Rating!$B$4:$B$8,Rating!$C$4:$C$8)</f>
        <v>3</v>
      </c>
      <c r="O61" s="6"/>
    </row>
    <row r="62" spans="1:15" x14ac:dyDescent="0.25">
      <c r="A62" t="s">
        <v>22</v>
      </c>
      <c r="B62" t="s">
        <v>15</v>
      </c>
      <c r="C62" t="s">
        <v>23</v>
      </c>
      <c r="D62">
        <v>24</v>
      </c>
      <c r="E62" s="7">
        <v>44148</v>
      </c>
      <c r="F62" s="38">
        <v>62780</v>
      </c>
      <c r="G62" t="s">
        <v>13</v>
      </c>
      <c r="H62" t="s">
        <v>207</v>
      </c>
      <c r="I62" s="33">
        <f ca="1">(TODAY()-staff[[#This Row],[Date Joined]])/365</f>
        <v>3.0383561643835617</v>
      </c>
      <c r="J62" s="36">
        <f ca="1">ROUNDUP(IF(staff[[#This Row],[Tenure]]&gt;2,3%,2%)*staff[[#This Row],[Salary]],0)</f>
        <v>1884</v>
      </c>
      <c r="K62" s="40">
        <f>_xlfn.XLOOKUP(staff[[#This Row],[Rating]],Rating!$B$4:$B$8,Rating!$C$4:$C$8)</f>
        <v>3</v>
      </c>
      <c r="O62" s="6"/>
    </row>
    <row r="63" spans="1:15" x14ac:dyDescent="0.25">
      <c r="A63" t="s">
        <v>192</v>
      </c>
      <c r="B63" t="s">
        <v>15</v>
      </c>
      <c r="C63" t="s">
        <v>23</v>
      </c>
      <c r="D63">
        <v>24</v>
      </c>
      <c r="E63" s="7">
        <v>44087</v>
      </c>
      <c r="F63" s="38">
        <v>62780</v>
      </c>
      <c r="G63" t="s">
        <v>13</v>
      </c>
      <c r="H63" t="s">
        <v>209</v>
      </c>
      <c r="I63" s="33">
        <f ca="1">(TODAY()-staff[[#This Row],[Date Joined]])/365</f>
        <v>3.2054794520547945</v>
      </c>
      <c r="J63" s="36">
        <f ca="1">ROUNDUP(IF(staff[[#This Row],[Tenure]]&gt;2,3%,2%)*staff[[#This Row],[Salary]],0)</f>
        <v>1884</v>
      </c>
      <c r="K63" s="40">
        <f>_xlfn.XLOOKUP(staff[[#This Row],[Rating]],Rating!$B$4:$B$8,Rating!$C$4:$C$8)</f>
        <v>3</v>
      </c>
      <c r="O63" s="6"/>
    </row>
    <row r="64" spans="1:15" x14ac:dyDescent="0.25">
      <c r="A64" t="s">
        <v>41</v>
      </c>
      <c r="B64" t="s">
        <v>221</v>
      </c>
      <c r="C64" t="s">
        <v>17</v>
      </c>
      <c r="D64">
        <v>30</v>
      </c>
      <c r="E64" s="7">
        <v>44597</v>
      </c>
      <c r="F64" s="38">
        <v>64000</v>
      </c>
      <c r="G64" t="s">
        <v>13</v>
      </c>
      <c r="H64" t="s">
        <v>207</v>
      </c>
      <c r="I64" s="33">
        <f ca="1">(TODAY()-staff[[#This Row],[Date Joined]])/365</f>
        <v>1.8082191780821917</v>
      </c>
      <c r="J64" s="36">
        <f ca="1">ROUNDUP(IF(staff[[#This Row],[Tenure]]&gt;2,3%,2%)*staff[[#This Row],[Salary]],0)</f>
        <v>1280</v>
      </c>
      <c r="K64" s="40">
        <f>_xlfn.XLOOKUP(staff[[#This Row],[Rating]],Rating!$B$4:$B$8,Rating!$C$4:$C$8)</f>
        <v>3</v>
      </c>
      <c r="O64" s="6"/>
    </row>
    <row r="65" spans="1:15" x14ac:dyDescent="0.25">
      <c r="A65" t="s">
        <v>166</v>
      </c>
      <c r="B65" t="s">
        <v>221</v>
      </c>
      <c r="C65" t="s">
        <v>17</v>
      </c>
      <c r="D65">
        <v>30</v>
      </c>
      <c r="E65" s="7">
        <v>44535</v>
      </c>
      <c r="F65" s="38">
        <v>64000</v>
      </c>
      <c r="G65" t="s">
        <v>13</v>
      </c>
      <c r="H65" t="s">
        <v>209</v>
      </c>
      <c r="I65" s="33">
        <f ca="1">(TODAY()-staff[[#This Row],[Date Joined]])/365</f>
        <v>1.978082191780822</v>
      </c>
      <c r="J65" s="36">
        <f ca="1">ROUNDUP(IF(staff[[#This Row],[Tenure]]&gt;2,3%,2%)*staff[[#This Row],[Salary]],0)</f>
        <v>1280</v>
      </c>
      <c r="K65" s="40">
        <f>_xlfn.XLOOKUP(staff[[#This Row],[Rating]],Rating!$B$4:$B$8,Rating!$C$4:$C$8)</f>
        <v>3</v>
      </c>
      <c r="O65" s="6"/>
    </row>
    <row r="66" spans="1:15" x14ac:dyDescent="0.25">
      <c r="A66" t="s">
        <v>103</v>
      </c>
      <c r="B66" t="s">
        <v>15</v>
      </c>
      <c r="C66" t="s">
        <v>17</v>
      </c>
      <c r="D66">
        <v>33</v>
      </c>
      <c r="E66" s="7">
        <v>44067</v>
      </c>
      <c r="F66" s="38">
        <v>65360</v>
      </c>
      <c r="G66" t="s">
        <v>13</v>
      </c>
      <c r="H66" t="s">
        <v>207</v>
      </c>
      <c r="I66" s="33">
        <f ca="1">(TODAY()-staff[[#This Row],[Date Joined]])/365</f>
        <v>3.2602739726027399</v>
      </c>
      <c r="J66" s="36">
        <f ca="1">ROUNDUP(IF(staff[[#This Row],[Tenure]]&gt;2,3%,2%)*staff[[#This Row],[Salary]],0)</f>
        <v>1961</v>
      </c>
      <c r="K66" s="40">
        <f>_xlfn.XLOOKUP(staff[[#This Row],[Rating]],Rating!$B$4:$B$8,Rating!$C$4:$C$8)</f>
        <v>3</v>
      </c>
      <c r="O66" s="6"/>
    </row>
    <row r="67" spans="1:15" x14ac:dyDescent="0.25">
      <c r="A67" t="s">
        <v>165</v>
      </c>
      <c r="B67" t="s">
        <v>15</v>
      </c>
      <c r="C67" t="s">
        <v>17</v>
      </c>
      <c r="D67">
        <v>33</v>
      </c>
      <c r="E67" s="7">
        <v>44006</v>
      </c>
      <c r="F67" s="38">
        <v>65360</v>
      </c>
      <c r="G67" t="s">
        <v>13</v>
      </c>
      <c r="H67" t="s">
        <v>209</v>
      </c>
      <c r="I67" s="33">
        <f ca="1">(TODAY()-staff[[#This Row],[Date Joined]])/365</f>
        <v>3.4273972602739726</v>
      </c>
      <c r="J67" s="36">
        <f ca="1">ROUNDUP(IF(staff[[#This Row],[Tenure]]&gt;2,3%,2%)*staff[[#This Row],[Salary]],0)</f>
        <v>1961</v>
      </c>
      <c r="K67" s="40">
        <f>_xlfn.XLOOKUP(staff[[#This Row],[Rating]],Rating!$B$4:$B$8,Rating!$C$4:$C$8)</f>
        <v>3</v>
      </c>
      <c r="O67" s="6"/>
    </row>
    <row r="68" spans="1:15" x14ac:dyDescent="0.25">
      <c r="A68" t="s">
        <v>28</v>
      </c>
      <c r="B68" t="s">
        <v>8</v>
      </c>
      <c r="C68" t="s">
        <v>9</v>
      </c>
      <c r="D68">
        <v>25</v>
      </c>
      <c r="E68" s="7">
        <v>44383</v>
      </c>
      <c r="F68" s="38">
        <v>65700</v>
      </c>
      <c r="G68" t="s">
        <v>13</v>
      </c>
      <c r="H68" t="s">
        <v>207</v>
      </c>
      <c r="I68" s="33">
        <f ca="1">(TODAY()-staff[[#This Row],[Date Joined]])/365</f>
        <v>2.3945205479452056</v>
      </c>
      <c r="J68" s="36">
        <f ca="1">ROUNDUP(IF(staff[[#This Row],[Tenure]]&gt;2,3%,2%)*staff[[#This Row],[Salary]],0)</f>
        <v>1971</v>
      </c>
      <c r="K68" s="40">
        <f>_xlfn.XLOOKUP(staff[[#This Row],[Rating]],Rating!$B$4:$B$8,Rating!$C$4:$C$8)</f>
        <v>3</v>
      </c>
      <c r="O68" s="6"/>
    </row>
    <row r="69" spans="1:15" x14ac:dyDescent="0.25">
      <c r="A69" t="s">
        <v>194</v>
      </c>
      <c r="B69" t="s">
        <v>8</v>
      </c>
      <c r="C69" t="s">
        <v>9</v>
      </c>
      <c r="D69">
        <v>25</v>
      </c>
      <c r="E69" s="7">
        <v>44322</v>
      </c>
      <c r="F69" s="38">
        <v>65700</v>
      </c>
      <c r="G69" t="s">
        <v>13</v>
      </c>
      <c r="H69" t="s">
        <v>209</v>
      </c>
      <c r="I69" s="33">
        <f ca="1">(TODAY()-staff[[#This Row],[Date Joined]])/365</f>
        <v>2.5616438356164384</v>
      </c>
      <c r="J69" s="36">
        <f ca="1">ROUNDUP(IF(staff[[#This Row],[Tenure]]&gt;2,3%,2%)*staff[[#This Row],[Salary]],0)</f>
        <v>1971</v>
      </c>
      <c r="K69" s="40">
        <f>_xlfn.XLOOKUP(staff[[#This Row],[Rating]],Rating!$B$4:$B$8,Rating!$C$4:$C$8)</f>
        <v>3</v>
      </c>
      <c r="O69" s="6"/>
    </row>
    <row r="70" spans="1:15" x14ac:dyDescent="0.25">
      <c r="A70" t="s">
        <v>86</v>
      </c>
      <c r="B70" t="s">
        <v>15</v>
      </c>
      <c r="C70" t="s">
        <v>17</v>
      </c>
      <c r="D70">
        <v>21</v>
      </c>
      <c r="E70" s="7">
        <v>44317</v>
      </c>
      <c r="F70" s="38">
        <v>65920</v>
      </c>
      <c r="G70" t="s">
        <v>13</v>
      </c>
      <c r="H70" t="s">
        <v>207</v>
      </c>
      <c r="I70" s="33">
        <f ca="1">(TODAY()-staff[[#This Row],[Date Joined]])/365</f>
        <v>2.5753424657534247</v>
      </c>
      <c r="J70" s="36">
        <f ca="1">ROUNDUP(IF(staff[[#This Row],[Tenure]]&gt;2,3%,2%)*staff[[#This Row],[Salary]],0)</f>
        <v>1978</v>
      </c>
      <c r="K70" s="40">
        <f>_xlfn.XLOOKUP(staff[[#This Row],[Rating]],Rating!$B$4:$B$8,Rating!$C$4:$C$8)</f>
        <v>3</v>
      </c>
      <c r="O70" s="6"/>
    </row>
    <row r="71" spans="1:15" x14ac:dyDescent="0.25">
      <c r="A71" t="s">
        <v>142</v>
      </c>
      <c r="B71" t="s">
        <v>15</v>
      </c>
      <c r="C71" t="s">
        <v>17</v>
      </c>
      <c r="D71">
        <v>21</v>
      </c>
      <c r="E71" s="7">
        <v>44256</v>
      </c>
      <c r="F71" s="38">
        <v>65920</v>
      </c>
      <c r="G71" t="s">
        <v>13</v>
      </c>
      <c r="H71" t="s">
        <v>209</v>
      </c>
      <c r="I71" s="33">
        <f ca="1">(TODAY()-staff[[#This Row],[Date Joined]])/365</f>
        <v>2.7424657534246575</v>
      </c>
      <c r="J71" s="36">
        <f ca="1">ROUNDUP(IF(staff[[#This Row],[Tenure]]&gt;2,3%,2%)*staff[[#This Row],[Salary]],0)</f>
        <v>1978</v>
      </c>
      <c r="K71" s="40">
        <f>_xlfn.XLOOKUP(staff[[#This Row],[Rating]],Rating!$B$4:$B$8,Rating!$C$4:$C$8)</f>
        <v>3</v>
      </c>
      <c r="O71" s="6"/>
    </row>
    <row r="72" spans="1:15" x14ac:dyDescent="0.25">
      <c r="A72" t="s">
        <v>38</v>
      </c>
      <c r="B72" t="s">
        <v>15</v>
      </c>
      <c r="C72" t="s">
        <v>17</v>
      </c>
      <c r="D72">
        <v>30</v>
      </c>
      <c r="E72" s="7">
        <v>44389</v>
      </c>
      <c r="F72" s="38">
        <v>67910</v>
      </c>
      <c r="G72" t="s">
        <v>18</v>
      </c>
      <c r="H72" t="s">
        <v>207</v>
      </c>
      <c r="I72" s="33">
        <f ca="1">(TODAY()-staff[[#This Row],[Date Joined]])/365</f>
        <v>2.3780821917808219</v>
      </c>
      <c r="J72" s="36">
        <f ca="1">ROUNDUP(IF(staff[[#This Row],[Tenure]]&gt;2,3%,2%)*staff[[#This Row],[Salary]],0)</f>
        <v>2038</v>
      </c>
      <c r="K72" s="40">
        <f>_xlfn.XLOOKUP(staff[[#This Row],[Rating]],Rating!$B$4:$B$8,Rating!$C$4:$C$8)</f>
        <v>2</v>
      </c>
      <c r="O72" s="6"/>
    </row>
    <row r="73" spans="1:15" x14ac:dyDescent="0.25">
      <c r="A73" t="s">
        <v>182</v>
      </c>
      <c r="B73" t="s">
        <v>15</v>
      </c>
      <c r="C73" t="s">
        <v>17</v>
      </c>
      <c r="D73">
        <v>30</v>
      </c>
      <c r="E73" s="7">
        <v>44328</v>
      </c>
      <c r="F73" s="38">
        <v>67910</v>
      </c>
      <c r="G73" t="s">
        <v>18</v>
      </c>
      <c r="H73" t="s">
        <v>209</v>
      </c>
      <c r="I73" s="33">
        <f ca="1">(TODAY()-staff[[#This Row],[Date Joined]])/365</f>
        <v>2.5452054794520547</v>
      </c>
      <c r="J73" s="36">
        <f ca="1">ROUNDUP(IF(staff[[#This Row],[Tenure]]&gt;2,3%,2%)*staff[[#This Row],[Salary]],0)</f>
        <v>2038</v>
      </c>
      <c r="K73" s="40">
        <f>_xlfn.XLOOKUP(staff[[#This Row],[Rating]],Rating!$B$4:$B$8,Rating!$C$4:$C$8)</f>
        <v>2</v>
      </c>
      <c r="O73" s="6"/>
    </row>
    <row r="74" spans="1:15" x14ac:dyDescent="0.25">
      <c r="A74" t="s">
        <v>107</v>
      </c>
      <c r="B74" t="s">
        <v>8</v>
      </c>
      <c r="C74" t="s">
        <v>12</v>
      </c>
      <c r="D74">
        <v>30</v>
      </c>
      <c r="E74" s="7">
        <v>44701</v>
      </c>
      <c r="F74" s="38">
        <v>67950</v>
      </c>
      <c r="G74" t="s">
        <v>13</v>
      </c>
      <c r="H74" t="s">
        <v>207</v>
      </c>
      <c r="I74" s="33">
        <f ca="1">(TODAY()-staff[[#This Row],[Date Joined]])/365</f>
        <v>1.5232876712328767</v>
      </c>
      <c r="J74" s="36">
        <f ca="1">ROUNDUP(IF(staff[[#This Row],[Tenure]]&gt;2,3%,2%)*staff[[#This Row],[Salary]],0)</f>
        <v>1359</v>
      </c>
      <c r="K74" s="40">
        <f>_xlfn.XLOOKUP(staff[[#This Row],[Rating]],Rating!$B$4:$B$8,Rating!$C$4:$C$8)</f>
        <v>3</v>
      </c>
      <c r="O74" s="6"/>
    </row>
    <row r="75" spans="1:15" x14ac:dyDescent="0.25">
      <c r="A75" t="s">
        <v>190</v>
      </c>
      <c r="B75" t="s">
        <v>8</v>
      </c>
      <c r="C75" t="s">
        <v>12</v>
      </c>
      <c r="D75">
        <v>30</v>
      </c>
      <c r="E75" s="7">
        <v>44640</v>
      </c>
      <c r="F75" s="38">
        <v>67950</v>
      </c>
      <c r="G75" t="s">
        <v>13</v>
      </c>
      <c r="H75" t="s">
        <v>209</v>
      </c>
      <c r="I75" s="33">
        <f ca="1">(TODAY()-staff[[#This Row],[Date Joined]])/365</f>
        <v>1.6904109589041096</v>
      </c>
      <c r="J75" s="36">
        <f ca="1">ROUNDUP(IF(staff[[#This Row],[Tenure]]&gt;2,3%,2%)*staff[[#This Row],[Salary]],0)</f>
        <v>1359</v>
      </c>
      <c r="K75" s="40">
        <f>_xlfn.XLOOKUP(staff[[#This Row],[Rating]],Rating!$B$4:$B$8,Rating!$C$4:$C$8)</f>
        <v>3</v>
      </c>
      <c r="O75" s="6"/>
    </row>
    <row r="76" spans="1:15" x14ac:dyDescent="0.25">
      <c r="A76" t="s">
        <v>65</v>
      </c>
      <c r="B76" t="s">
        <v>15</v>
      </c>
      <c r="C76" t="s">
        <v>9</v>
      </c>
      <c r="D76">
        <v>20</v>
      </c>
      <c r="E76" s="7">
        <v>44537</v>
      </c>
      <c r="F76" s="38">
        <v>68900</v>
      </c>
      <c r="G76" t="s">
        <v>18</v>
      </c>
      <c r="H76" t="s">
        <v>207</v>
      </c>
      <c r="I76" s="33">
        <f ca="1">(TODAY()-staff[[#This Row],[Date Joined]])/365</f>
        <v>1.9726027397260273</v>
      </c>
      <c r="J76" s="36">
        <f ca="1">ROUNDUP(IF(staff[[#This Row],[Tenure]]&gt;2,3%,2%)*staff[[#This Row],[Salary]],0)</f>
        <v>1378</v>
      </c>
      <c r="K76" s="40">
        <f>_xlfn.XLOOKUP(staff[[#This Row],[Rating]],Rating!$B$4:$B$8,Rating!$C$4:$C$8)</f>
        <v>2</v>
      </c>
      <c r="O76" s="6"/>
    </row>
    <row r="77" spans="1:15" x14ac:dyDescent="0.25">
      <c r="A77" t="s">
        <v>171</v>
      </c>
      <c r="B77" t="s">
        <v>15</v>
      </c>
      <c r="C77" t="s">
        <v>9</v>
      </c>
      <c r="D77">
        <v>20</v>
      </c>
      <c r="E77" s="7">
        <v>44476</v>
      </c>
      <c r="F77" s="38">
        <v>68900</v>
      </c>
      <c r="G77" t="s">
        <v>18</v>
      </c>
      <c r="H77" t="s">
        <v>209</v>
      </c>
      <c r="I77" s="33">
        <f ca="1">(TODAY()-staff[[#This Row],[Date Joined]])/365</f>
        <v>2.1397260273972605</v>
      </c>
      <c r="J77" s="36">
        <f ca="1">ROUNDUP(IF(staff[[#This Row],[Tenure]]&gt;2,3%,2%)*staff[[#This Row],[Salary]],0)</f>
        <v>2067</v>
      </c>
      <c r="K77" s="40">
        <f>_xlfn.XLOOKUP(staff[[#This Row],[Rating]],Rating!$B$4:$B$8,Rating!$C$4:$C$8)</f>
        <v>2</v>
      </c>
      <c r="O77" s="6"/>
    </row>
    <row r="78" spans="1:15" x14ac:dyDescent="0.25">
      <c r="A78" t="s">
        <v>29</v>
      </c>
      <c r="B78" t="s">
        <v>8</v>
      </c>
      <c r="C78" t="s">
        <v>23</v>
      </c>
      <c r="D78">
        <v>37</v>
      </c>
      <c r="E78" s="7">
        <v>44701</v>
      </c>
      <c r="F78" s="38">
        <v>69070</v>
      </c>
      <c r="G78" t="s">
        <v>13</v>
      </c>
      <c r="H78" t="s">
        <v>207</v>
      </c>
      <c r="I78" s="33">
        <f ca="1">(TODAY()-staff[[#This Row],[Date Joined]])/365</f>
        <v>1.5232876712328767</v>
      </c>
      <c r="J78" s="36">
        <f ca="1">ROUNDUP(IF(staff[[#This Row],[Tenure]]&gt;2,3%,2%)*staff[[#This Row],[Salary]],0)</f>
        <v>1382</v>
      </c>
      <c r="K78" s="40">
        <f>_xlfn.XLOOKUP(staff[[#This Row],[Rating]],Rating!$B$4:$B$8,Rating!$C$4:$C$8)</f>
        <v>3</v>
      </c>
      <c r="O78" s="6"/>
    </row>
    <row r="79" spans="1:15" x14ac:dyDescent="0.25">
      <c r="A79" t="s">
        <v>181</v>
      </c>
      <c r="B79" t="s">
        <v>8</v>
      </c>
      <c r="C79" t="s">
        <v>23</v>
      </c>
      <c r="D79">
        <v>37</v>
      </c>
      <c r="E79" s="7">
        <v>44640</v>
      </c>
      <c r="F79" s="38">
        <v>69070</v>
      </c>
      <c r="G79" t="s">
        <v>13</v>
      </c>
      <c r="H79" t="s">
        <v>209</v>
      </c>
      <c r="I79" s="33">
        <f ca="1">(TODAY()-staff[[#This Row],[Date Joined]])/365</f>
        <v>1.6904109589041096</v>
      </c>
      <c r="J79" s="36">
        <f ca="1">ROUNDUP(IF(staff[[#This Row],[Tenure]]&gt;2,3%,2%)*staff[[#This Row],[Salary]],0)</f>
        <v>1382</v>
      </c>
      <c r="K79" s="40">
        <f>_xlfn.XLOOKUP(staff[[#This Row],[Rating]],Rating!$B$4:$B$8,Rating!$C$4:$C$8)</f>
        <v>3</v>
      </c>
      <c r="O79" s="6"/>
    </row>
    <row r="80" spans="1:15" x14ac:dyDescent="0.25">
      <c r="A80" t="s">
        <v>76</v>
      </c>
      <c r="B80" t="s">
        <v>8</v>
      </c>
      <c r="C80" t="s">
        <v>23</v>
      </c>
      <c r="D80">
        <v>30</v>
      </c>
      <c r="E80" s="7">
        <v>44273</v>
      </c>
      <c r="F80" s="38">
        <v>69120</v>
      </c>
      <c r="G80" t="s">
        <v>13</v>
      </c>
      <c r="H80" t="s">
        <v>207</v>
      </c>
      <c r="I80" s="33">
        <f ca="1">(TODAY()-staff[[#This Row],[Date Joined]])/365</f>
        <v>2.6958904109589041</v>
      </c>
      <c r="J80" s="36">
        <f ca="1">ROUNDUP(IF(staff[[#This Row],[Tenure]]&gt;2,3%,2%)*staff[[#This Row],[Salary]],0)</f>
        <v>2074</v>
      </c>
      <c r="K80" s="40">
        <f>_xlfn.XLOOKUP(staff[[#This Row],[Rating]],Rating!$B$4:$B$8,Rating!$C$4:$C$8)</f>
        <v>3</v>
      </c>
      <c r="O80" s="6"/>
    </row>
    <row r="81" spans="1:15" x14ac:dyDescent="0.25">
      <c r="A81" t="s">
        <v>183</v>
      </c>
      <c r="B81" t="s">
        <v>8</v>
      </c>
      <c r="C81" t="s">
        <v>23</v>
      </c>
      <c r="D81">
        <v>30</v>
      </c>
      <c r="E81" s="7">
        <v>44214</v>
      </c>
      <c r="F81" s="38">
        <v>69120</v>
      </c>
      <c r="G81" t="s">
        <v>13</v>
      </c>
      <c r="H81" t="s">
        <v>209</v>
      </c>
      <c r="I81" s="33">
        <f ca="1">(TODAY()-staff[[#This Row],[Date Joined]])/365</f>
        <v>2.8575342465753426</v>
      </c>
      <c r="J81" s="36">
        <f ca="1">ROUNDUP(IF(staff[[#This Row],[Tenure]]&gt;2,3%,2%)*staff[[#This Row],[Salary]],0)</f>
        <v>2074</v>
      </c>
      <c r="K81" s="40">
        <f>_xlfn.XLOOKUP(staff[[#This Row],[Rating]],Rating!$B$4:$B$8,Rating!$C$4:$C$8)</f>
        <v>3</v>
      </c>
      <c r="O81" s="6"/>
    </row>
    <row r="82" spans="1:15" x14ac:dyDescent="0.25">
      <c r="A82" t="s">
        <v>72</v>
      </c>
      <c r="B82" t="s">
        <v>8</v>
      </c>
      <c r="C82" t="s">
        <v>23</v>
      </c>
      <c r="D82">
        <v>30</v>
      </c>
      <c r="E82" s="7">
        <v>44850</v>
      </c>
      <c r="F82" s="38">
        <v>69710</v>
      </c>
      <c r="G82" t="s">
        <v>13</v>
      </c>
      <c r="H82" t="s">
        <v>207</v>
      </c>
      <c r="I82" s="33">
        <f ca="1">(TODAY()-staff[[#This Row],[Date Joined]])/365</f>
        <v>1.1150684931506849</v>
      </c>
      <c r="J82" s="36">
        <f ca="1">ROUNDUP(IF(staff[[#This Row],[Tenure]]&gt;2,3%,2%)*staff[[#This Row],[Salary]],0)</f>
        <v>1395</v>
      </c>
      <c r="K82" s="40">
        <f>_xlfn.XLOOKUP(staff[[#This Row],[Rating]],Rating!$B$4:$B$8,Rating!$C$4:$C$8)</f>
        <v>3</v>
      </c>
      <c r="O82" s="6"/>
    </row>
    <row r="83" spans="1:15" x14ac:dyDescent="0.25">
      <c r="A83" t="s">
        <v>128</v>
      </c>
      <c r="B83" t="s">
        <v>8</v>
      </c>
      <c r="C83" t="s">
        <v>23</v>
      </c>
      <c r="D83">
        <v>30</v>
      </c>
      <c r="E83" s="7">
        <v>44789</v>
      </c>
      <c r="F83" s="38">
        <v>69710</v>
      </c>
      <c r="G83" t="s">
        <v>13</v>
      </c>
      <c r="H83" t="s">
        <v>209</v>
      </c>
      <c r="I83" s="33">
        <f ca="1">(TODAY()-staff[[#This Row],[Date Joined]])/365</f>
        <v>1.2821917808219179</v>
      </c>
      <c r="J83" s="36">
        <f ca="1">ROUNDUP(IF(staff[[#This Row],[Tenure]]&gt;2,3%,2%)*staff[[#This Row],[Salary]],0)</f>
        <v>1395</v>
      </c>
      <c r="K83" s="40">
        <f>_xlfn.XLOOKUP(staff[[#This Row],[Rating]],Rating!$B$4:$B$8,Rating!$C$4:$C$8)</f>
        <v>3</v>
      </c>
      <c r="O83" s="6"/>
    </row>
    <row r="84" spans="1:15" x14ac:dyDescent="0.25">
      <c r="A84" t="s">
        <v>108</v>
      </c>
      <c r="B84" t="s">
        <v>8</v>
      </c>
      <c r="C84" t="s">
        <v>17</v>
      </c>
      <c r="D84">
        <v>42</v>
      </c>
      <c r="E84" s="7">
        <v>44731</v>
      </c>
      <c r="F84" s="38">
        <v>70270</v>
      </c>
      <c r="G84" t="s">
        <v>18</v>
      </c>
      <c r="H84" t="s">
        <v>207</v>
      </c>
      <c r="I84" s="33">
        <f ca="1">(TODAY()-staff[[#This Row],[Date Joined]])/365</f>
        <v>1.441095890410959</v>
      </c>
      <c r="J84" s="36">
        <f ca="1">ROUNDUP(IF(staff[[#This Row],[Tenure]]&gt;2,3%,2%)*staff[[#This Row],[Salary]],0)</f>
        <v>1406</v>
      </c>
      <c r="K84" s="40">
        <f>_xlfn.XLOOKUP(staff[[#This Row],[Rating]],Rating!$B$4:$B$8,Rating!$C$4:$C$8)</f>
        <v>2</v>
      </c>
      <c r="O84" s="6"/>
    </row>
    <row r="85" spans="1:15" x14ac:dyDescent="0.25">
      <c r="A85" t="s">
        <v>160</v>
      </c>
      <c r="B85" t="s">
        <v>8</v>
      </c>
      <c r="C85" t="s">
        <v>17</v>
      </c>
      <c r="D85">
        <v>42</v>
      </c>
      <c r="E85" s="7">
        <v>44670</v>
      </c>
      <c r="F85" s="38">
        <v>70270</v>
      </c>
      <c r="G85" t="s">
        <v>18</v>
      </c>
      <c r="H85" t="s">
        <v>209</v>
      </c>
      <c r="I85" s="33">
        <f ca="1">(TODAY()-staff[[#This Row],[Date Joined]])/365</f>
        <v>1.6082191780821917</v>
      </c>
      <c r="J85" s="36">
        <f ca="1">ROUNDUP(IF(staff[[#This Row],[Tenure]]&gt;2,3%,2%)*staff[[#This Row],[Salary]],0)</f>
        <v>1406</v>
      </c>
      <c r="K85" s="40">
        <f>_xlfn.XLOOKUP(staff[[#This Row],[Rating]],Rating!$B$4:$B$8,Rating!$C$4:$C$8)</f>
        <v>2</v>
      </c>
      <c r="O85" s="6"/>
    </row>
    <row r="86" spans="1:15" x14ac:dyDescent="0.25">
      <c r="A86" t="s">
        <v>11</v>
      </c>
      <c r="B86" t="s">
        <v>8</v>
      </c>
      <c r="C86" t="s">
        <v>12</v>
      </c>
      <c r="D86">
        <v>46</v>
      </c>
      <c r="E86" s="7">
        <v>44758</v>
      </c>
      <c r="F86" s="38">
        <v>70610</v>
      </c>
      <c r="G86" t="s">
        <v>13</v>
      </c>
      <c r="H86" t="s">
        <v>207</v>
      </c>
      <c r="I86" s="33">
        <f ca="1">(TODAY()-staff[[#This Row],[Date Joined]])/365</f>
        <v>1.3671232876712329</v>
      </c>
      <c r="J86" s="36">
        <f ca="1">ROUNDUP(IF(staff[[#This Row],[Tenure]]&gt;2,3%,2%)*staff[[#This Row],[Salary]],0)</f>
        <v>1413</v>
      </c>
      <c r="K86" s="40">
        <f>_xlfn.XLOOKUP(staff[[#This Row],[Rating]],Rating!$B$4:$B$8,Rating!$C$4:$C$8)</f>
        <v>3</v>
      </c>
      <c r="O86" s="6"/>
    </row>
    <row r="87" spans="1:15" x14ac:dyDescent="0.25">
      <c r="A87" t="s">
        <v>199</v>
      </c>
      <c r="B87" t="s">
        <v>8</v>
      </c>
      <c r="C87" t="s">
        <v>12</v>
      </c>
      <c r="D87">
        <v>46</v>
      </c>
      <c r="E87" s="7">
        <v>44697</v>
      </c>
      <c r="F87" s="38">
        <v>70610</v>
      </c>
      <c r="G87" t="s">
        <v>13</v>
      </c>
      <c r="H87" t="s">
        <v>209</v>
      </c>
      <c r="I87" s="33">
        <f ca="1">(TODAY()-staff[[#This Row],[Date Joined]])/365</f>
        <v>1.5342465753424657</v>
      </c>
      <c r="J87" s="36">
        <f ca="1">ROUNDUP(IF(staff[[#This Row],[Tenure]]&gt;2,3%,2%)*staff[[#This Row],[Salary]],0)</f>
        <v>1413</v>
      </c>
      <c r="K87" s="40">
        <f>_xlfn.XLOOKUP(staff[[#This Row],[Rating]],Rating!$B$4:$B$8,Rating!$C$4:$C$8)</f>
        <v>3</v>
      </c>
      <c r="O87" s="6"/>
    </row>
    <row r="88" spans="1:15" x14ac:dyDescent="0.25">
      <c r="A88" t="s">
        <v>73</v>
      </c>
      <c r="B88" t="s">
        <v>8</v>
      </c>
      <c r="C88" t="s">
        <v>17</v>
      </c>
      <c r="D88">
        <v>36</v>
      </c>
      <c r="E88" s="7">
        <v>44333</v>
      </c>
      <c r="F88" s="38">
        <v>71380</v>
      </c>
      <c r="G88" t="s">
        <v>13</v>
      </c>
      <c r="H88" t="s">
        <v>207</v>
      </c>
      <c r="I88" s="33">
        <f ca="1">(TODAY()-staff[[#This Row],[Date Joined]])/365</f>
        <v>2.5315068493150683</v>
      </c>
      <c r="J88" s="36">
        <f ca="1">ROUNDUP(IF(staff[[#This Row],[Tenure]]&gt;2,3%,2%)*staff[[#This Row],[Salary]],0)</f>
        <v>2142</v>
      </c>
      <c r="K88" s="40">
        <f>_xlfn.XLOOKUP(staff[[#This Row],[Rating]],Rating!$B$4:$B$8,Rating!$C$4:$C$8)</f>
        <v>3</v>
      </c>
      <c r="O88" s="6"/>
    </row>
    <row r="89" spans="1:15" x14ac:dyDescent="0.25">
      <c r="A89" t="s">
        <v>177</v>
      </c>
      <c r="B89" t="s">
        <v>8</v>
      </c>
      <c r="C89" t="s">
        <v>17</v>
      </c>
      <c r="D89">
        <v>36</v>
      </c>
      <c r="E89" s="7">
        <v>44272</v>
      </c>
      <c r="F89" s="38">
        <v>71380</v>
      </c>
      <c r="G89" t="s">
        <v>13</v>
      </c>
      <c r="H89" t="s">
        <v>209</v>
      </c>
      <c r="I89" s="33">
        <f ca="1">(TODAY()-staff[[#This Row],[Date Joined]])/365</f>
        <v>2.6986301369863015</v>
      </c>
      <c r="J89" s="36">
        <f ca="1">ROUNDUP(IF(staff[[#This Row],[Tenure]]&gt;2,3%,2%)*staff[[#This Row],[Salary]],0)</f>
        <v>2142</v>
      </c>
      <c r="K89" s="40">
        <f>_xlfn.XLOOKUP(staff[[#This Row],[Rating]],Rating!$B$4:$B$8,Rating!$C$4:$C$8)</f>
        <v>3</v>
      </c>
      <c r="O89" s="6"/>
    </row>
    <row r="90" spans="1:15" x14ac:dyDescent="0.25">
      <c r="A90" t="s">
        <v>106</v>
      </c>
      <c r="B90" t="s">
        <v>8</v>
      </c>
      <c r="C90" t="s">
        <v>9</v>
      </c>
      <c r="D90">
        <v>33</v>
      </c>
      <c r="E90" s="7">
        <v>44385</v>
      </c>
      <c r="F90" s="38">
        <v>74550</v>
      </c>
      <c r="G90" t="s">
        <v>13</v>
      </c>
      <c r="H90" t="s">
        <v>207</v>
      </c>
      <c r="I90" s="33">
        <f ca="1">(TODAY()-staff[[#This Row],[Date Joined]])/365</f>
        <v>2.3890410958904109</v>
      </c>
      <c r="J90" s="36">
        <f ca="1">ROUNDUP(IF(staff[[#This Row],[Tenure]]&gt;2,3%,2%)*staff[[#This Row],[Salary]],0)</f>
        <v>2237</v>
      </c>
      <c r="K90" s="40">
        <f>_xlfn.XLOOKUP(staff[[#This Row],[Rating]],Rating!$B$4:$B$8,Rating!$C$4:$C$8)</f>
        <v>3</v>
      </c>
      <c r="O90" s="6"/>
    </row>
    <row r="91" spans="1:15" x14ac:dyDescent="0.25">
      <c r="A91" t="s">
        <v>119</v>
      </c>
      <c r="B91" t="s">
        <v>8</v>
      </c>
      <c r="C91" t="s">
        <v>9</v>
      </c>
      <c r="D91">
        <v>33</v>
      </c>
      <c r="E91" s="7">
        <v>44324</v>
      </c>
      <c r="F91" s="38">
        <v>74550</v>
      </c>
      <c r="G91" t="s">
        <v>13</v>
      </c>
      <c r="H91" t="s">
        <v>209</v>
      </c>
      <c r="I91" s="33">
        <f ca="1">(TODAY()-staff[[#This Row],[Date Joined]])/365</f>
        <v>2.5561643835616437</v>
      </c>
      <c r="J91" s="36">
        <f ca="1">ROUNDUP(IF(staff[[#This Row],[Tenure]]&gt;2,3%,2%)*staff[[#This Row],[Salary]],0)</f>
        <v>2237</v>
      </c>
      <c r="K91" s="40">
        <f>_xlfn.XLOOKUP(staff[[#This Row],[Rating]],Rating!$B$4:$B$8,Rating!$C$4:$C$8)</f>
        <v>3</v>
      </c>
      <c r="O91" s="6"/>
    </row>
    <row r="92" spans="1:15" x14ac:dyDescent="0.25">
      <c r="A92" t="s">
        <v>42</v>
      </c>
      <c r="B92" t="s">
        <v>15</v>
      </c>
      <c r="C92" t="s">
        <v>12</v>
      </c>
      <c r="D92">
        <v>42</v>
      </c>
      <c r="E92" s="7">
        <v>44779</v>
      </c>
      <c r="F92" s="38">
        <v>75000</v>
      </c>
      <c r="G92" t="s">
        <v>43</v>
      </c>
      <c r="H92" t="s">
        <v>207</v>
      </c>
      <c r="I92" s="33">
        <f ca="1">(TODAY()-staff[[#This Row],[Date Joined]])/365</f>
        <v>1.3095890410958904</v>
      </c>
      <c r="J92" s="36">
        <f ca="1">ROUNDUP(IF(staff[[#This Row],[Tenure]]&gt;2,3%,2%)*staff[[#This Row],[Salary]],0)</f>
        <v>1500</v>
      </c>
      <c r="K92" s="40">
        <f>_xlfn.XLOOKUP(staff[[#This Row],[Rating]],Rating!$B$4:$B$8,Rating!$C$4:$C$8)</f>
        <v>5</v>
      </c>
      <c r="O92" s="6"/>
    </row>
    <row r="93" spans="1:15" x14ac:dyDescent="0.25">
      <c r="A93" t="s">
        <v>134</v>
      </c>
      <c r="B93" t="s">
        <v>15</v>
      </c>
      <c r="C93" t="s">
        <v>12</v>
      </c>
      <c r="D93">
        <v>42</v>
      </c>
      <c r="E93" s="7">
        <v>44718</v>
      </c>
      <c r="F93" s="38">
        <v>75000</v>
      </c>
      <c r="G93" t="s">
        <v>43</v>
      </c>
      <c r="H93" t="s">
        <v>209</v>
      </c>
      <c r="I93" s="33">
        <f ca="1">(TODAY()-staff[[#This Row],[Date Joined]])/365</f>
        <v>1.4767123287671233</v>
      </c>
      <c r="J93" s="36">
        <f ca="1">ROUNDUP(IF(staff[[#This Row],[Tenure]]&gt;2,3%,2%)*staff[[#This Row],[Salary]],0)</f>
        <v>1500</v>
      </c>
      <c r="K93" s="40">
        <f>_xlfn.XLOOKUP(staff[[#This Row],[Rating]],Rating!$B$4:$B$8,Rating!$C$4:$C$8)</f>
        <v>5</v>
      </c>
      <c r="O93" s="6"/>
    </row>
    <row r="94" spans="1:15" x14ac:dyDescent="0.25">
      <c r="A94" t="s">
        <v>105</v>
      </c>
      <c r="B94" t="s">
        <v>15</v>
      </c>
      <c r="C94" t="s">
        <v>23</v>
      </c>
      <c r="D94">
        <v>33</v>
      </c>
      <c r="E94" s="7">
        <v>44312</v>
      </c>
      <c r="F94" s="38">
        <v>75280</v>
      </c>
      <c r="G94" t="s">
        <v>13</v>
      </c>
      <c r="H94" t="s">
        <v>207</v>
      </c>
      <c r="I94" s="33">
        <f ca="1">(TODAY()-staff[[#This Row],[Date Joined]])/365</f>
        <v>2.5890410958904111</v>
      </c>
      <c r="J94" s="36">
        <f ca="1">ROUNDUP(IF(staff[[#This Row],[Tenure]]&gt;2,3%,2%)*staff[[#This Row],[Salary]],0)</f>
        <v>2259</v>
      </c>
      <c r="K94" s="40">
        <f>_xlfn.XLOOKUP(staff[[#This Row],[Rating]],Rating!$B$4:$B$8,Rating!$C$4:$C$8)</f>
        <v>3</v>
      </c>
      <c r="O94" s="6"/>
    </row>
    <row r="95" spans="1:15" x14ac:dyDescent="0.25">
      <c r="A95" t="s">
        <v>155</v>
      </c>
      <c r="B95" t="s">
        <v>15</v>
      </c>
      <c r="C95" t="s">
        <v>23</v>
      </c>
      <c r="D95">
        <v>33</v>
      </c>
      <c r="E95" s="7">
        <v>44253</v>
      </c>
      <c r="F95" s="38">
        <v>75280</v>
      </c>
      <c r="G95" t="s">
        <v>13</v>
      </c>
      <c r="H95" t="s">
        <v>209</v>
      </c>
      <c r="I95" s="33">
        <f ca="1">(TODAY()-staff[[#This Row],[Date Joined]])/365</f>
        <v>2.7506849315068491</v>
      </c>
      <c r="J95" s="36">
        <f ca="1">ROUNDUP(IF(staff[[#This Row],[Tenure]]&gt;2,3%,2%)*staff[[#This Row],[Salary]],0)</f>
        <v>2259</v>
      </c>
      <c r="K95" s="40">
        <f>_xlfn.XLOOKUP(staff[[#This Row],[Rating]],Rating!$B$4:$B$8,Rating!$C$4:$C$8)</f>
        <v>3</v>
      </c>
      <c r="O95" s="6"/>
    </row>
    <row r="96" spans="1:15" x14ac:dyDescent="0.25">
      <c r="A96" t="s">
        <v>48</v>
      </c>
      <c r="B96" t="s">
        <v>15</v>
      </c>
      <c r="C96" t="s">
        <v>23</v>
      </c>
      <c r="D96">
        <v>33</v>
      </c>
      <c r="E96" s="7">
        <v>44374</v>
      </c>
      <c r="F96" s="38">
        <v>75480</v>
      </c>
      <c r="G96" t="s">
        <v>49</v>
      </c>
      <c r="H96" t="s">
        <v>207</v>
      </c>
      <c r="I96" s="33">
        <f ca="1">(TODAY()-staff[[#This Row],[Date Joined]])/365</f>
        <v>2.419178082191781</v>
      </c>
      <c r="J96" s="36">
        <f ca="1">ROUNDUP(IF(staff[[#This Row],[Tenure]]&gt;2,3%,2%)*staff[[#This Row],[Salary]],0)</f>
        <v>2265</v>
      </c>
      <c r="K96" s="40">
        <f>_xlfn.XLOOKUP(staff[[#This Row],[Rating]],Rating!$B$4:$B$8,Rating!$C$4:$C$8)</f>
        <v>1</v>
      </c>
      <c r="O96" s="6"/>
    </row>
    <row r="97" spans="1:15" x14ac:dyDescent="0.25">
      <c r="A97" t="s">
        <v>195</v>
      </c>
      <c r="B97" t="s">
        <v>15</v>
      </c>
      <c r="C97" t="s">
        <v>23</v>
      </c>
      <c r="D97">
        <v>33</v>
      </c>
      <c r="E97" s="7">
        <v>44313</v>
      </c>
      <c r="F97" s="38">
        <v>75480</v>
      </c>
      <c r="G97" t="s">
        <v>49</v>
      </c>
      <c r="H97" t="s">
        <v>209</v>
      </c>
      <c r="I97" s="33">
        <f ca="1">(TODAY()-staff[[#This Row],[Date Joined]])/365</f>
        <v>2.5863013698630137</v>
      </c>
      <c r="J97" s="36">
        <f ca="1">ROUNDUP(IF(staff[[#This Row],[Tenure]]&gt;2,3%,2%)*staff[[#This Row],[Salary]],0)</f>
        <v>2265</v>
      </c>
      <c r="K97" s="40">
        <f>_xlfn.XLOOKUP(staff[[#This Row],[Rating]],Rating!$B$4:$B$8,Rating!$C$4:$C$8)</f>
        <v>1</v>
      </c>
      <c r="O97" s="6"/>
    </row>
    <row r="98" spans="1:15" x14ac:dyDescent="0.25">
      <c r="A98" t="s">
        <v>36</v>
      </c>
      <c r="B98" t="s">
        <v>8</v>
      </c>
      <c r="C98" t="s">
        <v>26</v>
      </c>
      <c r="D98">
        <v>21</v>
      </c>
      <c r="E98" s="7">
        <v>44242</v>
      </c>
      <c r="F98" s="38">
        <v>75880</v>
      </c>
      <c r="G98" t="s">
        <v>13</v>
      </c>
      <c r="H98" t="s">
        <v>207</v>
      </c>
      <c r="I98" s="33">
        <f ca="1">(TODAY()-staff[[#This Row],[Date Joined]])/365</f>
        <v>2.7808219178082192</v>
      </c>
      <c r="J98" s="36">
        <f ca="1">ROUNDUP(IF(staff[[#This Row],[Tenure]]&gt;2,3%,2%)*staff[[#This Row],[Salary]],0)</f>
        <v>2277</v>
      </c>
      <c r="K98" s="40">
        <f>_xlfn.XLOOKUP(staff[[#This Row],[Rating]],Rating!$B$4:$B$8,Rating!$C$4:$C$8)</f>
        <v>3</v>
      </c>
      <c r="O98" s="6"/>
    </row>
    <row r="99" spans="1:15" x14ac:dyDescent="0.25">
      <c r="A99" t="s">
        <v>151</v>
      </c>
      <c r="B99" t="s">
        <v>8</v>
      </c>
      <c r="C99" t="s">
        <v>26</v>
      </c>
      <c r="D99">
        <v>21</v>
      </c>
      <c r="E99" s="7">
        <v>44180</v>
      </c>
      <c r="F99" s="38">
        <v>75880</v>
      </c>
      <c r="G99" t="s">
        <v>13</v>
      </c>
      <c r="H99" t="s">
        <v>209</v>
      </c>
      <c r="I99" s="33">
        <f ca="1">(TODAY()-staff[[#This Row],[Date Joined]])/365</f>
        <v>2.9506849315068493</v>
      </c>
      <c r="J99" s="36">
        <f ca="1">ROUNDUP(IF(staff[[#This Row],[Tenure]]&gt;2,3%,2%)*staff[[#This Row],[Salary]],0)</f>
        <v>2277</v>
      </c>
      <c r="K99" s="40">
        <f>_xlfn.XLOOKUP(staff[[#This Row],[Rating]],Rating!$B$4:$B$8,Rating!$C$4:$C$8)</f>
        <v>3</v>
      </c>
      <c r="O99" s="6"/>
    </row>
    <row r="100" spans="1:15" x14ac:dyDescent="0.25">
      <c r="A100" t="s">
        <v>46</v>
      </c>
      <c r="B100" t="s">
        <v>15</v>
      </c>
      <c r="C100" t="s">
        <v>17</v>
      </c>
      <c r="D100">
        <v>28</v>
      </c>
      <c r="E100" s="7">
        <v>44185</v>
      </c>
      <c r="F100" s="38">
        <v>75970</v>
      </c>
      <c r="G100" t="s">
        <v>13</v>
      </c>
      <c r="H100" t="s">
        <v>207</v>
      </c>
      <c r="I100" s="33">
        <f ca="1">(TODAY()-staff[[#This Row],[Date Joined]])/365</f>
        <v>2.9369863013698629</v>
      </c>
      <c r="J100" s="36">
        <f ca="1">ROUNDUP(IF(staff[[#This Row],[Tenure]]&gt;2,3%,2%)*staff[[#This Row],[Salary]],0)</f>
        <v>2280</v>
      </c>
      <c r="K100" s="40">
        <f>_xlfn.XLOOKUP(staff[[#This Row],[Rating]],Rating!$B$4:$B$8,Rating!$C$4:$C$8)</f>
        <v>3</v>
      </c>
      <c r="O100" s="6"/>
    </row>
    <row r="101" spans="1:15" x14ac:dyDescent="0.25">
      <c r="A101" t="s">
        <v>161</v>
      </c>
      <c r="B101" t="s">
        <v>15</v>
      </c>
      <c r="C101" t="s">
        <v>17</v>
      </c>
      <c r="D101">
        <v>28</v>
      </c>
      <c r="E101" s="7">
        <v>44124</v>
      </c>
      <c r="F101" s="38">
        <v>75970</v>
      </c>
      <c r="G101" t="s">
        <v>13</v>
      </c>
      <c r="H101" t="s">
        <v>209</v>
      </c>
      <c r="I101" s="33">
        <f ca="1">(TODAY()-staff[[#This Row],[Date Joined]])/365</f>
        <v>3.1041095890410957</v>
      </c>
      <c r="J101" s="36">
        <f ca="1">ROUNDUP(IF(staff[[#This Row],[Tenure]]&gt;2,3%,2%)*staff[[#This Row],[Salary]],0)</f>
        <v>2280</v>
      </c>
      <c r="K101" s="40">
        <f>_xlfn.XLOOKUP(staff[[#This Row],[Rating]],Rating!$B$4:$B$8,Rating!$C$4:$C$8)</f>
        <v>3</v>
      </c>
      <c r="O101" s="6"/>
    </row>
    <row r="102" spans="1:15" x14ac:dyDescent="0.25">
      <c r="A102" t="s">
        <v>78</v>
      </c>
      <c r="B102" t="s">
        <v>15</v>
      </c>
      <c r="C102" t="s">
        <v>12</v>
      </c>
      <c r="D102">
        <v>22</v>
      </c>
      <c r="E102" s="7">
        <v>44450</v>
      </c>
      <c r="F102" s="38">
        <v>76900</v>
      </c>
      <c r="G102" t="s">
        <v>10</v>
      </c>
      <c r="H102" t="s">
        <v>207</v>
      </c>
      <c r="I102" s="33">
        <f ca="1">(TODAY()-staff[[#This Row],[Date Joined]])/365</f>
        <v>2.2109589041095892</v>
      </c>
      <c r="J102" s="36">
        <f ca="1">ROUNDUP(IF(staff[[#This Row],[Tenure]]&gt;2,3%,2%)*staff[[#This Row],[Salary]],0)</f>
        <v>2307</v>
      </c>
      <c r="K102" s="40">
        <f>_xlfn.XLOOKUP(staff[[#This Row],[Rating]],Rating!$B$4:$B$8,Rating!$C$4:$C$8)</f>
        <v>4</v>
      </c>
      <c r="O102" s="6"/>
    </row>
    <row r="103" spans="1:15" x14ac:dyDescent="0.25">
      <c r="A103" t="s">
        <v>130</v>
      </c>
      <c r="B103" t="s">
        <v>15</v>
      </c>
      <c r="C103" t="s">
        <v>12</v>
      </c>
      <c r="D103">
        <v>22</v>
      </c>
      <c r="E103" s="7">
        <v>44388</v>
      </c>
      <c r="F103" s="38">
        <v>76900</v>
      </c>
      <c r="G103" t="s">
        <v>10</v>
      </c>
      <c r="H103" t="s">
        <v>209</v>
      </c>
      <c r="I103" s="33">
        <f ca="1">(TODAY()-staff[[#This Row],[Date Joined]])/365</f>
        <v>2.3808219178082193</v>
      </c>
      <c r="J103" s="36">
        <f ca="1">ROUNDUP(IF(staff[[#This Row],[Tenure]]&gt;2,3%,2%)*staff[[#This Row],[Salary]],0)</f>
        <v>2307</v>
      </c>
      <c r="K103" s="40">
        <f>_xlfn.XLOOKUP(staff[[#This Row],[Rating]],Rating!$B$4:$B$8,Rating!$C$4:$C$8)</f>
        <v>4</v>
      </c>
      <c r="O103" s="6"/>
    </row>
    <row r="104" spans="1:15" x14ac:dyDescent="0.25">
      <c r="A104" t="s">
        <v>59</v>
      </c>
      <c r="B104" t="s">
        <v>15</v>
      </c>
      <c r="C104" t="s">
        <v>12</v>
      </c>
      <c r="D104">
        <v>36</v>
      </c>
      <c r="E104" s="7">
        <v>44529</v>
      </c>
      <c r="F104" s="38">
        <v>78390</v>
      </c>
      <c r="G104" t="s">
        <v>13</v>
      </c>
      <c r="H104" t="s">
        <v>207</v>
      </c>
      <c r="I104" s="33">
        <f ca="1">(TODAY()-staff[[#This Row],[Date Joined]])/365</f>
        <v>1.9945205479452055</v>
      </c>
      <c r="J104" s="36">
        <f ca="1">ROUNDUP(IF(staff[[#This Row],[Tenure]]&gt;2,3%,2%)*staff[[#This Row],[Salary]],0)</f>
        <v>1568</v>
      </c>
      <c r="K104" s="40">
        <f>_xlfn.XLOOKUP(staff[[#This Row],[Rating]],Rating!$B$4:$B$8,Rating!$C$4:$C$8)</f>
        <v>3</v>
      </c>
      <c r="O104" s="6"/>
    </row>
    <row r="105" spans="1:15" x14ac:dyDescent="0.25">
      <c r="A105" t="s">
        <v>187</v>
      </c>
      <c r="B105" t="s">
        <v>15</v>
      </c>
      <c r="C105" t="s">
        <v>12</v>
      </c>
      <c r="D105">
        <v>36</v>
      </c>
      <c r="E105" s="7">
        <v>44468</v>
      </c>
      <c r="F105" s="38">
        <v>78390</v>
      </c>
      <c r="G105" t="s">
        <v>13</v>
      </c>
      <c r="H105" t="s">
        <v>209</v>
      </c>
      <c r="I105" s="33">
        <f ca="1">(TODAY()-staff[[#This Row],[Date Joined]])/365</f>
        <v>2.1616438356164385</v>
      </c>
      <c r="J105" s="36">
        <f ca="1">ROUNDUP(IF(staff[[#This Row],[Tenure]]&gt;2,3%,2%)*staff[[#This Row],[Salary]],0)</f>
        <v>2352</v>
      </c>
      <c r="K105" s="40">
        <f>_xlfn.XLOOKUP(staff[[#This Row],[Rating]],Rating!$B$4:$B$8,Rating!$C$4:$C$8)</f>
        <v>3</v>
      </c>
      <c r="O105" s="6"/>
    </row>
    <row r="106" spans="1:15" x14ac:dyDescent="0.25">
      <c r="A106" t="s">
        <v>51</v>
      </c>
      <c r="B106" t="s">
        <v>15</v>
      </c>
      <c r="C106" t="s">
        <v>9</v>
      </c>
      <c r="D106">
        <v>36</v>
      </c>
      <c r="E106" s="7">
        <v>44494</v>
      </c>
      <c r="F106" s="38">
        <v>78540</v>
      </c>
      <c r="G106" t="s">
        <v>13</v>
      </c>
      <c r="H106" t="s">
        <v>207</v>
      </c>
      <c r="I106" s="33">
        <f ca="1">(TODAY()-staff[[#This Row],[Date Joined]])/365</f>
        <v>2.0904109589041098</v>
      </c>
      <c r="J106" s="36">
        <f ca="1">ROUNDUP(IF(staff[[#This Row],[Tenure]]&gt;2,3%,2%)*staff[[#This Row],[Salary]],0)</f>
        <v>2357</v>
      </c>
      <c r="K106" s="40">
        <f>_xlfn.XLOOKUP(staff[[#This Row],[Rating]],Rating!$B$4:$B$8,Rating!$C$4:$C$8)</f>
        <v>3</v>
      </c>
      <c r="O106" s="6"/>
    </row>
    <row r="107" spans="1:15" x14ac:dyDescent="0.25">
      <c r="A107" t="s">
        <v>197</v>
      </c>
      <c r="B107" t="s">
        <v>15</v>
      </c>
      <c r="C107" t="s">
        <v>9</v>
      </c>
      <c r="D107">
        <v>36</v>
      </c>
      <c r="E107" s="7">
        <v>44433</v>
      </c>
      <c r="F107" s="38">
        <v>78540</v>
      </c>
      <c r="G107" t="s">
        <v>13</v>
      </c>
      <c r="H107" t="s">
        <v>209</v>
      </c>
      <c r="I107" s="33">
        <f ca="1">(TODAY()-staff[[#This Row],[Date Joined]])/365</f>
        <v>2.2575342465753425</v>
      </c>
      <c r="J107" s="36">
        <f ca="1">ROUNDUP(IF(staff[[#This Row],[Tenure]]&gt;2,3%,2%)*staff[[#This Row],[Salary]],0)</f>
        <v>2357</v>
      </c>
      <c r="K107" s="40">
        <f>_xlfn.XLOOKUP(staff[[#This Row],[Rating]],Rating!$B$4:$B$8,Rating!$C$4:$C$8)</f>
        <v>3</v>
      </c>
      <c r="O107" s="6"/>
    </row>
    <row r="108" spans="1:15" x14ac:dyDescent="0.25">
      <c r="A108" t="s">
        <v>64</v>
      </c>
      <c r="B108" t="s">
        <v>8</v>
      </c>
      <c r="C108" t="s">
        <v>12</v>
      </c>
      <c r="D108">
        <v>20</v>
      </c>
      <c r="E108" s="7">
        <v>44744</v>
      </c>
      <c r="F108" s="38">
        <v>79570</v>
      </c>
      <c r="G108" t="s">
        <v>13</v>
      </c>
      <c r="H108" t="s">
        <v>207</v>
      </c>
      <c r="I108" s="33">
        <f ca="1">(TODAY()-staff[[#This Row],[Date Joined]])/365</f>
        <v>1.4054794520547946</v>
      </c>
      <c r="J108" s="36">
        <f ca="1">ROUNDUP(IF(staff[[#This Row],[Tenure]]&gt;2,3%,2%)*staff[[#This Row],[Salary]],0)</f>
        <v>1592</v>
      </c>
      <c r="K108" s="40">
        <f>_xlfn.XLOOKUP(staff[[#This Row],[Rating]],Rating!$B$4:$B$8,Rating!$C$4:$C$8)</f>
        <v>3</v>
      </c>
      <c r="O108" s="6"/>
    </row>
    <row r="109" spans="1:15" x14ac:dyDescent="0.25">
      <c r="A109" t="s">
        <v>129</v>
      </c>
      <c r="B109" t="s">
        <v>8</v>
      </c>
      <c r="C109" t="s">
        <v>12</v>
      </c>
      <c r="D109">
        <v>20</v>
      </c>
      <c r="E109" s="7">
        <v>44683</v>
      </c>
      <c r="F109" s="38">
        <v>79570</v>
      </c>
      <c r="G109" t="s">
        <v>13</v>
      </c>
      <c r="H109" t="s">
        <v>209</v>
      </c>
      <c r="I109" s="33">
        <f ca="1">(TODAY()-staff[[#This Row],[Date Joined]])/365</f>
        <v>1.5726027397260274</v>
      </c>
      <c r="J109" s="36">
        <f ca="1">ROUNDUP(IF(staff[[#This Row],[Tenure]]&gt;2,3%,2%)*staff[[#This Row],[Salary]],0)</f>
        <v>1592</v>
      </c>
      <c r="K109" s="40">
        <f>_xlfn.XLOOKUP(staff[[#This Row],[Rating]],Rating!$B$4:$B$8,Rating!$C$4:$C$8)</f>
        <v>3</v>
      </c>
      <c r="O109" s="6"/>
    </row>
    <row r="110" spans="1:15" x14ac:dyDescent="0.25">
      <c r="A110" t="s">
        <v>66</v>
      </c>
      <c r="B110" t="s">
        <v>15</v>
      </c>
      <c r="C110" t="s">
        <v>23</v>
      </c>
      <c r="D110">
        <v>25</v>
      </c>
      <c r="E110" s="7">
        <v>44694</v>
      </c>
      <c r="F110" s="38">
        <v>80700</v>
      </c>
      <c r="G110" t="s">
        <v>10</v>
      </c>
      <c r="H110" t="s">
        <v>207</v>
      </c>
      <c r="I110" s="33">
        <f ca="1">(TODAY()-staff[[#This Row],[Date Joined]])/365</f>
        <v>1.5424657534246575</v>
      </c>
      <c r="J110" s="36">
        <f ca="1">ROUNDUP(IF(staff[[#This Row],[Tenure]]&gt;2,3%,2%)*staff[[#This Row],[Salary]],0)</f>
        <v>1614</v>
      </c>
      <c r="K110" s="40">
        <f>_xlfn.XLOOKUP(staff[[#This Row],[Rating]],Rating!$B$4:$B$8,Rating!$C$4:$C$8)</f>
        <v>4</v>
      </c>
      <c r="O110" s="6"/>
    </row>
    <row r="111" spans="1:15" x14ac:dyDescent="0.25">
      <c r="A111" t="s">
        <v>144</v>
      </c>
      <c r="B111" t="s">
        <v>15</v>
      </c>
      <c r="C111" t="s">
        <v>23</v>
      </c>
      <c r="D111">
        <v>25</v>
      </c>
      <c r="E111" s="7">
        <v>44633</v>
      </c>
      <c r="F111" s="38">
        <v>80700</v>
      </c>
      <c r="G111" t="s">
        <v>10</v>
      </c>
      <c r="H111" t="s">
        <v>209</v>
      </c>
      <c r="I111" s="33">
        <f ca="1">(TODAY()-staff[[#This Row],[Date Joined]])/365</f>
        <v>1.7095890410958905</v>
      </c>
      <c r="J111" s="36">
        <f ca="1">ROUNDUP(IF(staff[[#This Row],[Tenure]]&gt;2,3%,2%)*staff[[#This Row],[Salary]],0)</f>
        <v>1614</v>
      </c>
      <c r="K111" s="40">
        <f>_xlfn.XLOOKUP(staff[[#This Row],[Rating]],Rating!$B$4:$B$8,Rating!$C$4:$C$8)</f>
        <v>4</v>
      </c>
      <c r="O111" s="6"/>
    </row>
    <row r="112" spans="1:15" x14ac:dyDescent="0.25">
      <c r="A112" t="s">
        <v>61</v>
      </c>
      <c r="B112" t="s">
        <v>15</v>
      </c>
      <c r="C112" t="s">
        <v>23</v>
      </c>
      <c r="D112">
        <v>27</v>
      </c>
      <c r="E112" s="7">
        <v>44686</v>
      </c>
      <c r="F112" s="38">
        <v>83750</v>
      </c>
      <c r="G112" t="s">
        <v>13</v>
      </c>
      <c r="H112" t="s">
        <v>207</v>
      </c>
      <c r="I112" s="33">
        <f ca="1">(TODAY()-staff[[#This Row],[Date Joined]])/365</f>
        <v>1.5643835616438355</v>
      </c>
      <c r="J112" s="36">
        <f ca="1">ROUNDUP(IF(staff[[#This Row],[Tenure]]&gt;2,3%,2%)*staff[[#This Row],[Salary]],0)</f>
        <v>1675</v>
      </c>
      <c r="K112" s="40">
        <f>_xlfn.XLOOKUP(staff[[#This Row],[Rating]],Rating!$B$4:$B$8,Rating!$C$4:$C$8)</f>
        <v>3</v>
      </c>
      <c r="O112" s="6"/>
    </row>
    <row r="113" spans="1:15" x14ac:dyDescent="0.25">
      <c r="A113" t="s">
        <v>169</v>
      </c>
      <c r="B113" t="s">
        <v>15</v>
      </c>
      <c r="C113" t="s">
        <v>23</v>
      </c>
      <c r="D113">
        <v>27</v>
      </c>
      <c r="E113" s="7">
        <v>44625</v>
      </c>
      <c r="F113" s="38">
        <v>83750</v>
      </c>
      <c r="G113" t="s">
        <v>13</v>
      </c>
      <c r="H113" t="s">
        <v>209</v>
      </c>
      <c r="I113" s="33">
        <f ca="1">(TODAY()-staff[[#This Row],[Date Joined]])/365</f>
        <v>1.7315068493150685</v>
      </c>
      <c r="J113" s="36">
        <f ca="1">ROUNDUP(IF(staff[[#This Row],[Tenure]]&gt;2,3%,2%)*staff[[#This Row],[Salary]],0)</f>
        <v>1675</v>
      </c>
      <c r="K113" s="40">
        <f>_xlfn.XLOOKUP(staff[[#This Row],[Rating]],Rating!$B$4:$B$8,Rating!$C$4:$C$8)</f>
        <v>3</v>
      </c>
      <c r="O113" s="6"/>
    </row>
    <row r="114" spans="1:15" x14ac:dyDescent="0.25">
      <c r="A114" t="s">
        <v>100</v>
      </c>
      <c r="B114" t="s">
        <v>15</v>
      </c>
      <c r="C114" t="s">
        <v>17</v>
      </c>
      <c r="D114">
        <v>34</v>
      </c>
      <c r="E114" s="7">
        <v>44459</v>
      </c>
      <c r="F114" s="38">
        <v>85000</v>
      </c>
      <c r="G114" t="s">
        <v>13</v>
      </c>
      <c r="H114" t="s">
        <v>207</v>
      </c>
      <c r="I114" s="33">
        <f ca="1">(TODAY()-staff[[#This Row],[Date Joined]])/365</f>
        <v>2.1863013698630138</v>
      </c>
      <c r="J114" s="36">
        <f ca="1">ROUNDUP(IF(staff[[#This Row],[Tenure]]&gt;2,3%,2%)*staff[[#This Row],[Salary]],0)</f>
        <v>2550</v>
      </c>
      <c r="K114" s="40">
        <f>_xlfn.XLOOKUP(staff[[#This Row],[Rating]],Rating!$B$4:$B$8,Rating!$C$4:$C$8)</f>
        <v>3</v>
      </c>
      <c r="O114" s="6"/>
    </row>
    <row r="115" spans="1:15" x14ac:dyDescent="0.25">
      <c r="A115" t="s">
        <v>153</v>
      </c>
      <c r="B115" t="s">
        <v>15</v>
      </c>
      <c r="C115" t="s">
        <v>17</v>
      </c>
      <c r="D115">
        <v>34</v>
      </c>
      <c r="E115" s="7">
        <v>44397</v>
      </c>
      <c r="F115" s="38">
        <v>85000</v>
      </c>
      <c r="G115" t="s">
        <v>13</v>
      </c>
      <c r="H115" t="s">
        <v>209</v>
      </c>
      <c r="I115" s="33">
        <f ca="1">(TODAY()-staff[[#This Row],[Date Joined]])/365</f>
        <v>2.3561643835616439</v>
      </c>
      <c r="J115" s="36">
        <f ca="1">ROUNDUP(IF(staff[[#This Row],[Tenure]]&gt;2,3%,2%)*staff[[#This Row],[Salary]],0)</f>
        <v>2550</v>
      </c>
      <c r="K115" s="40">
        <f>_xlfn.XLOOKUP(staff[[#This Row],[Rating]],Rating!$B$4:$B$8,Rating!$C$4:$C$8)</f>
        <v>3</v>
      </c>
      <c r="O115" s="6"/>
    </row>
    <row r="116" spans="1:15" x14ac:dyDescent="0.25">
      <c r="A116" t="s">
        <v>60</v>
      </c>
      <c r="B116" t="s">
        <v>15</v>
      </c>
      <c r="C116" t="s">
        <v>17</v>
      </c>
      <c r="D116">
        <v>33</v>
      </c>
      <c r="E116" s="7">
        <v>44809</v>
      </c>
      <c r="F116" s="38">
        <v>86570</v>
      </c>
      <c r="G116" t="s">
        <v>13</v>
      </c>
      <c r="H116" t="s">
        <v>207</v>
      </c>
      <c r="I116" s="33">
        <f ca="1">(TODAY()-staff[[#This Row],[Date Joined]])/365</f>
        <v>1.2273972602739727</v>
      </c>
      <c r="J116" s="36">
        <f ca="1">ROUNDUP(IF(staff[[#This Row],[Tenure]]&gt;2,3%,2%)*staff[[#This Row],[Salary]],0)</f>
        <v>1732</v>
      </c>
      <c r="K116" s="40">
        <f>_xlfn.XLOOKUP(staff[[#This Row],[Rating]],Rating!$B$4:$B$8,Rating!$C$4:$C$8)</f>
        <v>3</v>
      </c>
      <c r="O116" s="6"/>
    </row>
    <row r="117" spans="1:15" x14ac:dyDescent="0.25">
      <c r="A117" t="s">
        <v>179</v>
      </c>
      <c r="B117" t="s">
        <v>15</v>
      </c>
      <c r="C117" t="s">
        <v>17</v>
      </c>
      <c r="D117">
        <v>33</v>
      </c>
      <c r="E117" s="7">
        <v>44747</v>
      </c>
      <c r="F117" s="38">
        <v>86570</v>
      </c>
      <c r="G117" t="s">
        <v>13</v>
      </c>
      <c r="H117" t="s">
        <v>209</v>
      </c>
      <c r="I117" s="33">
        <f ca="1">(TODAY()-staff[[#This Row],[Date Joined]])/365</f>
        <v>1.3972602739726028</v>
      </c>
      <c r="J117" s="36">
        <f ca="1">ROUNDUP(IF(staff[[#This Row],[Tenure]]&gt;2,3%,2%)*staff[[#This Row],[Salary]],0)</f>
        <v>1732</v>
      </c>
      <c r="K117" s="40">
        <f>_xlfn.XLOOKUP(staff[[#This Row],[Rating]],Rating!$B$4:$B$8,Rating!$C$4:$C$8)</f>
        <v>3</v>
      </c>
      <c r="O117" s="6"/>
    </row>
    <row r="118" spans="1:15" x14ac:dyDescent="0.25">
      <c r="A118" t="s">
        <v>44</v>
      </c>
      <c r="B118" t="s">
        <v>15</v>
      </c>
      <c r="C118" t="s">
        <v>23</v>
      </c>
      <c r="D118">
        <v>40</v>
      </c>
      <c r="E118" s="7">
        <v>44337</v>
      </c>
      <c r="F118" s="38">
        <v>87620</v>
      </c>
      <c r="G118" t="s">
        <v>13</v>
      </c>
      <c r="H118" t="s">
        <v>207</v>
      </c>
      <c r="I118" s="33">
        <f ca="1">(TODAY()-staff[[#This Row],[Date Joined]])/365</f>
        <v>2.5205479452054793</v>
      </c>
      <c r="J118" s="36">
        <f ca="1">ROUNDUP(IF(staff[[#This Row],[Tenure]]&gt;2,3%,2%)*staff[[#This Row],[Salary]],0)</f>
        <v>2629</v>
      </c>
      <c r="K118" s="40">
        <f>_xlfn.XLOOKUP(staff[[#This Row],[Rating]],Rating!$B$4:$B$8,Rating!$C$4:$C$8)</f>
        <v>3</v>
      </c>
      <c r="O118" s="6"/>
    </row>
    <row r="119" spans="1:15" x14ac:dyDescent="0.25">
      <c r="A119" t="s">
        <v>170</v>
      </c>
      <c r="B119" t="s">
        <v>15</v>
      </c>
      <c r="C119" t="s">
        <v>23</v>
      </c>
      <c r="D119">
        <v>40</v>
      </c>
      <c r="E119" s="7">
        <v>44276</v>
      </c>
      <c r="F119" s="38">
        <v>87620</v>
      </c>
      <c r="G119" t="s">
        <v>13</v>
      </c>
      <c r="H119" t="s">
        <v>209</v>
      </c>
      <c r="I119" s="33">
        <f ca="1">(TODAY()-staff[[#This Row],[Date Joined]])/365</f>
        <v>2.6876712328767125</v>
      </c>
      <c r="J119" s="36">
        <f ca="1">ROUNDUP(IF(staff[[#This Row],[Tenure]]&gt;2,3%,2%)*staff[[#This Row],[Salary]],0)</f>
        <v>2629</v>
      </c>
      <c r="K119" s="40">
        <f>_xlfn.XLOOKUP(staff[[#This Row],[Rating]],Rating!$B$4:$B$8,Rating!$C$4:$C$8)</f>
        <v>3</v>
      </c>
      <c r="O119" s="6"/>
    </row>
    <row r="120" spans="1:15" x14ac:dyDescent="0.25">
      <c r="A120" t="s">
        <v>90</v>
      </c>
      <c r="B120" t="s">
        <v>8</v>
      </c>
      <c r="C120" t="s">
        <v>23</v>
      </c>
      <c r="D120">
        <v>37</v>
      </c>
      <c r="E120" s="7">
        <v>44338</v>
      </c>
      <c r="F120" s="38">
        <v>88050</v>
      </c>
      <c r="G120" t="s">
        <v>18</v>
      </c>
      <c r="H120" t="s">
        <v>207</v>
      </c>
      <c r="I120" s="33">
        <f ca="1">(TODAY()-staff[[#This Row],[Date Joined]])/365</f>
        <v>2.5178082191780824</v>
      </c>
      <c r="J120" s="36">
        <f ca="1">ROUNDUP(IF(staff[[#This Row],[Tenure]]&gt;2,3%,2%)*staff[[#This Row],[Salary]],0)</f>
        <v>2642</v>
      </c>
      <c r="K120" s="40">
        <f>_xlfn.XLOOKUP(staff[[#This Row],[Rating]],Rating!$B$4:$B$8,Rating!$C$4:$C$8)</f>
        <v>2</v>
      </c>
      <c r="O120" s="6"/>
    </row>
    <row r="121" spans="1:15" x14ac:dyDescent="0.25">
      <c r="A121" t="s">
        <v>132</v>
      </c>
      <c r="B121" t="s">
        <v>8</v>
      </c>
      <c r="C121" t="s">
        <v>23</v>
      </c>
      <c r="D121">
        <v>37</v>
      </c>
      <c r="E121" s="7">
        <v>44277</v>
      </c>
      <c r="F121" s="38">
        <v>88050</v>
      </c>
      <c r="G121" t="s">
        <v>18</v>
      </c>
      <c r="H121" t="s">
        <v>209</v>
      </c>
      <c r="I121" s="33">
        <f ca="1">(TODAY()-staff[[#This Row],[Date Joined]])/365</f>
        <v>2.6849315068493151</v>
      </c>
      <c r="J121" s="36">
        <f ca="1">ROUNDUP(IF(staff[[#This Row],[Tenure]]&gt;2,3%,2%)*staff[[#This Row],[Salary]],0)</f>
        <v>2642</v>
      </c>
      <c r="K121" s="40">
        <f>_xlfn.XLOOKUP(staff[[#This Row],[Rating]],Rating!$B$4:$B$8,Rating!$C$4:$C$8)</f>
        <v>2</v>
      </c>
      <c r="O121" s="6"/>
    </row>
    <row r="122" spans="1:15" x14ac:dyDescent="0.25">
      <c r="A122" t="s">
        <v>83</v>
      </c>
      <c r="B122" t="s">
        <v>221</v>
      </c>
      <c r="C122" t="s">
        <v>23</v>
      </c>
      <c r="D122">
        <v>26</v>
      </c>
      <c r="E122" s="7">
        <v>44271</v>
      </c>
      <c r="F122" s="38">
        <v>90700</v>
      </c>
      <c r="G122" t="s">
        <v>10</v>
      </c>
      <c r="H122" t="s">
        <v>207</v>
      </c>
      <c r="I122" s="33">
        <f ca="1">(TODAY()-staff[[#This Row],[Date Joined]])/365</f>
        <v>2.7013698630136984</v>
      </c>
      <c r="J122" s="36">
        <f ca="1">ROUNDUP(IF(staff[[#This Row],[Tenure]]&gt;2,3%,2%)*staff[[#This Row],[Salary]],0)</f>
        <v>2721</v>
      </c>
      <c r="K122" s="40">
        <f>_xlfn.XLOOKUP(staff[[#This Row],[Rating]],Rating!$B$4:$B$8,Rating!$C$4:$C$8)</f>
        <v>4</v>
      </c>
      <c r="O122" s="6"/>
    </row>
    <row r="123" spans="1:15" x14ac:dyDescent="0.25">
      <c r="A123" t="s">
        <v>162</v>
      </c>
      <c r="B123" t="s">
        <v>221</v>
      </c>
      <c r="C123" t="s">
        <v>23</v>
      </c>
      <c r="D123">
        <v>27</v>
      </c>
      <c r="E123" s="7">
        <v>44212</v>
      </c>
      <c r="F123" s="38">
        <v>90700</v>
      </c>
      <c r="G123" t="s">
        <v>10</v>
      </c>
      <c r="H123" t="s">
        <v>209</v>
      </c>
      <c r="I123" s="33">
        <f ca="1">(TODAY()-staff[[#This Row],[Date Joined]])/365</f>
        <v>2.8630136986301369</v>
      </c>
      <c r="J123" s="36">
        <f ca="1">ROUNDUP(IF(staff[[#This Row],[Tenure]]&gt;2,3%,2%)*staff[[#This Row],[Salary]],0)</f>
        <v>2721</v>
      </c>
      <c r="K123" s="40">
        <f>_xlfn.XLOOKUP(staff[[#This Row],[Rating]],Rating!$B$4:$B$8,Rating!$C$4:$C$8)</f>
        <v>4</v>
      </c>
      <c r="O123" s="6"/>
    </row>
    <row r="124" spans="1:15" x14ac:dyDescent="0.25">
      <c r="A124" t="s">
        <v>80</v>
      </c>
      <c r="B124" t="s">
        <v>221</v>
      </c>
      <c r="C124" t="s">
        <v>23</v>
      </c>
      <c r="D124">
        <v>32</v>
      </c>
      <c r="E124" s="7">
        <v>44774</v>
      </c>
      <c r="F124" s="38">
        <v>91310</v>
      </c>
      <c r="G124" t="s">
        <v>13</v>
      </c>
      <c r="H124" t="s">
        <v>207</v>
      </c>
      <c r="I124" s="33">
        <f ca="1">(TODAY()-staff[[#This Row],[Date Joined]])/365</f>
        <v>1.3232876712328767</v>
      </c>
      <c r="J124" s="36">
        <f ca="1">ROUNDUP(IF(staff[[#This Row],[Tenure]]&gt;2,3%,2%)*staff[[#This Row],[Salary]],0)</f>
        <v>1827</v>
      </c>
      <c r="K124" s="40">
        <f>_xlfn.XLOOKUP(staff[[#This Row],[Rating]],Rating!$B$4:$B$8,Rating!$C$4:$C$8)</f>
        <v>3</v>
      </c>
      <c r="O124" s="6"/>
    </row>
    <row r="125" spans="1:15" x14ac:dyDescent="0.25">
      <c r="A125" t="s">
        <v>118</v>
      </c>
      <c r="B125" t="s">
        <v>221</v>
      </c>
      <c r="C125" t="s">
        <v>23</v>
      </c>
      <c r="D125">
        <v>32</v>
      </c>
      <c r="E125" s="7">
        <v>44713</v>
      </c>
      <c r="F125" s="38">
        <v>91310</v>
      </c>
      <c r="G125" t="s">
        <v>13</v>
      </c>
      <c r="H125" t="s">
        <v>209</v>
      </c>
      <c r="I125" s="33">
        <f ca="1">(TODAY()-staff[[#This Row],[Date Joined]])/365</f>
        <v>1.4904109589041097</v>
      </c>
      <c r="J125" s="36">
        <f ca="1">ROUNDUP(IF(staff[[#This Row],[Tenure]]&gt;2,3%,2%)*staff[[#This Row],[Salary]],0)</f>
        <v>1827</v>
      </c>
      <c r="K125" s="40">
        <f>_xlfn.XLOOKUP(staff[[#This Row],[Rating]],Rating!$B$4:$B$8,Rating!$C$4:$C$8)</f>
        <v>3</v>
      </c>
      <c r="O125" s="6"/>
    </row>
    <row r="126" spans="1:15" x14ac:dyDescent="0.25">
      <c r="A126" t="s">
        <v>96</v>
      </c>
      <c r="B126" t="s">
        <v>8</v>
      </c>
      <c r="C126" t="s">
        <v>17</v>
      </c>
      <c r="D126">
        <v>27</v>
      </c>
      <c r="E126" s="7">
        <v>44236</v>
      </c>
      <c r="F126" s="38">
        <v>91650</v>
      </c>
      <c r="G126" t="s">
        <v>10</v>
      </c>
      <c r="H126" t="s">
        <v>207</v>
      </c>
      <c r="I126" s="33">
        <f ca="1">(TODAY()-staff[[#This Row],[Date Joined]])/365</f>
        <v>2.7972602739726029</v>
      </c>
      <c r="J126" s="36">
        <f ca="1">ROUNDUP(IF(staff[[#This Row],[Tenure]]&gt;2,3%,2%)*staff[[#This Row],[Salary]],0)</f>
        <v>2750</v>
      </c>
      <c r="K126" s="40">
        <f>_xlfn.XLOOKUP(staff[[#This Row],[Rating]],Rating!$B$4:$B$8,Rating!$C$4:$C$8)</f>
        <v>4</v>
      </c>
      <c r="O126" s="6"/>
    </row>
    <row r="127" spans="1:15" x14ac:dyDescent="0.25">
      <c r="A127" t="s">
        <v>159</v>
      </c>
      <c r="B127" t="s">
        <v>8</v>
      </c>
      <c r="C127" t="s">
        <v>17</v>
      </c>
      <c r="D127">
        <v>27</v>
      </c>
      <c r="E127" s="7">
        <v>44174</v>
      </c>
      <c r="F127" s="38">
        <v>91650</v>
      </c>
      <c r="G127" t="s">
        <v>10</v>
      </c>
      <c r="H127" t="s">
        <v>209</v>
      </c>
      <c r="I127" s="33">
        <f ca="1">(TODAY()-staff[[#This Row],[Date Joined]])/365</f>
        <v>2.967123287671233</v>
      </c>
      <c r="J127" s="36">
        <f ca="1">ROUNDUP(IF(staff[[#This Row],[Tenure]]&gt;2,3%,2%)*staff[[#This Row],[Salary]],0)</f>
        <v>2750</v>
      </c>
      <c r="K127" s="40">
        <f>_xlfn.XLOOKUP(staff[[#This Row],[Rating]],Rating!$B$4:$B$8,Rating!$C$4:$C$8)</f>
        <v>4</v>
      </c>
      <c r="O127" s="6"/>
    </row>
    <row r="128" spans="1:15" x14ac:dyDescent="0.25">
      <c r="A128" t="s">
        <v>62</v>
      </c>
      <c r="B128" t="s">
        <v>15</v>
      </c>
      <c r="C128" t="s">
        <v>17</v>
      </c>
      <c r="D128">
        <v>34</v>
      </c>
      <c r="E128" s="7">
        <v>44445</v>
      </c>
      <c r="F128" s="38">
        <v>92450</v>
      </c>
      <c r="G128" t="s">
        <v>13</v>
      </c>
      <c r="H128" t="s">
        <v>207</v>
      </c>
      <c r="I128" s="33">
        <f ca="1">(TODAY()-staff[[#This Row],[Date Joined]])/365</f>
        <v>2.2246575342465755</v>
      </c>
      <c r="J128" s="36">
        <f ca="1">ROUNDUP(IF(staff[[#This Row],[Tenure]]&gt;2,3%,2%)*staff[[#This Row],[Salary]],0)</f>
        <v>2774</v>
      </c>
      <c r="K128" s="40">
        <f>_xlfn.XLOOKUP(staff[[#This Row],[Rating]],Rating!$B$4:$B$8,Rating!$C$4:$C$8)</f>
        <v>3</v>
      </c>
      <c r="O128" s="6"/>
    </row>
    <row r="129" spans="1:15" x14ac:dyDescent="0.25">
      <c r="A129" t="s">
        <v>167</v>
      </c>
      <c r="B129" t="s">
        <v>15</v>
      </c>
      <c r="C129" t="s">
        <v>17</v>
      </c>
      <c r="D129">
        <v>34</v>
      </c>
      <c r="E129" s="7">
        <v>44383</v>
      </c>
      <c r="F129" s="38">
        <v>92450</v>
      </c>
      <c r="G129" t="s">
        <v>13</v>
      </c>
      <c r="H129" t="s">
        <v>209</v>
      </c>
      <c r="I129" s="33">
        <f ca="1">(TODAY()-staff[[#This Row],[Date Joined]])/365</f>
        <v>2.3945205479452056</v>
      </c>
      <c r="J129" s="36">
        <f ca="1">ROUNDUP(IF(staff[[#This Row],[Tenure]]&gt;2,3%,2%)*staff[[#This Row],[Salary]],0)</f>
        <v>2774</v>
      </c>
      <c r="K129" s="40">
        <f>_xlfn.XLOOKUP(staff[[#This Row],[Rating]],Rating!$B$4:$B$8,Rating!$C$4:$C$8)</f>
        <v>3</v>
      </c>
      <c r="O129" s="6"/>
    </row>
    <row r="130" spans="1:15" x14ac:dyDescent="0.25">
      <c r="A130" t="s">
        <v>85</v>
      </c>
      <c r="B130" t="s">
        <v>15</v>
      </c>
      <c r="C130" t="s">
        <v>9</v>
      </c>
      <c r="D130">
        <v>25</v>
      </c>
      <c r="E130" s="7">
        <v>44205</v>
      </c>
      <c r="F130" s="38">
        <v>92700</v>
      </c>
      <c r="G130" t="s">
        <v>13</v>
      </c>
      <c r="H130" t="s">
        <v>207</v>
      </c>
      <c r="I130" s="33">
        <f ca="1">(TODAY()-staff[[#This Row],[Date Joined]])/365</f>
        <v>2.882191780821918</v>
      </c>
      <c r="J130" s="36">
        <f ca="1">ROUNDUP(IF(staff[[#This Row],[Tenure]]&gt;2,3%,2%)*staff[[#This Row],[Salary]],0)</f>
        <v>2781</v>
      </c>
      <c r="K130" s="40">
        <f>_xlfn.XLOOKUP(staff[[#This Row],[Rating]],Rating!$B$4:$B$8,Rating!$C$4:$C$8)</f>
        <v>3</v>
      </c>
      <c r="O130" s="6"/>
    </row>
    <row r="131" spans="1:15" x14ac:dyDescent="0.25">
      <c r="A131" t="s">
        <v>117</v>
      </c>
      <c r="B131" t="s">
        <v>15</v>
      </c>
      <c r="C131" t="s">
        <v>9</v>
      </c>
      <c r="D131">
        <v>25</v>
      </c>
      <c r="E131" s="7">
        <v>44144</v>
      </c>
      <c r="F131" s="38">
        <v>92700</v>
      </c>
      <c r="G131" t="s">
        <v>13</v>
      </c>
      <c r="H131" t="s">
        <v>209</v>
      </c>
      <c r="I131" s="33">
        <f ca="1">(TODAY()-staff[[#This Row],[Date Joined]])/365</f>
        <v>3.0493150684931507</v>
      </c>
      <c r="J131" s="36">
        <f ca="1">ROUNDUP(IF(staff[[#This Row],[Tenure]]&gt;2,3%,2%)*staff[[#This Row],[Salary]],0)</f>
        <v>2781</v>
      </c>
      <c r="K131" s="40">
        <f>_xlfn.XLOOKUP(staff[[#This Row],[Rating]],Rating!$B$4:$B$8,Rating!$C$4:$C$8)</f>
        <v>3</v>
      </c>
      <c r="O131" s="6"/>
    </row>
    <row r="132" spans="1:15" x14ac:dyDescent="0.25">
      <c r="A132" t="s">
        <v>55</v>
      </c>
      <c r="B132" t="s">
        <v>15</v>
      </c>
      <c r="C132" t="s">
        <v>23</v>
      </c>
      <c r="D132">
        <v>33</v>
      </c>
      <c r="E132" s="7">
        <v>44190</v>
      </c>
      <c r="F132" s="38">
        <v>96140</v>
      </c>
      <c r="G132" t="s">
        <v>13</v>
      </c>
      <c r="H132" t="s">
        <v>207</v>
      </c>
      <c r="I132" s="33">
        <f ca="1">(TODAY()-staff[[#This Row],[Date Joined]])/365</f>
        <v>2.9232876712328766</v>
      </c>
      <c r="J132" s="36">
        <f ca="1">ROUNDUP(IF(staff[[#This Row],[Tenure]]&gt;2,3%,2%)*staff[[#This Row],[Salary]],0)</f>
        <v>2885</v>
      </c>
      <c r="K132" s="40">
        <f>_xlfn.XLOOKUP(staff[[#This Row],[Rating]],Rating!$B$4:$B$8,Rating!$C$4:$C$8)</f>
        <v>3</v>
      </c>
      <c r="O132" s="6"/>
    </row>
    <row r="133" spans="1:15" x14ac:dyDescent="0.25">
      <c r="A133" t="s">
        <v>202</v>
      </c>
      <c r="B133" t="s">
        <v>15</v>
      </c>
      <c r="C133" t="s">
        <v>23</v>
      </c>
      <c r="D133">
        <v>33</v>
      </c>
      <c r="E133" s="7">
        <v>44129</v>
      </c>
      <c r="F133" s="38">
        <v>96140</v>
      </c>
      <c r="G133" t="s">
        <v>13</v>
      </c>
      <c r="H133" t="s">
        <v>209</v>
      </c>
      <c r="I133" s="33">
        <f ca="1">(TODAY()-staff[[#This Row],[Date Joined]])/365</f>
        <v>3.0904109589041098</v>
      </c>
      <c r="J133" s="36">
        <f ca="1">ROUNDUP(IF(staff[[#This Row],[Tenure]]&gt;2,3%,2%)*staff[[#This Row],[Salary]],0)</f>
        <v>2885</v>
      </c>
      <c r="K133" s="40">
        <f>_xlfn.XLOOKUP(staff[[#This Row],[Rating]],Rating!$B$4:$B$8,Rating!$C$4:$C$8)</f>
        <v>3</v>
      </c>
      <c r="O133" s="6"/>
    </row>
    <row r="134" spans="1:15" x14ac:dyDescent="0.25">
      <c r="A134" t="s">
        <v>99</v>
      </c>
      <c r="B134" t="s">
        <v>8</v>
      </c>
      <c r="C134" t="s">
        <v>17</v>
      </c>
      <c r="D134">
        <v>30</v>
      </c>
      <c r="E134" s="7">
        <v>44606</v>
      </c>
      <c r="F134" s="38">
        <v>96800</v>
      </c>
      <c r="G134" t="s">
        <v>13</v>
      </c>
      <c r="H134" t="s">
        <v>207</v>
      </c>
      <c r="I134" s="33">
        <f ca="1">(TODAY()-staff[[#This Row],[Date Joined]])/365</f>
        <v>1.7835616438356163</v>
      </c>
      <c r="J134" s="36">
        <f ca="1">ROUNDUP(IF(staff[[#This Row],[Tenure]]&gt;2,3%,2%)*staff[[#This Row],[Salary]],0)</f>
        <v>1936</v>
      </c>
      <c r="K134" s="40">
        <f>_xlfn.XLOOKUP(staff[[#This Row],[Rating]],Rating!$B$4:$B$8,Rating!$C$4:$C$8)</f>
        <v>3</v>
      </c>
      <c r="O134" s="6"/>
    </row>
    <row r="135" spans="1:15" x14ac:dyDescent="0.25">
      <c r="A135" t="s">
        <v>122</v>
      </c>
      <c r="B135" t="s">
        <v>8</v>
      </c>
      <c r="C135" t="s">
        <v>17</v>
      </c>
      <c r="D135">
        <v>30</v>
      </c>
      <c r="E135" s="7">
        <v>44544</v>
      </c>
      <c r="F135" s="38">
        <v>96800</v>
      </c>
      <c r="G135" t="s">
        <v>13</v>
      </c>
      <c r="H135" t="s">
        <v>209</v>
      </c>
      <c r="I135" s="33">
        <f ca="1">(TODAY()-staff[[#This Row],[Date Joined]])/365</f>
        <v>1.9534246575342467</v>
      </c>
      <c r="J135" s="36">
        <f ca="1">ROUNDUP(IF(staff[[#This Row],[Tenure]]&gt;2,3%,2%)*staff[[#This Row],[Salary]],0)</f>
        <v>1936</v>
      </c>
      <c r="K135" s="40">
        <f>_xlfn.XLOOKUP(staff[[#This Row],[Rating]],Rating!$B$4:$B$8,Rating!$C$4:$C$8)</f>
        <v>3</v>
      </c>
      <c r="O135" s="6"/>
    </row>
    <row r="136" spans="1:15" x14ac:dyDescent="0.25">
      <c r="A136" t="s">
        <v>32</v>
      </c>
      <c r="B136" t="s">
        <v>8</v>
      </c>
      <c r="C136" t="s">
        <v>12</v>
      </c>
      <c r="D136">
        <v>40</v>
      </c>
      <c r="E136" s="7">
        <v>44263</v>
      </c>
      <c r="F136" s="38">
        <v>99750</v>
      </c>
      <c r="G136" t="s">
        <v>13</v>
      </c>
      <c r="H136" t="s">
        <v>207</v>
      </c>
      <c r="I136" s="33">
        <f ca="1">(TODAY()-staff[[#This Row],[Date Joined]])/365</f>
        <v>2.7232876712328768</v>
      </c>
      <c r="J136" s="36">
        <f ca="1">ROUNDUP(IF(staff[[#This Row],[Tenure]]&gt;2,3%,2%)*staff[[#This Row],[Salary]],0)</f>
        <v>2993</v>
      </c>
      <c r="K136" s="40">
        <f>_xlfn.XLOOKUP(staff[[#This Row],[Rating]],Rating!$B$4:$B$8,Rating!$C$4:$C$8)</f>
        <v>3</v>
      </c>
      <c r="O136" s="6"/>
    </row>
    <row r="137" spans="1:15" x14ac:dyDescent="0.25">
      <c r="A137" t="s">
        <v>175</v>
      </c>
      <c r="B137" t="s">
        <v>8</v>
      </c>
      <c r="C137" t="s">
        <v>12</v>
      </c>
      <c r="D137">
        <v>40</v>
      </c>
      <c r="E137" s="7">
        <v>44204</v>
      </c>
      <c r="F137" s="38">
        <v>99750</v>
      </c>
      <c r="G137" t="s">
        <v>13</v>
      </c>
      <c r="H137" t="s">
        <v>209</v>
      </c>
      <c r="I137" s="33">
        <f ca="1">(TODAY()-staff[[#This Row],[Date Joined]])/365</f>
        <v>2.8849315068493149</v>
      </c>
      <c r="J137" s="36">
        <f ca="1">ROUNDUP(IF(staff[[#This Row],[Tenure]]&gt;2,3%,2%)*staff[[#This Row],[Salary]],0)</f>
        <v>2993</v>
      </c>
      <c r="K137" s="40">
        <f>_xlfn.XLOOKUP(staff[[#This Row],[Rating]],Rating!$B$4:$B$8,Rating!$C$4:$C$8)</f>
        <v>3</v>
      </c>
      <c r="O137" s="6"/>
    </row>
    <row r="138" spans="1:15" x14ac:dyDescent="0.25">
      <c r="A138" t="s">
        <v>54</v>
      </c>
      <c r="B138" t="s">
        <v>15</v>
      </c>
      <c r="C138" t="s">
        <v>12</v>
      </c>
      <c r="D138">
        <v>28</v>
      </c>
      <c r="E138" s="7">
        <v>44630</v>
      </c>
      <c r="F138" s="38">
        <v>99970</v>
      </c>
      <c r="G138" t="s">
        <v>13</v>
      </c>
      <c r="H138" t="s">
        <v>207</v>
      </c>
      <c r="I138" s="33">
        <f ca="1">(TODAY()-staff[[#This Row],[Date Joined]])/365</f>
        <v>1.7178082191780821</v>
      </c>
      <c r="J138" s="36">
        <f ca="1">ROUNDUP(IF(staff[[#This Row],[Tenure]]&gt;2,3%,2%)*staff[[#This Row],[Salary]],0)</f>
        <v>2000</v>
      </c>
      <c r="K138" s="40">
        <f>_xlfn.XLOOKUP(staff[[#This Row],[Rating]],Rating!$B$4:$B$8,Rating!$C$4:$C$8)</f>
        <v>3</v>
      </c>
      <c r="O138" s="6"/>
    </row>
    <row r="139" spans="1:15" x14ac:dyDescent="0.25">
      <c r="A139" t="s">
        <v>143</v>
      </c>
      <c r="B139" t="s">
        <v>15</v>
      </c>
      <c r="C139" t="s">
        <v>12</v>
      </c>
      <c r="D139">
        <v>28</v>
      </c>
      <c r="E139" s="7">
        <v>44571</v>
      </c>
      <c r="F139" s="38">
        <v>99970</v>
      </c>
      <c r="G139" t="s">
        <v>13</v>
      </c>
      <c r="H139" t="s">
        <v>209</v>
      </c>
      <c r="I139" s="33">
        <f ca="1">(TODAY()-staff[[#This Row],[Date Joined]])/365</f>
        <v>1.8794520547945206</v>
      </c>
      <c r="J139" s="36">
        <f ca="1">ROUNDUP(IF(staff[[#This Row],[Tenure]]&gt;2,3%,2%)*staff[[#This Row],[Salary]],0)</f>
        <v>2000</v>
      </c>
      <c r="K139" s="40">
        <f>_xlfn.XLOOKUP(staff[[#This Row],[Rating]],Rating!$B$4:$B$8,Rating!$C$4:$C$8)</f>
        <v>3</v>
      </c>
      <c r="O139" s="6"/>
    </row>
    <row r="140" spans="1:15" x14ac:dyDescent="0.25">
      <c r="A140" t="s">
        <v>91</v>
      </c>
      <c r="B140" t="s">
        <v>8</v>
      </c>
      <c r="C140" t="s">
        <v>23</v>
      </c>
      <c r="D140">
        <v>24</v>
      </c>
      <c r="E140" s="7">
        <v>44686</v>
      </c>
      <c r="F140" s="38">
        <v>100420</v>
      </c>
      <c r="G140" t="s">
        <v>13</v>
      </c>
      <c r="H140" t="s">
        <v>207</v>
      </c>
      <c r="I140" s="33">
        <f ca="1">(TODAY()-staff[[#This Row],[Date Joined]])/365</f>
        <v>1.5643835616438355</v>
      </c>
      <c r="J140" s="36">
        <f ca="1">ROUNDUP(IF(staff[[#This Row],[Tenure]]&gt;2,3%,2%)*staff[[#This Row],[Salary]],0)</f>
        <v>2009</v>
      </c>
      <c r="K140" s="40">
        <f>_xlfn.XLOOKUP(staff[[#This Row],[Rating]],Rating!$B$4:$B$8,Rating!$C$4:$C$8)</f>
        <v>3</v>
      </c>
      <c r="O140" s="6"/>
    </row>
    <row r="141" spans="1:15" x14ac:dyDescent="0.25">
      <c r="A141" t="s">
        <v>136</v>
      </c>
      <c r="B141" t="s">
        <v>8</v>
      </c>
      <c r="C141" t="s">
        <v>23</v>
      </c>
      <c r="D141">
        <v>24</v>
      </c>
      <c r="E141" s="7">
        <v>44625</v>
      </c>
      <c r="F141" s="38">
        <v>100420</v>
      </c>
      <c r="G141" t="s">
        <v>13</v>
      </c>
      <c r="H141" t="s">
        <v>209</v>
      </c>
      <c r="I141" s="33">
        <f ca="1">(TODAY()-staff[[#This Row],[Date Joined]])/365</f>
        <v>1.7315068493150685</v>
      </c>
      <c r="J141" s="36">
        <f ca="1">ROUNDUP(IF(staff[[#This Row],[Tenure]]&gt;2,3%,2%)*staff[[#This Row],[Salary]],0)</f>
        <v>2009</v>
      </c>
      <c r="K141" s="40">
        <f>_xlfn.XLOOKUP(staff[[#This Row],[Rating]],Rating!$B$4:$B$8,Rating!$C$4:$C$8)</f>
        <v>3</v>
      </c>
      <c r="O141" s="6"/>
    </row>
    <row r="142" spans="1:15" x14ac:dyDescent="0.25">
      <c r="A142" t="s">
        <v>56</v>
      </c>
      <c r="B142" t="s">
        <v>8</v>
      </c>
      <c r="C142" t="s">
        <v>12</v>
      </c>
      <c r="D142">
        <v>31</v>
      </c>
      <c r="E142" s="7">
        <v>44724</v>
      </c>
      <c r="F142" s="38">
        <v>103550</v>
      </c>
      <c r="G142" t="s">
        <v>13</v>
      </c>
      <c r="H142" t="s">
        <v>207</v>
      </c>
      <c r="I142" s="33">
        <f ca="1">(TODAY()-staff[[#This Row],[Date Joined]])/365</f>
        <v>1.4602739726027398</v>
      </c>
      <c r="J142" s="36">
        <f ca="1">ROUNDUP(IF(staff[[#This Row],[Tenure]]&gt;2,3%,2%)*staff[[#This Row],[Salary]],0)</f>
        <v>2071</v>
      </c>
      <c r="K142" s="40">
        <f>_xlfn.XLOOKUP(staff[[#This Row],[Rating]],Rating!$B$4:$B$8,Rating!$C$4:$C$8)</f>
        <v>3</v>
      </c>
      <c r="O142" s="6"/>
    </row>
    <row r="143" spans="1:15" x14ac:dyDescent="0.25">
      <c r="A143" t="s">
        <v>113</v>
      </c>
      <c r="B143" t="s">
        <v>8</v>
      </c>
      <c r="C143" t="s">
        <v>12</v>
      </c>
      <c r="D143">
        <v>31</v>
      </c>
      <c r="E143" s="7">
        <v>44663</v>
      </c>
      <c r="F143" s="38">
        <v>103550</v>
      </c>
      <c r="G143" t="s">
        <v>13</v>
      </c>
      <c r="H143" t="s">
        <v>209</v>
      </c>
      <c r="I143" s="33">
        <f ca="1">(TODAY()-staff[[#This Row],[Date Joined]])/365</f>
        <v>1.6273972602739726</v>
      </c>
      <c r="J143" s="36">
        <f ca="1">ROUNDUP(IF(staff[[#This Row],[Tenure]]&gt;2,3%,2%)*staff[[#This Row],[Salary]],0)</f>
        <v>2071</v>
      </c>
      <c r="K143" s="40">
        <f>_xlfn.XLOOKUP(staff[[#This Row],[Rating]],Rating!$B$4:$B$8,Rating!$C$4:$C$8)</f>
        <v>3</v>
      </c>
      <c r="O143" s="6"/>
    </row>
    <row r="144" spans="1:15" x14ac:dyDescent="0.25">
      <c r="A144" t="s">
        <v>89</v>
      </c>
      <c r="B144" t="s">
        <v>15</v>
      </c>
      <c r="C144" t="s">
        <v>12</v>
      </c>
      <c r="D144">
        <v>28</v>
      </c>
      <c r="E144" s="7">
        <v>44649</v>
      </c>
      <c r="F144" s="38">
        <v>104120</v>
      </c>
      <c r="G144" t="s">
        <v>13</v>
      </c>
      <c r="H144" t="s">
        <v>207</v>
      </c>
      <c r="I144" s="33">
        <f ca="1">(TODAY()-staff[[#This Row],[Date Joined]])/365</f>
        <v>1.6657534246575343</v>
      </c>
      <c r="J144" s="36">
        <f ca="1">ROUNDUP(IF(staff[[#This Row],[Tenure]]&gt;2,3%,2%)*staff[[#This Row],[Salary]],0)</f>
        <v>2083</v>
      </c>
      <c r="K144" s="40">
        <f>_xlfn.XLOOKUP(staff[[#This Row],[Rating]],Rating!$B$4:$B$8,Rating!$C$4:$C$8)</f>
        <v>3</v>
      </c>
      <c r="O144" s="6"/>
    </row>
    <row r="145" spans="1:15" x14ac:dyDescent="0.25">
      <c r="A145" t="s">
        <v>189</v>
      </c>
      <c r="B145" t="s">
        <v>15</v>
      </c>
      <c r="C145" t="s">
        <v>12</v>
      </c>
      <c r="D145">
        <v>28</v>
      </c>
      <c r="E145" s="7">
        <v>44590</v>
      </c>
      <c r="F145" s="38">
        <v>104120</v>
      </c>
      <c r="G145" t="s">
        <v>13</v>
      </c>
      <c r="H145" t="s">
        <v>209</v>
      </c>
      <c r="I145" s="33">
        <f ca="1">(TODAY()-staff[[#This Row],[Date Joined]])/365</f>
        <v>1.8273972602739725</v>
      </c>
      <c r="J145" s="36">
        <f ca="1">ROUNDUP(IF(staff[[#This Row],[Tenure]]&gt;2,3%,2%)*staff[[#This Row],[Salary]],0)</f>
        <v>2083</v>
      </c>
      <c r="K145" s="40">
        <f>_xlfn.XLOOKUP(staff[[#This Row],[Rating]],Rating!$B$4:$B$8,Rating!$C$4:$C$8)</f>
        <v>3</v>
      </c>
      <c r="O145" s="6"/>
    </row>
    <row r="146" spans="1:15" x14ac:dyDescent="0.25">
      <c r="A146" t="s">
        <v>98</v>
      </c>
      <c r="B146" t="s">
        <v>15</v>
      </c>
      <c r="C146" t="s">
        <v>23</v>
      </c>
      <c r="D146">
        <v>40</v>
      </c>
      <c r="E146" s="7">
        <v>44381</v>
      </c>
      <c r="F146" s="38">
        <v>104410</v>
      </c>
      <c r="G146" t="s">
        <v>13</v>
      </c>
      <c r="H146" t="s">
        <v>207</v>
      </c>
      <c r="I146" s="33">
        <f ca="1">(TODAY()-staff[[#This Row],[Date Joined]])/365</f>
        <v>2.4</v>
      </c>
      <c r="J146" s="36">
        <f ca="1">ROUNDUP(IF(staff[[#This Row],[Tenure]]&gt;2,3%,2%)*staff[[#This Row],[Salary]],0)</f>
        <v>3133</v>
      </c>
      <c r="K146" s="40">
        <f>_xlfn.XLOOKUP(staff[[#This Row],[Rating]],Rating!$B$4:$B$8,Rating!$C$4:$C$8)</f>
        <v>3</v>
      </c>
      <c r="O146" s="6"/>
    </row>
    <row r="147" spans="1:15" x14ac:dyDescent="0.25">
      <c r="A147" t="s">
        <v>121</v>
      </c>
      <c r="B147" t="s">
        <v>15</v>
      </c>
      <c r="C147" t="s">
        <v>23</v>
      </c>
      <c r="D147">
        <v>40</v>
      </c>
      <c r="E147" s="7">
        <v>44320</v>
      </c>
      <c r="F147" s="38">
        <v>104410</v>
      </c>
      <c r="G147" t="s">
        <v>13</v>
      </c>
      <c r="H147" t="s">
        <v>209</v>
      </c>
      <c r="I147" s="33">
        <f ca="1">(TODAY()-staff[[#This Row],[Date Joined]])/365</f>
        <v>2.5671232876712327</v>
      </c>
      <c r="J147" s="36">
        <f ca="1">ROUNDUP(IF(staff[[#This Row],[Tenure]]&gt;2,3%,2%)*staff[[#This Row],[Salary]],0)</f>
        <v>3133</v>
      </c>
      <c r="K147" s="40">
        <f>_xlfn.XLOOKUP(staff[[#This Row],[Rating]],Rating!$B$4:$B$8,Rating!$C$4:$C$8)</f>
        <v>3</v>
      </c>
      <c r="O147" s="6"/>
    </row>
    <row r="148" spans="1:15" x14ac:dyDescent="0.25">
      <c r="A148" t="s">
        <v>81</v>
      </c>
      <c r="B148" t="s">
        <v>15</v>
      </c>
      <c r="C148" t="s">
        <v>12</v>
      </c>
      <c r="D148">
        <v>28</v>
      </c>
      <c r="E148" s="7">
        <v>44486</v>
      </c>
      <c r="F148" s="38">
        <v>104770</v>
      </c>
      <c r="G148" t="s">
        <v>13</v>
      </c>
      <c r="H148" t="s">
        <v>207</v>
      </c>
      <c r="I148" s="33">
        <f ca="1">(TODAY()-staff[[#This Row],[Date Joined]])/365</f>
        <v>2.1123287671232878</v>
      </c>
      <c r="J148" s="36">
        <f ca="1">ROUNDUP(IF(staff[[#This Row],[Tenure]]&gt;2,3%,2%)*staff[[#This Row],[Salary]],0)</f>
        <v>3144</v>
      </c>
      <c r="K148" s="40">
        <f>_xlfn.XLOOKUP(staff[[#This Row],[Rating]],Rating!$B$4:$B$8,Rating!$C$4:$C$8)</f>
        <v>3</v>
      </c>
      <c r="O148" s="6"/>
    </row>
    <row r="149" spans="1:15" x14ac:dyDescent="0.25">
      <c r="A149" t="s">
        <v>157</v>
      </c>
      <c r="B149" t="s">
        <v>15</v>
      </c>
      <c r="C149" t="s">
        <v>12</v>
      </c>
      <c r="D149">
        <v>28</v>
      </c>
      <c r="E149" s="7">
        <v>44425</v>
      </c>
      <c r="F149" s="38">
        <v>104770</v>
      </c>
      <c r="G149" t="s">
        <v>13</v>
      </c>
      <c r="H149" t="s">
        <v>209</v>
      </c>
      <c r="I149" s="33">
        <f ca="1">(TODAY()-staff[[#This Row],[Date Joined]])/365</f>
        <v>2.2794520547945205</v>
      </c>
      <c r="J149" s="36">
        <f ca="1">ROUNDUP(IF(staff[[#This Row],[Tenure]]&gt;2,3%,2%)*staff[[#This Row],[Salary]],0)</f>
        <v>3144</v>
      </c>
      <c r="K149" s="40">
        <f>_xlfn.XLOOKUP(staff[[#This Row],[Rating]],Rating!$B$4:$B$8,Rating!$C$4:$C$8)</f>
        <v>3</v>
      </c>
      <c r="O149" s="6"/>
    </row>
    <row r="150" spans="1:15" x14ac:dyDescent="0.25">
      <c r="A150" t="s">
        <v>94</v>
      </c>
      <c r="B150" t="s">
        <v>8</v>
      </c>
      <c r="C150" t="s">
        <v>12</v>
      </c>
      <c r="D150">
        <v>23</v>
      </c>
      <c r="E150" s="7">
        <v>44440</v>
      </c>
      <c r="F150" s="38">
        <v>106460</v>
      </c>
      <c r="G150" t="s">
        <v>13</v>
      </c>
      <c r="H150" t="s">
        <v>207</v>
      </c>
      <c r="I150" s="33">
        <f ca="1">(TODAY()-staff[[#This Row],[Date Joined]])/365</f>
        <v>2.2383561643835614</v>
      </c>
      <c r="J150" s="36">
        <f ca="1">ROUNDUP(IF(staff[[#This Row],[Tenure]]&gt;2,3%,2%)*staff[[#This Row],[Salary]],0)</f>
        <v>3194</v>
      </c>
      <c r="K150" s="40">
        <f>_xlfn.XLOOKUP(staff[[#This Row],[Rating]],Rating!$B$4:$B$8,Rating!$C$4:$C$8)</f>
        <v>3</v>
      </c>
      <c r="O150" s="6"/>
    </row>
    <row r="151" spans="1:15" x14ac:dyDescent="0.25">
      <c r="A151" t="s">
        <v>185</v>
      </c>
      <c r="B151" t="s">
        <v>8</v>
      </c>
      <c r="C151" t="s">
        <v>12</v>
      </c>
      <c r="D151">
        <v>23</v>
      </c>
      <c r="E151" s="7">
        <v>44378</v>
      </c>
      <c r="F151" s="38">
        <v>106460</v>
      </c>
      <c r="G151" t="s">
        <v>13</v>
      </c>
      <c r="H151" t="s">
        <v>209</v>
      </c>
      <c r="I151" s="33">
        <f ca="1">(TODAY()-staff[[#This Row],[Date Joined]])/365</f>
        <v>2.408219178082192</v>
      </c>
      <c r="J151" s="36">
        <f ca="1">ROUNDUP(IF(staff[[#This Row],[Tenure]]&gt;2,3%,2%)*staff[[#This Row],[Salary]],0)</f>
        <v>3194</v>
      </c>
      <c r="K151" s="40">
        <f>_xlfn.XLOOKUP(staff[[#This Row],[Rating]],Rating!$B$4:$B$8,Rating!$C$4:$C$8)</f>
        <v>3</v>
      </c>
      <c r="O151" s="6"/>
    </row>
    <row r="152" spans="1:15" x14ac:dyDescent="0.25">
      <c r="A152" t="s">
        <v>30</v>
      </c>
      <c r="B152" t="s">
        <v>8</v>
      </c>
      <c r="C152" t="s">
        <v>23</v>
      </c>
      <c r="D152">
        <v>20</v>
      </c>
      <c r="E152" s="7">
        <v>44459</v>
      </c>
      <c r="F152" s="38">
        <v>107700</v>
      </c>
      <c r="G152" t="s">
        <v>13</v>
      </c>
      <c r="H152" t="s">
        <v>207</v>
      </c>
      <c r="I152" s="33">
        <f ca="1">(TODAY()-staff[[#This Row],[Date Joined]])/365</f>
        <v>2.1863013698630138</v>
      </c>
      <c r="J152" s="36">
        <f ca="1">ROUNDUP(IF(staff[[#This Row],[Tenure]]&gt;2,3%,2%)*staff[[#This Row],[Salary]],0)</f>
        <v>3231</v>
      </c>
      <c r="K152" s="40">
        <f>_xlfn.XLOOKUP(staff[[#This Row],[Rating]],Rating!$B$4:$B$8,Rating!$C$4:$C$8)</f>
        <v>3</v>
      </c>
      <c r="O152" s="6"/>
    </row>
    <row r="153" spans="1:15" x14ac:dyDescent="0.25">
      <c r="A153" t="s">
        <v>193</v>
      </c>
      <c r="B153" t="s">
        <v>8</v>
      </c>
      <c r="C153" t="s">
        <v>23</v>
      </c>
      <c r="D153">
        <v>20</v>
      </c>
      <c r="E153" s="7">
        <v>44397</v>
      </c>
      <c r="F153" s="38">
        <v>107700</v>
      </c>
      <c r="G153" t="s">
        <v>13</v>
      </c>
      <c r="H153" t="s">
        <v>209</v>
      </c>
      <c r="I153" s="33">
        <f ca="1">(TODAY()-staff[[#This Row],[Date Joined]])/365</f>
        <v>2.3561643835616439</v>
      </c>
      <c r="J153" s="36">
        <f ca="1">ROUNDUP(IF(staff[[#This Row],[Tenure]]&gt;2,3%,2%)*staff[[#This Row],[Salary]],0)</f>
        <v>3231</v>
      </c>
      <c r="K153" s="40">
        <f>_xlfn.XLOOKUP(staff[[#This Row],[Rating]],Rating!$B$4:$B$8,Rating!$C$4:$C$8)</f>
        <v>3</v>
      </c>
      <c r="O153" s="6"/>
    </row>
    <row r="154" spans="1:15" x14ac:dyDescent="0.25">
      <c r="A154" t="s">
        <v>74</v>
      </c>
      <c r="B154" t="s">
        <v>15</v>
      </c>
      <c r="C154" t="s">
        <v>9</v>
      </c>
      <c r="D154">
        <v>38</v>
      </c>
      <c r="E154" s="7">
        <v>44377</v>
      </c>
      <c r="F154" s="38">
        <v>109160</v>
      </c>
      <c r="G154" t="s">
        <v>43</v>
      </c>
      <c r="H154" t="s">
        <v>207</v>
      </c>
      <c r="I154" s="33">
        <f ca="1">(TODAY()-staff[[#This Row],[Date Joined]])/365</f>
        <v>2.4109589041095889</v>
      </c>
      <c r="J154" s="36">
        <f ca="1">ROUNDUP(IF(staff[[#This Row],[Tenure]]&gt;2,3%,2%)*staff[[#This Row],[Salary]],0)</f>
        <v>3275</v>
      </c>
      <c r="K154" s="40">
        <f>_xlfn.XLOOKUP(staff[[#This Row],[Rating]],Rating!$B$4:$B$8,Rating!$C$4:$C$8)</f>
        <v>5</v>
      </c>
      <c r="O154" s="6"/>
    </row>
    <row r="155" spans="1:15" x14ac:dyDescent="0.25">
      <c r="A155" t="s">
        <v>174</v>
      </c>
      <c r="B155" t="s">
        <v>15</v>
      </c>
      <c r="C155" t="s">
        <v>9</v>
      </c>
      <c r="D155">
        <v>38</v>
      </c>
      <c r="E155" s="7">
        <v>44316</v>
      </c>
      <c r="F155" s="38">
        <v>109160</v>
      </c>
      <c r="G155" t="s">
        <v>43</v>
      </c>
      <c r="H155" t="s">
        <v>209</v>
      </c>
      <c r="I155" s="33">
        <f ca="1">(TODAY()-staff[[#This Row],[Date Joined]])/365</f>
        <v>2.5780821917808221</v>
      </c>
      <c r="J155" s="36">
        <f ca="1">ROUNDUP(IF(staff[[#This Row],[Tenure]]&gt;2,3%,2%)*staff[[#This Row],[Salary]],0)</f>
        <v>3275</v>
      </c>
      <c r="K155" s="40">
        <f>_xlfn.XLOOKUP(staff[[#This Row],[Rating]],Rating!$B$4:$B$8,Rating!$C$4:$C$8)</f>
        <v>5</v>
      </c>
      <c r="O155" s="6"/>
    </row>
    <row r="156" spans="1:15" x14ac:dyDescent="0.25">
      <c r="A156" t="s">
        <v>52</v>
      </c>
      <c r="B156" t="s">
        <v>8</v>
      </c>
      <c r="C156" t="s">
        <v>12</v>
      </c>
      <c r="D156">
        <v>25</v>
      </c>
      <c r="E156" s="7">
        <v>44726</v>
      </c>
      <c r="F156" s="38">
        <v>109190</v>
      </c>
      <c r="G156" t="s">
        <v>10</v>
      </c>
      <c r="H156" t="s">
        <v>207</v>
      </c>
      <c r="I156" s="33">
        <f ca="1">(TODAY()-staff[[#This Row],[Date Joined]])/365</f>
        <v>1.4547945205479451</v>
      </c>
      <c r="J156" s="36">
        <f ca="1">ROUNDUP(IF(staff[[#This Row],[Tenure]]&gt;2,3%,2%)*staff[[#This Row],[Salary]],0)</f>
        <v>2184</v>
      </c>
      <c r="K156" s="40">
        <f>_xlfn.XLOOKUP(staff[[#This Row],[Rating]],Rating!$B$4:$B$8,Rating!$C$4:$C$8)</f>
        <v>4</v>
      </c>
      <c r="O156" s="6"/>
    </row>
    <row r="157" spans="1:15" x14ac:dyDescent="0.25">
      <c r="A157" t="s">
        <v>120</v>
      </c>
      <c r="B157" t="s">
        <v>8</v>
      </c>
      <c r="C157" t="s">
        <v>12</v>
      </c>
      <c r="D157">
        <v>25</v>
      </c>
      <c r="E157" s="7">
        <v>44665</v>
      </c>
      <c r="F157" s="38">
        <v>109190</v>
      </c>
      <c r="G157" t="s">
        <v>10</v>
      </c>
      <c r="H157" t="s">
        <v>209</v>
      </c>
      <c r="I157" s="33">
        <f ca="1">(TODAY()-staff[[#This Row],[Date Joined]])/365</f>
        <v>1.6219178082191781</v>
      </c>
      <c r="J157" s="36">
        <f ca="1">ROUNDUP(IF(staff[[#This Row],[Tenure]]&gt;2,3%,2%)*staff[[#This Row],[Salary]],0)</f>
        <v>2184</v>
      </c>
      <c r="K157" s="40">
        <f>_xlfn.XLOOKUP(staff[[#This Row],[Rating]],Rating!$B$4:$B$8,Rating!$C$4:$C$8)</f>
        <v>4</v>
      </c>
      <c r="O157" s="6"/>
    </row>
    <row r="158" spans="1:15" x14ac:dyDescent="0.25">
      <c r="A158" t="s">
        <v>27</v>
      </c>
      <c r="B158" t="s">
        <v>8</v>
      </c>
      <c r="C158" t="s">
        <v>23</v>
      </c>
      <c r="D158">
        <v>29</v>
      </c>
      <c r="E158" s="7">
        <v>44180</v>
      </c>
      <c r="F158" s="38">
        <v>112110</v>
      </c>
      <c r="G158" t="s">
        <v>18</v>
      </c>
      <c r="H158" t="s">
        <v>207</v>
      </c>
      <c r="I158" s="33">
        <f ca="1">(TODAY()-staff[[#This Row],[Date Joined]])/365</f>
        <v>2.9506849315068493</v>
      </c>
      <c r="J158" s="36">
        <f ca="1">ROUNDUP(IF(staff[[#This Row],[Tenure]]&gt;2,3%,2%)*staff[[#This Row],[Salary]],0)</f>
        <v>3364</v>
      </c>
      <c r="K158" s="40">
        <f>_xlfn.XLOOKUP(staff[[#This Row],[Rating]],Rating!$B$4:$B$8,Rating!$C$4:$C$8)</f>
        <v>2</v>
      </c>
      <c r="O158" s="6"/>
    </row>
    <row r="159" spans="1:15" x14ac:dyDescent="0.25">
      <c r="A159" t="s">
        <v>146</v>
      </c>
      <c r="B159" t="s">
        <v>8</v>
      </c>
      <c r="C159" t="s">
        <v>23</v>
      </c>
      <c r="D159">
        <v>29</v>
      </c>
      <c r="E159" s="7">
        <v>44119</v>
      </c>
      <c r="F159" s="38">
        <v>112110</v>
      </c>
      <c r="G159" t="s">
        <v>18</v>
      </c>
      <c r="H159" t="s">
        <v>209</v>
      </c>
      <c r="I159" s="33">
        <f ca="1">(TODAY()-staff[[#This Row],[Date Joined]])/365</f>
        <v>3.117808219178082</v>
      </c>
      <c r="J159" s="36">
        <f ca="1">ROUNDUP(IF(staff[[#This Row],[Tenure]]&gt;2,3%,2%)*staff[[#This Row],[Salary]],0)</f>
        <v>3364</v>
      </c>
      <c r="K159" s="40">
        <f>_xlfn.XLOOKUP(staff[[#This Row],[Rating]],Rating!$B$4:$B$8,Rating!$C$4:$C$8)</f>
        <v>2</v>
      </c>
      <c r="O159" s="6"/>
    </row>
    <row r="160" spans="1:15" x14ac:dyDescent="0.25">
      <c r="A160" t="s">
        <v>20</v>
      </c>
      <c r="B160" t="s">
        <v>15</v>
      </c>
      <c r="C160" t="s">
        <v>12</v>
      </c>
      <c r="D160">
        <v>30</v>
      </c>
      <c r="E160" s="7">
        <v>44861</v>
      </c>
      <c r="F160" s="38">
        <v>112570</v>
      </c>
      <c r="G160" t="s">
        <v>13</v>
      </c>
      <c r="H160" t="s">
        <v>207</v>
      </c>
      <c r="I160" s="33">
        <f ca="1">(TODAY()-staff[[#This Row],[Date Joined]])/365</f>
        <v>1.0849315068493151</v>
      </c>
      <c r="J160" s="36">
        <f ca="1">ROUNDUP(IF(staff[[#This Row],[Tenure]]&gt;2,3%,2%)*staff[[#This Row],[Salary]],0)</f>
        <v>2252</v>
      </c>
      <c r="K160" s="40">
        <f>_xlfn.XLOOKUP(staff[[#This Row],[Rating]],Rating!$B$4:$B$8,Rating!$C$4:$C$8)</f>
        <v>3</v>
      </c>
      <c r="O160" s="6"/>
    </row>
    <row r="161" spans="1:15" x14ac:dyDescent="0.25">
      <c r="A161" t="s">
        <v>140</v>
      </c>
      <c r="B161" t="s">
        <v>15</v>
      </c>
      <c r="C161" t="s">
        <v>12</v>
      </c>
      <c r="D161">
        <v>30</v>
      </c>
      <c r="E161" s="7">
        <v>44800</v>
      </c>
      <c r="F161" s="38">
        <v>112570</v>
      </c>
      <c r="G161" t="s">
        <v>13</v>
      </c>
      <c r="H161" t="s">
        <v>209</v>
      </c>
      <c r="I161" s="33">
        <f ca="1">(TODAY()-staff[[#This Row],[Date Joined]])/365</f>
        <v>1.252054794520548</v>
      </c>
      <c r="J161" s="36">
        <f ca="1">ROUNDUP(IF(staff[[#This Row],[Tenure]]&gt;2,3%,2%)*staff[[#This Row],[Salary]],0)</f>
        <v>2252</v>
      </c>
      <c r="K161" s="40">
        <f>_xlfn.XLOOKUP(staff[[#This Row],[Rating]],Rating!$B$4:$B$8,Rating!$C$4:$C$8)</f>
        <v>3</v>
      </c>
      <c r="O161" s="6"/>
    </row>
    <row r="162" spans="1:15" x14ac:dyDescent="0.25">
      <c r="A162" t="s">
        <v>63</v>
      </c>
      <c r="B162" t="s">
        <v>8</v>
      </c>
      <c r="C162" t="s">
        <v>23</v>
      </c>
      <c r="D162">
        <v>20</v>
      </c>
      <c r="E162" s="7">
        <v>44183</v>
      </c>
      <c r="F162" s="38">
        <v>112650</v>
      </c>
      <c r="G162" t="s">
        <v>13</v>
      </c>
      <c r="H162" t="s">
        <v>207</v>
      </c>
      <c r="I162" s="33">
        <f ca="1">(TODAY()-staff[[#This Row],[Date Joined]])/365</f>
        <v>2.9424657534246577</v>
      </c>
      <c r="J162" s="36">
        <f ca="1">ROUNDUP(IF(staff[[#This Row],[Tenure]]&gt;2,3%,2%)*staff[[#This Row],[Salary]],0)</f>
        <v>3380</v>
      </c>
      <c r="K162" s="40">
        <f>_xlfn.XLOOKUP(staff[[#This Row],[Rating]],Rating!$B$4:$B$8,Rating!$C$4:$C$8)</f>
        <v>3</v>
      </c>
      <c r="O162" s="6"/>
    </row>
    <row r="163" spans="1:15" x14ac:dyDescent="0.25">
      <c r="A163" t="s">
        <v>111</v>
      </c>
      <c r="B163" t="s">
        <v>8</v>
      </c>
      <c r="C163" t="s">
        <v>23</v>
      </c>
      <c r="D163">
        <v>20</v>
      </c>
      <c r="E163" s="7">
        <v>44122</v>
      </c>
      <c r="F163" s="38">
        <v>112650</v>
      </c>
      <c r="G163" t="s">
        <v>13</v>
      </c>
      <c r="H163" t="s">
        <v>209</v>
      </c>
      <c r="I163" s="33">
        <f ca="1">(TODAY()-staff[[#This Row],[Date Joined]])/365</f>
        <v>3.1095890410958904</v>
      </c>
      <c r="J163" s="36">
        <f ca="1">ROUNDUP(IF(staff[[#This Row],[Tenure]]&gt;2,3%,2%)*staff[[#This Row],[Salary]],0)</f>
        <v>3380</v>
      </c>
      <c r="K163" s="40">
        <f>_xlfn.XLOOKUP(staff[[#This Row],[Rating]],Rating!$B$4:$B$8,Rating!$C$4:$C$8)</f>
        <v>3</v>
      </c>
      <c r="O163" s="6"/>
    </row>
    <row r="164" spans="1:15" x14ac:dyDescent="0.25">
      <c r="A164" t="s">
        <v>125</v>
      </c>
      <c r="B164" t="s">
        <v>8</v>
      </c>
      <c r="C164" t="s">
        <v>12</v>
      </c>
      <c r="D164">
        <v>34</v>
      </c>
      <c r="E164" s="7">
        <v>44642</v>
      </c>
      <c r="F164" s="38">
        <v>112650</v>
      </c>
      <c r="G164" t="s">
        <v>13</v>
      </c>
      <c r="H164" t="s">
        <v>209</v>
      </c>
      <c r="I164" s="33">
        <f ca="1">(TODAY()-staff[[#This Row],[Date Joined]])/365</f>
        <v>1.6849315068493151</v>
      </c>
      <c r="J164" s="36">
        <f ca="1">ROUNDUP(IF(staff[[#This Row],[Tenure]]&gt;2,3%,2%)*staff[[#This Row],[Salary]],0)</f>
        <v>2253</v>
      </c>
      <c r="K164" s="40">
        <f>_xlfn.XLOOKUP(staff[[#This Row],[Rating]],Rating!$B$4:$B$8,Rating!$C$4:$C$8)</f>
        <v>3</v>
      </c>
      <c r="O164" s="6"/>
    </row>
    <row r="165" spans="1:15" x14ac:dyDescent="0.25">
      <c r="A165" t="s">
        <v>7</v>
      </c>
      <c r="B165" t="s">
        <v>8</v>
      </c>
      <c r="C165" t="s">
        <v>9</v>
      </c>
      <c r="D165">
        <v>22</v>
      </c>
      <c r="E165" s="7">
        <v>44446</v>
      </c>
      <c r="F165" s="38">
        <v>112780</v>
      </c>
      <c r="G165" t="s">
        <v>10</v>
      </c>
      <c r="H165" t="s">
        <v>207</v>
      </c>
      <c r="I165" s="33">
        <f ca="1">(TODAY()-staff[[#This Row],[Date Joined]])/365</f>
        <v>2.2219178082191782</v>
      </c>
      <c r="J165" s="36">
        <f ca="1">ROUNDUP(IF(staff[[#This Row],[Tenure]]&gt;2,3%,2%)*staff[[#This Row],[Salary]],0)</f>
        <v>3384</v>
      </c>
      <c r="K165" s="40">
        <f>_xlfn.XLOOKUP(staff[[#This Row],[Rating]],Rating!$B$4:$B$8,Rating!$C$4:$C$8)</f>
        <v>4</v>
      </c>
      <c r="O165" s="6"/>
    </row>
    <row r="166" spans="1:15" x14ac:dyDescent="0.25">
      <c r="A166" t="s">
        <v>148</v>
      </c>
      <c r="B166" t="s">
        <v>8</v>
      </c>
      <c r="C166" t="s">
        <v>9</v>
      </c>
      <c r="D166">
        <v>22</v>
      </c>
      <c r="E166" s="7">
        <v>44384</v>
      </c>
      <c r="F166" s="38">
        <v>112780</v>
      </c>
      <c r="G166" t="s">
        <v>10</v>
      </c>
      <c r="H166" t="s">
        <v>209</v>
      </c>
      <c r="I166" s="33">
        <f ca="1">(TODAY()-staff[[#This Row],[Date Joined]])/365</f>
        <v>2.3917808219178083</v>
      </c>
      <c r="J166" s="36">
        <f ca="1">ROUNDUP(IF(staff[[#This Row],[Tenure]]&gt;2,3%,2%)*staff[[#This Row],[Salary]],0)</f>
        <v>3384</v>
      </c>
      <c r="K166" s="40">
        <f>_xlfn.XLOOKUP(staff[[#This Row],[Rating]],Rating!$B$4:$B$8,Rating!$C$4:$C$8)</f>
        <v>4</v>
      </c>
      <c r="O166" s="6"/>
    </row>
    <row r="167" spans="1:15" x14ac:dyDescent="0.25">
      <c r="A167" t="s">
        <v>75</v>
      </c>
      <c r="B167" t="s">
        <v>8</v>
      </c>
      <c r="C167" t="s">
        <v>12</v>
      </c>
      <c r="D167">
        <v>27</v>
      </c>
      <c r="E167" s="7">
        <v>44609</v>
      </c>
      <c r="F167" s="38">
        <v>113280</v>
      </c>
      <c r="G167" t="s">
        <v>49</v>
      </c>
      <c r="H167" t="s">
        <v>207</v>
      </c>
      <c r="I167" s="33">
        <f ca="1">(TODAY()-staff[[#This Row],[Date Joined]])/365</f>
        <v>1.7753424657534247</v>
      </c>
      <c r="J167" s="36">
        <f ca="1">ROUNDUP(IF(staff[[#This Row],[Tenure]]&gt;2,3%,2%)*staff[[#This Row],[Salary]],0)</f>
        <v>2266</v>
      </c>
      <c r="K167" s="40">
        <f>_xlfn.XLOOKUP(staff[[#This Row],[Rating]],Rating!$B$4:$B$8,Rating!$C$4:$C$8)</f>
        <v>1</v>
      </c>
      <c r="O167" s="6"/>
    </row>
    <row r="168" spans="1:15" x14ac:dyDescent="0.25">
      <c r="A168" t="s">
        <v>178</v>
      </c>
      <c r="B168" t="s">
        <v>8</v>
      </c>
      <c r="C168" t="s">
        <v>12</v>
      </c>
      <c r="D168">
        <v>27</v>
      </c>
      <c r="E168" s="7">
        <v>44547</v>
      </c>
      <c r="F168" s="38">
        <v>113280</v>
      </c>
      <c r="G168" t="s">
        <v>49</v>
      </c>
      <c r="H168" t="s">
        <v>209</v>
      </c>
      <c r="I168" s="33">
        <f ca="1">(TODAY()-staff[[#This Row],[Date Joined]])/365</f>
        <v>1.9452054794520548</v>
      </c>
      <c r="J168" s="36">
        <f ca="1">ROUNDUP(IF(staff[[#This Row],[Tenure]]&gt;2,3%,2%)*staff[[#This Row],[Salary]],0)</f>
        <v>2266</v>
      </c>
      <c r="K168" s="40">
        <f>_xlfn.XLOOKUP(staff[[#This Row],[Rating]],Rating!$B$4:$B$8,Rating!$C$4:$C$8)</f>
        <v>1</v>
      </c>
      <c r="O168" s="6"/>
    </row>
    <row r="169" spans="1:15" x14ac:dyDescent="0.25">
      <c r="A169" t="s">
        <v>92</v>
      </c>
      <c r="B169" t="s">
        <v>15</v>
      </c>
      <c r="C169" t="s">
        <v>12</v>
      </c>
      <c r="D169">
        <v>30</v>
      </c>
      <c r="E169" s="7">
        <v>44850</v>
      </c>
      <c r="F169" s="38">
        <v>114180</v>
      </c>
      <c r="G169" t="s">
        <v>13</v>
      </c>
      <c r="H169" t="s">
        <v>207</v>
      </c>
      <c r="I169" s="33">
        <f ca="1">(TODAY()-staff[[#This Row],[Date Joined]])/365</f>
        <v>1.1150684931506849</v>
      </c>
      <c r="J169" s="36">
        <f ca="1">ROUNDUP(IF(staff[[#This Row],[Tenure]]&gt;2,3%,2%)*staff[[#This Row],[Salary]],0)</f>
        <v>2284</v>
      </c>
      <c r="K169" s="40">
        <f>_xlfn.XLOOKUP(staff[[#This Row],[Rating]],Rating!$B$4:$B$8,Rating!$C$4:$C$8)</f>
        <v>3</v>
      </c>
      <c r="O169" s="6"/>
    </row>
    <row r="170" spans="1:15" x14ac:dyDescent="0.25">
      <c r="A170" t="s">
        <v>188</v>
      </c>
      <c r="B170" t="s">
        <v>15</v>
      </c>
      <c r="C170" t="s">
        <v>12</v>
      </c>
      <c r="D170">
        <v>30</v>
      </c>
      <c r="E170" s="7">
        <v>44789</v>
      </c>
      <c r="F170" s="38">
        <v>114180</v>
      </c>
      <c r="G170" t="s">
        <v>13</v>
      </c>
      <c r="H170" t="s">
        <v>209</v>
      </c>
      <c r="I170" s="33">
        <f ca="1">(TODAY()-staff[[#This Row],[Date Joined]])/365</f>
        <v>1.2821917808219179</v>
      </c>
      <c r="J170" s="36">
        <f ca="1">ROUNDUP(IF(staff[[#This Row],[Tenure]]&gt;2,3%,2%)*staff[[#This Row],[Salary]],0)</f>
        <v>2284</v>
      </c>
      <c r="K170" s="40">
        <f>_xlfn.XLOOKUP(staff[[#This Row],[Rating]],Rating!$B$4:$B$8,Rating!$C$4:$C$8)</f>
        <v>3</v>
      </c>
      <c r="O170" s="6"/>
    </row>
    <row r="171" spans="1:15" x14ac:dyDescent="0.25">
      <c r="A171" t="s">
        <v>79</v>
      </c>
      <c r="B171" t="s">
        <v>15</v>
      </c>
      <c r="C171" t="s">
        <v>23</v>
      </c>
      <c r="D171">
        <v>43</v>
      </c>
      <c r="E171" s="7">
        <v>45045</v>
      </c>
      <c r="F171" s="38">
        <v>114870</v>
      </c>
      <c r="G171" t="s">
        <v>13</v>
      </c>
      <c r="H171" t="s">
        <v>207</v>
      </c>
      <c r="I171" s="33">
        <f ca="1">(TODAY()-staff[[#This Row],[Date Joined]])/365</f>
        <v>0.58082191780821912</v>
      </c>
      <c r="J171" s="36">
        <f ca="1">ROUNDUP(IF(staff[[#This Row],[Tenure]]&gt;2,3%,2%)*staff[[#This Row],[Salary]],0)</f>
        <v>2298</v>
      </c>
      <c r="K171" s="40">
        <f>_xlfn.XLOOKUP(staff[[#This Row],[Rating]],Rating!$B$4:$B$8,Rating!$C$4:$C$8)</f>
        <v>3</v>
      </c>
      <c r="O171" s="6"/>
    </row>
    <row r="172" spans="1:15" x14ac:dyDescent="0.25">
      <c r="A172" t="s">
        <v>138</v>
      </c>
      <c r="B172" t="s">
        <v>15</v>
      </c>
      <c r="C172" t="s">
        <v>23</v>
      </c>
      <c r="D172">
        <v>44</v>
      </c>
      <c r="E172" s="7">
        <v>44985</v>
      </c>
      <c r="F172" s="38">
        <v>114870</v>
      </c>
      <c r="G172" t="s">
        <v>13</v>
      </c>
      <c r="H172" t="s">
        <v>209</v>
      </c>
      <c r="I172" s="33">
        <f ca="1">(TODAY()-staff[[#This Row],[Date Joined]])/365</f>
        <v>0.74520547945205484</v>
      </c>
      <c r="J172" s="36">
        <f ca="1">ROUNDUP(IF(staff[[#This Row],[Tenure]]&gt;2,3%,2%)*staff[[#This Row],[Salary]],0)</f>
        <v>2298</v>
      </c>
      <c r="K172" s="40">
        <f>_xlfn.XLOOKUP(staff[[#This Row],[Rating]],Rating!$B$4:$B$8,Rating!$C$4:$C$8)</f>
        <v>3</v>
      </c>
      <c r="O172" s="6"/>
    </row>
    <row r="173" spans="1:15" x14ac:dyDescent="0.25">
      <c r="A173" t="s">
        <v>71</v>
      </c>
      <c r="B173" t="s">
        <v>15</v>
      </c>
      <c r="C173" t="s">
        <v>12</v>
      </c>
      <c r="D173">
        <v>36</v>
      </c>
      <c r="E173" s="7">
        <v>44085</v>
      </c>
      <c r="F173" s="38">
        <v>114890</v>
      </c>
      <c r="G173" t="s">
        <v>13</v>
      </c>
      <c r="H173" t="s">
        <v>207</v>
      </c>
      <c r="I173" s="33">
        <f ca="1">(TODAY()-staff[[#This Row],[Date Joined]])/365</f>
        <v>3.2109589041095892</v>
      </c>
      <c r="J173" s="36">
        <f ca="1">ROUNDUP(IF(staff[[#This Row],[Tenure]]&gt;2,3%,2%)*staff[[#This Row],[Salary]],0)</f>
        <v>3447</v>
      </c>
      <c r="K173" s="40">
        <f>_xlfn.XLOOKUP(staff[[#This Row],[Rating]],Rating!$B$4:$B$8,Rating!$C$4:$C$8)</f>
        <v>3</v>
      </c>
      <c r="O173" s="6"/>
    </row>
    <row r="174" spans="1:15" x14ac:dyDescent="0.25">
      <c r="A174" t="s">
        <v>149</v>
      </c>
      <c r="B174" t="s">
        <v>15</v>
      </c>
      <c r="C174" t="s">
        <v>12</v>
      </c>
      <c r="D174">
        <v>36</v>
      </c>
      <c r="E174" s="7">
        <v>44023</v>
      </c>
      <c r="F174" s="38">
        <v>114890</v>
      </c>
      <c r="G174" t="s">
        <v>13</v>
      </c>
      <c r="H174" t="s">
        <v>209</v>
      </c>
      <c r="I174" s="33">
        <f ca="1">(TODAY()-staff[[#This Row],[Date Joined]])/365</f>
        <v>3.3808219178082193</v>
      </c>
      <c r="J174" s="36">
        <f ca="1">ROUNDUP(IF(staff[[#This Row],[Tenure]]&gt;2,3%,2%)*staff[[#This Row],[Salary]],0)</f>
        <v>3447</v>
      </c>
      <c r="K174" s="40">
        <f>_xlfn.XLOOKUP(staff[[#This Row],[Rating]],Rating!$B$4:$B$8,Rating!$C$4:$C$8)</f>
        <v>3</v>
      </c>
      <c r="O174" s="6"/>
    </row>
    <row r="175" spans="1:15" x14ac:dyDescent="0.25">
      <c r="A175" t="s">
        <v>16</v>
      </c>
      <c r="B175" t="s">
        <v>221</v>
      </c>
      <c r="C175" t="s">
        <v>17</v>
      </c>
      <c r="D175">
        <v>37</v>
      </c>
      <c r="E175" s="7">
        <v>44146</v>
      </c>
      <c r="F175" s="38">
        <v>115440</v>
      </c>
      <c r="G175" t="s">
        <v>18</v>
      </c>
      <c r="H175" t="s">
        <v>207</v>
      </c>
      <c r="I175" s="33">
        <f ca="1">(TODAY()-staff[[#This Row],[Date Joined]])/365</f>
        <v>3.043835616438356</v>
      </c>
      <c r="J175" s="36">
        <f ca="1">ROUNDUP(IF(staff[[#This Row],[Tenure]]&gt;2,3%,2%)*staff[[#This Row],[Salary]],0)</f>
        <v>3464</v>
      </c>
      <c r="K175" s="40">
        <f>_xlfn.XLOOKUP(staff[[#This Row],[Rating]],Rating!$B$4:$B$8,Rating!$C$4:$C$8)</f>
        <v>2</v>
      </c>
      <c r="O175" s="6"/>
    </row>
    <row r="176" spans="1:15" x14ac:dyDescent="0.25">
      <c r="A176" t="s">
        <v>115</v>
      </c>
      <c r="B176" t="s">
        <v>221</v>
      </c>
      <c r="C176" t="s">
        <v>17</v>
      </c>
      <c r="D176">
        <v>37</v>
      </c>
      <c r="E176" s="7">
        <v>44085</v>
      </c>
      <c r="F176" s="38">
        <v>115440</v>
      </c>
      <c r="G176" t="s">
        <v>18</v>
      </c>
      <c r="H176" t="s">
        <v>209</v>
      </c>
      <c r="I176" s="33">
        <f ca="1">(TODAY()-staff[[#This Row],[Date Joined]])/365</f>
        <v>3.2109589041095892</v>
      </c>
      <c r="J176" s="36">
        <f ca="1">ROUNDUP(IF(staff[[#This Row],[Tenure]]&gt;2,3%,2%)*staff[[#This Row],[Salary]],0)</f>
        <v>3464</v>
      </c>
      <c r="K176" s="40">
        <f>_xlfn.XLOOKUP(staff[[#This Row],[Rating]],Rating!$B$4:$B$8,Rating!$C$4:$C$8)</f>
        <v>2</v>
      </c>
      <c r="O176" s="6"/>
    </row>
    <row r="177" spans="1:15" x14ac:dyDescent="0.25">
      <c r="A177" t="s">
        <v>50</v>
      </c>
      <c r="B177" t="s">
        <v>8</v>
      </c>
      <c r="C177" t="s">
        <v>12</v>
      </c>
      <c r="D177">
        <v>33</v>
      </c>
      <c r="E177" s="7">
        <v>44164</v>
      </c>
      <c r="F177" s="38">
        <v>115920</v>
      </c>
      <c r="G177" t="s">
        <v>13</v>
      </c>
      <c r="H177" t="s">
        <v>207</v>
      </c>
      <c r="I177" s="33">
        <f ca="1">(TODAY()-staff[[#This Row],[Date Joined]])/365</f>
        <v>2.9945205479452053</v>
      </c>
      <c r="J177" s="36">
        <f ca="1">ROUNDUP(IF(staff[[#This Row],[Tenure]]&gt;2,3%,2%)*staff[[#This Row],[Salary]],0)</f>
        <v>3478</v>
      </c>
      <c r="K177" s="40">
        <f>_xlfn.XLOOKUP(staff[[#This Row],[Rating]],Rating!$B$4:$B$8,Rating!$C$4:$C$8)</f>
        <v>3</v>
      </c>
      <c r="O177" s="6"/>
    </row>
    <row r="178" spans="1:15" x14ac:dyDescent="0.25">
      <c r="A178" t="s">
        <v>164</v>
      </c>
      <c r="B178" t="s">
        <v>8</v>
      </c>
      <c r="C178" t="s">
        <v>12</v>
      </c>
      <c r="D178">
        <v>33</v>
      </c>
      <c r="E178" s="7">
        <v>44103</v>
      </c>
      <c r="F178" s="38">
        <v>115920</v>
      </c>
      <c r="G178" t="s">
        <v>13</v>
      </c>
      <c r="H178" t="s">
        <v>209</v>
      </c>
      <c r="I178" s="33">
        <f ca="1">(TODAY()-staff[[#This Row],[Date Joined]])/365</f>
        <v>3.1616438356164385</v>
      </c>
      <c r="J178" s="36">
        <f ca="1">ROUNDUP(IF(staff[[#This Row],[Tenure]]&gt;2,3%,2%)*staff[[#This Row],[Salary]],0)</f>
        <v>3478</v>
      </c>
      <c r="K178" s="40">
        <f>_xlfn.XLOOKUP(staff[[#This Row],[Rating]],Rating!$B$4:$B$8,Rating!$C$4:$C$8)</f>
        <v>3</v>
      </c>
      <c r="O178" s="6"/>
    </row>
    <row r="179" spans="1:15" x14ac:dyDescent="0.25">
      <c r="A179" t="s">
        <v>77</v>
      </c>
      <c r="B179" t="s">
        <v>15</v>
      </c>
      <c r="C179" t="s">
        <v>26</v>
      </c>
      <c r="D179">
        <v>37</v>
      </c>
      <c r="E179" s="7">
        <v>44451</v>
      </c>
      <c r="F179" s="38">
        <v>118100</v>
      </c>
      <c r="G179" t="s">
        <v>13</v>
      </c>
      <c r="H179" t="s">
        <v>207</v>
      </c>
      <c r="I179" s="33">
        <f ca="1">(TODAY()-staff[[#This Row],[Date Joined]])/365</f>
        <v>2.2082191780821918</v>
      </c>
      <c r="J179" s="36">
        <f ca="1">ROUNDUP(IF(staff[[#This Row],[Tenure]]&gt;2,3%,2%)*staff[[#This Row],[Salary]],0)</f>
        <v>3543</v>
      </c>
      <c r="K179" s="40">
        <f>_xlfn.XLOOKUP(staff[[#This Row],[Rating]],Rating!$B$4:$B$8,Rating!$C$4:$C$8)</f>
        <v>3</v>
      </c>
      <c r="O179" s="6"/>
    </row>
    <row r="180" spans="1:15" x14ac:dyDescent="0.25">
      <c r="A180" t="s">
        <v>186</v>
      </c>
      <c r="B180" t="s">
        <v>15</v>
      </c>
      <c r="C180" t="s">
        <v>26</v>
      </c>
      <c r="D180">
        <v>37</v>
      </c>
      <c r="E180" s="7">
        <v>44389</v>
      </c>
      <c r="F180" s="38">
        <v>118100</v>
      </c>
      <c r="G180" t="s">
        <v>13</v>
      </c>
      <c r="H180" t="s">
        <v>209</v>
      </c>
      <c r="I180" s="33">
        <f ca="1">(TODAY()-staff[[#This Row],[Date Joined]])/365</f>
        <v>2.3780821917808219</v>
      </c>
      <c r="J180" s="36">
        <f ca="1">ROUNDUP(IF(staff[[#This Row],[Tenure]]&gt;2,3%,2%)*staff[[#This Row],[Salary]],0)</f>
        <v>3543</v>
      </c>
      <c r="K180" s="40">
        <f>_xlfn.XLOOKUP(staff[[#This Row],[Rating]],Rating!$B$4:$B$8,Rating!$C$4:$C$8)</f>
        <v>3</v>
      </c>
      <c r="O180" s="6"/>
    </row>
    <row r="181" spans="1:15" x14ac:dyDescent="0.25">
      <c r="A181" t="s">
        <v>68</v>
      </c>
      <c r="B181" t="s">
        <v>8</v>
      </c>
      <c r="C181" t="s">
        <v>23</v>
      </c>
      <c r="D181">
        <v>36</v>
      </c>
      <c r="E181" s="7">
        <v>44019</v>
      </c>
      <c r="F181" s="38">
        <v>118840</v>
      </c>
      <c r="G181" t="s">
        <v>13</v>
      </c>
      <c r="H181" t="s">
        <v>207</v>
      </c>
      <c r="I181" s="33">
        <f ca="1">(TODAY()-staff[[#This Row],[Date Joined]])/365</f>
        <v>3.3917808219178083</v>
      </c>
      <c r="J181" s="36">
        <f ca="1">ROUNDUP(IF(staff[[#This Row],[Tenure]]&gt;2,3%,2%)*staff[[#This Row],[Salary]],0)</f>
        <v>3566</v>
      </c>
      <c r="K181" s="40">
        <f>_xlfn.XLOOKUP(staff[[#This Row],[Rating]],Rating!$B$4:$B$8,Rating!$C$4:$C$8)</f>
        <v>3</v>
      </c>
      <c r="O181" s="6"/>
    </row>
    <row r="182" spans="1:15" x14ac:dyDescent="0.25">
      <c r="A182" t="s">
        <v>127</v>
      </c>
      <c r="B182" t="s">
        <v>8</v>
      </c>
      <c r="C182" t="s">
        <v>23</v>
      </c>
      <c r="D182">
        <v>36</v>
      </c>
      <c r="E182" s="7">
        <v>43958</v>
      </c>
      <c r="F182" s="38">
        <v>118840</v>
      </c>
      <c r="G182" t="s">
        <v>13</v>
      </c>
      <c r="H182" t="s">
        <v>209</v>
      </c>
      <c r="I182" s="33">
        <f ca="1">(TODAY()-staff[[#This Row],[Date Joined]])/365</f>
        <v>3.558904109589041</v>
      </c>
      <c r="J182" s="36">
        <f ca="1">ROUNDUP(IF(staff[[#This Row],[Tenure]]&gt;2,3%,2%)*staff[[#This Row],[Salary]],0)</f>
        <v>3566</v>
      </c>
      <c r="K182" s="40">
        <f>_xlfn.XLOOKUP(staff[[#This Row],[Rating]],Rating!$B$4:$B$8,Rating!$C$4:$C$8)</f>
        <v>3</v>
      </c>
      <c r="O182" s="6"/>
    </row>
    <row r="183" spans="1:15" x14ac:dyDescent="0.25">
      <c r="A183" t="s">
        <v>25</v>
      </c>
      <c r="B183" t="s">
        <v>15</v>
      </c>
      <c r="C183" t="s">
        <v>26</v>
      </c>
      <c r="D183">
        <v>27</v>
      </c>
      <c r="E183" s="7">
        <v>44122</v>
      </c>
      <c r="F183" s="38">
        <v>119110</v>
      </c>
      <c r="G183" t="s">
        <v>13</v>
      </c>
      <c r="H183" t="s">
        <v>207</v>
      </c>
      <c r="I183" s="33">
        <f ca="1">(TODAY()-staff[[#This Row],[Date Joined]])/365</f>
        <v>3.1095890410958904</v>
      </c>
      <c r="J183" s="36">
        <f ca="1">ROUNDUP(IF(staff[[#This Row],[Tenure]]&gt;2,3%,2%)*staff[[#This Row],[Salary]],0)</f>
        <v>3574</v>
      </c>
      <c r="K183" s="40">
        <f>_xlfn.XLOOKUP(staff[[#This Row],[Rating]],Rating!$B$4:$B$8,Rating!$C$4:$C$8)</f>
        <v>3</v>
      </c>
      <c r="O183" s="6"/>
    </row>
    <row r="184" spans="1:15" x14ac:dyDescent="0.25">
      <c r="A184" t="s">
        <v>147</v>
      </c>
      <c r="B184" t="s">
        <v>15</v>
      </c>
      <c r="C184" t="s">
        <v>26</v>
      </c>
      <c r="D184">
        <v>27</v>
      </c>
      <c r="E184" s="7">
        <v>44061</v>
      </c>
      <c r="F184" s="38">
        <v>119110</v>
      </c>
      <c r="G184" t="s">
        <v>13</v>
      </c>
      <c r="H184" t="s">
        <v>209</v>
      </c>
      <c r="I184" s="33">
        <f ca="1">(TODAY()-staff[[#This Row],[Date Joined]])/365</f>
        <v>3.2767123287671232</v>
      </c>
      <c r="J184" s="36">
        <f ca="1">ROUNDUP(IF(staff[[#This Row],[Tenure]]&gt;2,3%,2%)*staff[[#This Row],[Salary]],0)</f>
        <v>3574</v>
      </c>
      <c r="K184" s="40">
        <f>_xlfn.XLOOKUP(staff[[#This Row],[Rating]],Rating!$B$4:$B$8,Rating!$C$4:$C$8)</f>
        <v>3</v>
      </c>
      <c r="O184" s="6"/>
    </row>
    <row r="185" spans="1:15" x14ac:dyDescent="0.25">
      <c r="O185" s="6"/>
    </row>
    <row r="186" spans="1:15" x14ac:dyDescent="0.25">
      <c r="O186" s="6"/>
    </row>
    <row r="187" spans="1:15" x14ac:dyDescent="0.25">
      <c r="O187" s="6"/>
    </row>
    <row r="188" spans="1:15" x14ac:dyDescent="0.25">
      <c r="O188" s="6"/>
    </row>
    <row r="189" spans="1:15" x14ac:dyDescent="0.25">
      <c r="O189" s="6"/>
    </row>
    <row r="190" spans="1:15" x14ac:dyDescent="0.25">
      <c r="O190" s="6"/>
    </row>
    <row r="191" spans="1:15" x14ac:dyDescent="0.25">
      <c r="O191" s="6"/>
    </row>
    <row r="192" spans="1:15" x14ac:dyDescent="0.25">
      <c r="O192" s="6"/>
    </row>
    <row r="193" spans="15:15" x14ac:dyDescent="0.25">
      <c r="O193" s="6"/>
    </row>
    <row r="194" spans="15:15" x14ac:dyDescent="0.25">
      <c r="O194" s="6"/>
    </row>
    <row r="195" spans="15:15" x14ac:dyDescent="0.25">
      <c r="O195" s="6"/>
    </row>
    <row r="196" spans="15:15" x14ac:dyDescent="0.25">
      <c r="O196" s="6"/>
    </row>
    <row r="197" spans="15:15" x14ac:dyDescent="0.25">
      <c r="O197" s="6"/>
    </row>
    <row r="198" spans="15:15" x14ac:dyDescent="0.25">
      <c r="O198" s="6"/>
    </row>
    <row r="199" spans="15:15" x14ac:dyDescent="0.25">
      <c r="O199" s="6"/>
    </row>
    <row r="200" spans="15:15" x14ac:dyDescent="0.25">
      <c r="O200" s="6"/>
    </row>
    <row r="201" spans="15:15" x14ac:dyDescent="0.25">
      <c r="O201" s="6"/>
    </row>
    <row r="202" spans="15:15" x14ac:dyDescent="0.25">
      <c r="O202" s="6"/>
    </row>
    <row r="203" spans="15:15" x14ac:dyDescent="0.25">
      <c r="O203" s="6"/>
    </row>
    <row r="204" spans="15:15" x14ac:dyDescent="0.25">
      <c r="O204" s="6"/>
    </row>
    <row r="205" spans="15:15" x14ac:dyDescent="0.25">
      <c r="O205" s="6"/>
    </row>
    <row r="206" spans="15:15" x14ac:dyDescent="0.25">
      <c r="O206" s="6"/>
    </row>
    <row r="207" spans="15:15" x14ac:dyDescent="0.25">
      <c r="O207" s="6"/>
    </row>
  </sheetData>
  <mergeCells count="1">
    <mergeCell ref="O2:R2"/>
  </mergeCells>
  <conditionalFormatting sqref="F2:F184">
    <cfRule type="colorScale" priority="1">
      <colorScale>
        <cfvo type="min"/>
        <cfvo type="percentile" val="50"/>
        <cfvo type="max"/>
        <color rgb="FFF8696B"/>
        <color rgb="FFFCFCFF"/>
        <color rgb="FF5A8AC6"/>
      </colorScale>
    </cfRule>
  </conditionalFormatting>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E18-7CDA-4C5D-B0F7-7A6524A33463}">
  <sheetPr>
    <tabColor theme="4"/>
  </sheetPr>
  <dimension ref="B2:D45"/>
  <sheetViews>
    <sheetView workbookViewId="0">
      <selection activeCell="G7" sqref="G7"/>
    </sheetView>
  </sheetViews>
  <sheetFormatPr defaultRowHeight="15" x14ac:dyDescent="0.25"/>
  <cols>
    <col min="2" max="2" width="28.5703125" customWidth="1"/>
    <col min="3" max="3" width="12.5703125" customWidth="1"/>
    <col min="4" max="4" width="16.85546875" customWidth="1"/>
    <col min="5" max="5" width="12.7109375" customWidth="1"/>
  </cols>
  <sheetData>
    <row r="2" spans="2:4" ht="18.75" x14ac:dyDescent="0.3">
      <c r="B2" s="29">
        <v>3</v>
      </c>
      <c r="C2" s="43" t="s">
        <v>222</v>
      </c>
      <c r="D2" s="43"/>
    </row>
    <row r="3" spans="2:4" x14ac:dyDescent="0.25">
      <c r="B3" t="s">
        <v>223</v>
      </c>
      <c r="C3" s="28" t="s">
        <v>224</v>
      </c>
    </row>
    <row r="4" spans="2:4" ht="14.25" customHeight="1" x14ac:dyDescent="0.25"/>
    <row r="5" spans="2:4" x14ac:dyDescent="0.25">
      <c r="B5" t="s">
        <v>225</v>
      </c>
      <c r="C5">
        <f>COUNTIFS(staff[Department], C3)</f>
        <v>38</v>
      </c>
    </row>
    <row r="8" spans="2:4" x14ac:dyDescent="0.25">
      <c r="B8" t="str" cm="1">
        <f t="array" aca="1" ref="B8:D45" ca="1">_xlfn._xlws.SORT(_xlfn.CHOOSECOLS(_xlfn._xlws.FILTER(staff[], staff[Department]=C3), 1,6,7), 2, -1)</f>
        <v>Benny Karolovsky</v>
      </c>
      <c r="C8">
        <f ca="1"/>
        <v>115440</v>
      </c>
      <c r="D8" t="str">
        <f ca="1"/>
        <v>Poor</v>
      </c>
    </row>
    <row r="9" spans="2:4" x14ac:dyDescent="0.25">
      <c r="B9" t="str">
        <f ca="1"/>
        <v>Sahila Chandrasekhar</v>
      </c>
      <c r="C9">
        <f ca="1"/>
        <v>115440</v>
      </c>
      <c r="D9" t="str">
        <f ca="1"/>
        <v>Poor</v>
      </c>
    </row>
    <row r="10" spans="2:4" x14ac:dyDescent="0.25">
      <c r="B10" t="str">
        <f ca="1"/>
        <v>Constantino Espley</v>
      </c>
      <c r="C10">
        <f ca="1"/>
        <v>96800</v>
      </c>
      <c r="D10" t="str">
        <f ca="1"/>
        <v>Average</v>
      </c>
    </row>
    <row r="11" spans="2:4" x14ac:dyDescent="0.25">
      <c r="B11" t="str">
        <f ca="1"/>
        <v>Mithil Nadkarni</v>
      </c>
      <c r="C11">
        <f ca="1"/>
        <v>96800</v>
      </c>
      <c r="D11" t="str">
        <f ca="1"/>
        <v>Average</v>
      </c>
    </row>
    <row r="12" spans="2:4" x14ac:dyDescent="0.25">
      <c r="B12" t="str">
        <f ca="1"/>
        <v>Leilah Yesinin</v>
      </c>
      <c r="C12">
        <f ca="1"/>
        <v>92450</v>
      </c>
      <c r="D12" t="str">
        <f ca="1"/>
        <v>Average</v>
      </c>
    </row>
    <row r="13" spans="2:4" x14ac:dyDescent="0.25">
      <c r="B13" t="str">
        <f ca="1"/>
        <v>Deepit Ranjana</v>
      </c>
      <c r="C13">
        <f ca="1"/>
        <v>92450</v>
      </c>
      <c r="D13" t="str">
        <f ca="1"/>
        <v>Average</v>
      </c>
    </row>
    <row r="14" spans="2:4" x14ac:dyDescent="0.25">
      <c r="B14" t="str">
        <f ca="1"/>
        <v>Enoch Dowrey</v>
      </c>
      <c r="C14">
        <f ca="1"/>
        <v>91650</v>
      </c>
      <c r="D14" t="str">
        <f ca="1"/>
        <v>Above average</v>
      </c>
    </row>
    <row r="15" spans="2:4" x14ac:dyDescent="0.25">
      <c r="B15" t="str">
        <f ca="1"/>
        <v>Kamalakshi Mukundan</v>
      </c>
      <c r="C15">
        <f ca="1"/>
        <v>91650</v>
      </c>
      <c r="D15" t="str">
        <f ca="1"/>
        <v>Above average</v>
      </c>
    </row>
    <row r="16" spans="2:4" x14ac:dyDescent="0.25">
      <c r="B16" t="str">
        <f ca="1"/>
        <v>Sibyl Dunkirk</v>
      </c>
      <c r="C16">
        <f ca="1"/>
        <v>86570</v>
      </c>
      <c r="D16" t="str">
        <f ca="1"/>
        <v>Average</v>
      </c>
    </row>
    <row r="17" spans="2:4" x14ac:dyDescent="0.25">
      <c r="B17" t="str">
        <f ca="1"/>
        <v>Madhumati Gazala Soumitra</v>
      </c>
      <c r="C17">
        <f ca="1"/>
        <v>86570</v>
      </c>
      <c r="D17" t="str">
        <f ca="1"/>
        <v>Average</v>
      </c>
    </row>
    <row r="18" spans="2:4" x14ac:dyDescent="0.25">
      <c r="B18" t="str">
        <f ca="1"/>
        <v>Karlen McCaffrey</v>
      </c>
      <c r="C18">
        <f ca="1"/>
        <v>85000</v>
      </c>
      <c r="D18" t="str">
        <f ca="1"/>
        <v>Average</v>
      </c>
    </row>
    <row r="19" spans="2:4" x14ac:dyDescent="0.25">
      <c r="B19" t="str">
        <f ca="1"/>
        <v>Tarala Vishaal</v>
      </c>
      <c r="C19">
        <f ca="1"/>
        <v>85000</v>
      </c>
      <c r="D19" t="str">
        <f ca="1"/>
        <v>Average</v>
      </c>
    </row>
    <row r="20" spans="2:4" x14ac:dyDescent="0.25">
      <c r="B20" t="str">
        <f ca="1"/>
        <v>Beverie Moffet</v>
      </c>
      <c r="C20">
        <f ca="1"/>
        <v>75970</v>
      </c>
      <c r="D20" t="str">
        <f ca="1"/>
        <v>Average</v>
      </c>
    </row>
    <row r="21" spans="2:4" x14ac:dyDescent="0.25">
      <c r="B21" t="str">
        <f ca="1"/>
        <v>Indu Varada Sumedh</v>
      </c>
      <c r="C21">
        <f ca="1"/>
        <v>75970</v>
      </c>
      <c r="D21" t="str">
        <f ca="1"/>
        <v>Average</v>
      </c>
    </row>
    <row r="22" spans="2:4" x14ac:dyDescent="0.25">
      <c r="B22" t="str">
        <f ca="1"/>
        <v>Bennie Pepis</v>
      </c>
      <c r="C22">
        <f ca="1"/>
        <v>71380</v>
      </c>
      <c r="D22" t="str">
        <f ca="1"/>
        <v>Average</v>
      </c>
    </row>
    <row r="23" spans="2:4" x14ac:dyDescent="0.25">
      <c r="B23" t="str">
        <f ca="1"/>
        <v>Kulbhushan Moorthy</v>
      </c>
      <c r="C23">
        <f ca="1"/>
        <v>71380</v>
      </c>
      <c r="D23" t="str">
        <f ca="1"/>
        <v>Average</v>
      </c>
    </row>
    <row r="24" spans="2:4" x14ac:dyDescent="0.25">
      <c r="B24" t="str">
        <f ca="1"/>
        <v>Shayne Stegel</v>
      </c>
      <c r="C24">
        <f ca="1"/>
        <v>70270</v>
      </c>
      <c r="D24" t="str">
        <f ca="1"/>
        <v>Poor</v>
      </c>
    </row>
    <row r="25" spans="2:4" x14ac:dyDescent="0.25">
      <c r="B25" t="str">
        <f ca="1"/>
        <v>Chandana Sannidhi Surnilla</v>
      </c>
      <c r="C25">
        <f ca="1"/>
        <v>70270</v>
      </c>
      <c r="D25" t="str">
        <f ca="1"/>
        <v>Poor</v>
      </c>
    </row>
    <row r="26" spans="2:4" x14ac:dyDescent="0.25">
      <c r="B26" t="str">
        <f ca="1"/>
        <v>Husein Augar</v>
      </c>
      <c r="C26">
        <f ca="1"/>
        <v>67910</v>
      </c>
      <c r="D26" t="str">
        <f ca="1"/>
        <v>Poor</v>
      </c>
    </row>
    <row r="27" spans="2:4" x14ac:dyDescent="0.25">
      <c r="B27" t="str">
        <f ca="1"/>
        <v>Kantimoy Pritish</v>
      </c>
      <c r="C27">
        <f ca="1"/>
        <v>67910</v>
      </c>
      <c r="D27" t="str">
        <f ca="1"/>
        <v>Poor</v>
      </c>
    </row>
    <row r="28" spans="2:4" x14ac:dyDescent="0.25">
      <c r="B28" t="str">
        <f ca="1"/>
        <v>Marney O'Breen</v>
      </c>
      <c r="C28">
        <f ca="1"/>
        <v>65920</v>
      </c>
      <c r="D28" t="str">
        <f ca="1"/>
        <v>Average</v>
      </c>
    </row>
    <row r="29" spans="2:4" x14ac:dyDescent="0.25">
      <c r="B29" t="str">
        <f ca="1"/>
        <v>Agrata Rajarama</v>
      </c>
      <c r="C29">
        <f ca="1"/>
        <v>65920</v>
      </c>
      <c r="D29" t="str">
        <f ca="1"/>
        <v>Average</v>
      </c>
    </row>
    <row r="30" spans="2:4" x14ac:dyDescent="0.25">
      <c r="B30" t="str">
        <f ca="1"/>
        <v>Teressa Udden</v>
      </c>
      <c r="C30">
        <f ca="1"/>
        <v>65360</v>
      </c>
      <c r="D30" t="str">
        <f ca="1"/>
        <v>Average</v>
      </c>
    </row>
    <row r="31" spans="2:4" x14ac:dyDescent="0.25">
      <c r="B31" t="str">
        <f ca="1"/>
        <v>Kevalkumar Solanki</v>
      </c>
      <c r="C31">
        <f ca="1"/>
        <v>65360</v>
      </c>
      <c r="D31" t="str">
        <f ca="1"/>
        <v>Average</v>
      </c>
    </row>
    <row r="32" spans="2:4" x14ac:dyDescent="0.25">
      <c r="B32" t="str">
        <f ca="1"/>
        <v>Curtice Advani</v>
      </c>
      <c r="C32">
        <f ca="1"/>
        <v>64000</v>
      </c>
      <c r="D32" t="str">
        <f ca="1"/>
        <v>Average</v>
      </c>
    </row>
    <row r="33" spans="2:4" x14ac:dyDescent="0.25">
      <c r="B33" t="str">
        <f ca="1"/>
        <v>Upendra Swati</v>
      </c>
      <c r="C33">
        <f ca="1"/>
        <v>64000</v>
      </c>
      <c r="D33" t="str">
        <f ca="1"/>
        <v>Average</v>
      </c>
    </row>
    <row r="34" spans="2:4" x14ac:dyDescent="0.25">
      <c r="B34" t="str">
        <f ca="1"/>
        <v>Jehu Rudeforth</v>
      </c>
      <c r="C34">
        <f ca="1"/>
        <v>60130</v>
      </c>
      <c r="D34" t="str">
        <f ca="1"/>
        <v>Average</v>
      </c>
    </row>
    <row r="35" spans="2:4" x14ac:dyDescent="0.25">
      <c r="B35" t="str">
        <f ca="1"/>
        <v>Lalit Kothari</v>
      </c>
      <c r="C35">
        <f ca="1"/>
        <v>60130</v>
      </c>
      <c r="D35" t="str">
        <f ca="1"/>
        <v>Average</v>
      </c>
    </row>
    <row r="36" spans="2:4" x14ac:dyDescent="0.25">
      <c r="B36" t="str">
        <f ca="1"/>
        <v>My Hanscome</v>
      </c>
      <c r="C36">
        <f ca="1"/>
        <v>59430</v>
      </c>
      <c r="D36" t="str">
        <f ca="1"/>
        <v>Average</v>
      </c>
    </row>
    <row r="37" spans="2:4" x14ac:dyDescent="0.25">
      <c r="B37" t="str">
        <f ca="1"/>
        <v>Asija Pothireddy</v>
      </c>
      <c r="C37">
        <f ca="1"/>
        <v>59430</v>
      </c>
      <c r="D37" t="str">
        <f ca="1"/>
        <v>Average</v>
      </c>
    </row>
    <row r="38" spans="2:4" x14ac:dyDescent="0.25">
      <c r="B38" t="str">
        <f ca="1"/>
        <v>Oby Sorrel</v>
      </c>
      <c r="C38">
        <f ca="1"/>
        <v>58940</v>
      </c>
      <c r="D38" t="str">
        <f ca="1"/>
        <v>Average</v>
      </c>
    </row>
    <row r="39" spans="2:4" x14ac:dyDescent="0.25">
      <c r="B39" t="str">
        <f ca="1"/>
        <v>Krittika Gaekwad</v>
      </c>
      <c r="C39">
        <f ca="1"/>
        <v>58940</v>
      </c>
      <c r="D39" t="str">
        <f ca="1"/>
        <v>Average</v>
      </c>
    </row>
    <row r="40" spans="2:4" x14ac:dyDescent="0.25">
      <c r="B40" t="str">
        <f ca="1"/>
        <v>Kaye Crocroft</v>
      </c>
      <c r="C40">
        <f ca="1"/>
        <v>52610</v>
      </c>
      <c r="D40" t="str">
        <f ca="1"/>
        <v>Poor</v>
      </c>
    </row>
    <row r="41" spans="2:4" x14ac:dyDescent="0.25">
      <c r="B41" t="str">
        <f ca="1"/>
        <v>Gumwant Veera</v>
      </c>
      <c r="C41">
        <f ca="1"/>
        <v>52610</v>
      </c>
      <c r="D41" t="str">
        <f ca="1"/>
        <v>Poor</v>
      </c>
    </row>
    <row r="42" spans="2:4" x14ac:dyDescent="0.25">
      <c r="B42" t="str">
        <f ca="1"/>
        <v>Esmaria Denecamp</v>
      </c>
      <c r="C42">
        <f ca="1"/>
        <v>48980</v>
      </c>
      <c r="D42" t="str">
        <f ca="1"/>
        <v>Average</v>
      </c>
    </row>
    <row r="43" spans="2:4" x14ac:dyDescent="0.25">
      <c r="B43" t="str">
        <f ca="1"/>
        <v>Vanmala Shriharsha</v>
      </c>
      <c r="C43">
        <f ca="1"/>
        <v>48980</v>
      </c>
      <c r="D43" t="str">
        <f ca="1"/>
        <v>Average</v>
      </c>
    </row>
    <row r="44" spans="2:4" x14ac:dyDescent="0.25">
      <c r="B44" t="str">
        <f ca="1"/>
        <v>Jan Morforth</v>
      </c>
      <c r="C44">
        <f ca="1"/>
        <v>48170</v>
      </c>
      <c r="D44" t="str">
        <f ca="1"/>
        <v>Above average</v>
      </c>
    </row>
    <row r="45" spans="2:4" x14ac:dyDescent="0.25">
      <c r="B45" t="str">
        <f ca="1"/>
        <v>Ardhendu Abhichandra Jayakar</v>
      </c>
      <c r="C45">
        <f ca="1"/>
        <v>48170</v>
      </c>
      <c r="D45" t="str">
        <f ca="1"/>
        <v>Above average</v>
      </c>
    </row>
  </sheetData>
  <mergeCells count="1">
    <mergeCell ref="C2:D2"/>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2DFDA-9FF7-44EE-8B8D-8BC839FA498C}">
  <sheetPr>
    <tabColor theme="4"/>
  </sheetPr>
  <dimension ref="B2:F17"/>
  <sheetViews>
    <sheetView workbookViewId="0">
      <selection activeCell="C28" sqref="C28"/>
    </sheetView>
  </sheetViews>
  <sheetFormatPr defaultRowHeight="15" x14ac:dyDescent="0.25"/>
  <cols>
    <col min="2" max="2" width="15.140625" bestFit="1" customWidth="1"/>
    <col min="3" max="3" width="16.28515625" bestFit="1" customWidth="1"/>
    <col min="4" max="5" width="8.5703125" bestFit="1" customWidth="1"/>
    <col min="6" max="6" width="12" bestFit="1" customWidth="1"/>
    <col min="7" max="7" width="16.28515625" bestFit="1" customWidth="1"/>
    <col min="8" max="8" width="19.42578125" bestFit="1" customWidth="1"/>
    <col min="9" max="9" width="16" bestFit="1" customWidth="1"/>
    <col min="10" max="184" width="30" bestFit="1" customWidth="1"/>
    <col min="185" max="185" width="11.28515625" bestFit="1" customWidth="1"/>
  </cols>
  <sheetData>
    <row r="2" spans="2:5" ht="18.75" x14ac:dyDescent="0.3">
      <c r="B2" s="30">
        <v>4</v>
      </c>
      <c r="C2" t="s">
        <v>226</v>
      </c>
    </row>
    <row r="11" spans="2:5" x14ac:dyDescent="0.25">
      <c r="C11" s="31" t="s">
        <v>227</v>
      </c>
    </row>
    <row r="12" spans="2:5" x14ac:dyDescent="0.25">
      <c r="B12" s="31" t="s">
        <v>228</v>
      </c>
      <c r="C12" t="s">
        <v>15</v>
      </c>
      <c r="D12" t="s">
        <v>8</v>
      </c>
      <c r="E12" t="s">
        <v>221</v>
      </c>
    </row>
    <row r="13" spans="2:5" x14ac:dyDescent="0.25">
      <c r="B13" s="21" t="s">
        <v>229</v>
      </c>
      <c r="C13">
        <v>86</v>
      </c>
      <c r="D13">
        <v>89</v>
      </c>
      <c r="E13">
        <v>8</v>
      </c>
    </row>
    <row r="14" spans="2:5" x14ac:dyDescent="0.25">
      <c r="B14" s="21" t="s">
        <v>213</v>
      </c>
      <c r="C14" s="32">
        <v>31.406976744186046</v>
      </c>
      <c r="D14" s="32">
        <v>29.393258426966291</v>
      </c>
      <c r="E14" s="32">
        <v>31.375</v>
      </c>
    </row>
    <row r="15" spans="2:5" x14ac:dyDescent="0.25">
      <c r="B15" s="21" t="s">
        <v>230</v>
      </c>
      <c r="C15" s="34">
        <v>78284.186046511633</v>
      </c>
      <c r="D15" s="32">
        <v>74915.168539325838</v>
      </c>
      <c r="E15" s="32">
        <v>90362.5</v>
      </c>
    </row>
    <row r="16" spans="2:5" x14ac:dyDescent="0.25">
      <c r="B16" s="21" t="s">
        <v>215</v>
      </c>
      <c r="C16" s="32">
        <v>2.2353615801210576</v>
      </c>
      <c r="D16" s="32">
        <v>2.2262582730490994</v>
      </c>
      <c r="E16" s="32">
        <v>2.2777397260273973</v>
      </c>
    </row>
    <row r="17" spans="3:6" x14ac:dyDescent="0.25">
      <c r="C17" s="32"/>
      <c r="D17" s="32"/>
      <c r="E17" s="32"/>
      <c r="F17" s="3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29211-AA29-4101-B438-A083CAAF068B}">
  <sheetPr>
    <tabColor theme="9"/>
  </sheetPr>
  <dimension ref="A1"/>
  <sheetViews>
    <sheetView workbookViewId="0">
      <selection activeCell="K24" sqref="K24"/>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66889-A48D-41B0-803A-915855712120}">
  <sheetPr>
    <tabColor rgb="FFFFC000"/>
  </sheetPr>
  <dimension ref="B3:P11"/>
  <sheetViews>
    <sheetView workbookViewId="0">
      <selection activeCell="G12" sqref="G12"/>
    </sheetView>
  </sheetViews>
  <sheetFormatPr defaultRowHeight="15" x14ac:dyDescent="0.25"/>
  <cols>
    <col min="2" max="2" width="14.28515625" bestFit="1" customWidth="1"/>
    <col min="3" max="3" width="14.42578125" bestFit="1" customWidth="1"/>
    <col min="4" max="4" width="16.42578125" bestFit="1" customWidth="1"/>
  </cols>
  <sheetData>
    <row r="3" spans="2:16" x14ac:dyDescent="0.25">
      <c r="P3" t="s">
        <v>231</v>
      </c>
    </row>
    <row r="5" spans="2:16" x14ac:dyDescent="0.25">
      <c r="B5" s="31" t="s">
        <v>232</v>
      </c>
      <c r="C5" t="s">
        <v>229</v>
      </c>
      <c r="D5" t="s">
        <v>233</v>
      </c>
    </row>
    <row r="6" spans="2:16" x14ac:dyDescent="0.25">
      <c r="B6" s="21" t="s">
        <v>43</v>
      </c>
      <c r="C6">
        <v>4</v>
      </c>
      <c r="D6" s="39">
        <v>92080</v>
      </c>
    </row>
    <row r="7" spans="2:16" x14ac:dyDescent="0.25">
      <c r="B7" s="21" t="s">
        <v>10</v>
      </c>
      <c r="C7">
        <v>20</v>
      </c>
      <c r="D7" s="39">
        <v>75933</v>
      </c>
    </row>
    <row r="8" spans="2:16" x14ac:dyDescent="0.25">
      <c r="B8" s="21" t="s">
        <v>13</v>
      </c>
      <c r="C8">
        <v>137</v>
      </c>
      <c r="D8" s="39">
        <v>76798.759124087592</v>
      </c>
    </row>
    <row r="9" spans="2:16" x14ac:dyDescent="0.25">
      <c r="B9" s="21" t="s">
        <v>18</v>
      </c>
      <c r="C9">
        <v>16</v>
      </c>
      <c r="D9" s="39">
        <v>78115</v>
      </c>
    </row>
    <row r="10" spans="2:16" x14ac:dyDescent="0.25">
      <c r="B10" s="21" t="s">
        <v>49</v>
      </c>
      <c r="C10">
        <v>6</v>
      </c>
      <c r="D10" s="39">
        <v>77423.333333333328</v>
      </c>
    </row>
    <row r="11" spans="2:16" x14ac:dyDescent="0.25">
      <c r="B11" s="21" t="s">
        <v>234</v>
      </c>
      <c r="C11">
        <v>183</v>
      </c>
      <c r="D11" s="39">
        <v>77173.715846994543</v>
      </c>
    </row>
  </sheetData>
  <conditionalFormatting pivot="1" sqref="D6:D10">
    <cfRule type="dataBar" priority="1">
      <dataBar>
        <cfvo type="min"/>
        <cfvo type="max"/>
        <color rgb="FF63C384"/>
      </dataBar>
      <extLst>
        <ext xmlns:x14="http://schemas.microsoft.com/office/spreadsheetml/2009/9/main" uri="{B025F937-C7B1-47D3-B67F-A62EFF666E3E}">
          <x14:id>{997E3C85-0F0E-4973-B243-3E81C1F0B6E1}</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997E3C85-0F0E-4973-B243-3E81C1F0B6E1}">
            <x14:dataBar minLength="0" maxLength="100" gradient="0">
              <x14:cfvo type="autoMin"/>
              <x14:cfvo type="autoMax"/>
              <x14:negativeFillColor rgb="FFFF0000"/>
              <x14:axisColor rgb="FF000000"/>
            </x14:dataBar>
          </x14:cfRule>
          <xm:sqref>D6:D10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6782A-3F64-4765-8D12-C20E8F9DCEA2}">
  <sheetPr>
    <tabColor theme="1" tint="0.499984740745262"/>
  </sheetPr>
  <dimension ref="B4:C8"/>
  <sheetViews>
    <sheetView workbookViewId="0">
      <selection activeCell="E10" sqref="E10"/>
    </sheetView>
  </sheetViews>
  <sheetFormatPr defaultRowHeight="15" x14ac:dyDescent="0.25"/>
  <cols>
    <col min="2" max="2" width="14.140625" bestFit="1" customWidth="1"/>
  </cols>
  <sheetData>
    <row r="4" spans="2:3" x14ac:dyDescent="0.25">
      <c r="B4" s="21" t="s">
        <v>43</v>
      </c>
      <c r="C4">
        <v>5</v>
      </c>
    </row>
    <row r="5" spans="2:3" x14ac:dyDescent="0.25">
      <c r="B5" s="21" t="s">
        <v>10</v>
      </c>
      <c r="C5">
        <v>4</v>
      </c>
    </row>
    <row r="6" spans="2:3" x14ac:dyDescent="0.25">
      <c r="B6" s="21" t="s">
        <v>13</v>
      </c>
      <c r="C6">
        <v>3</v>
      </c>
    </row>
    <row r="7" spans="2:3" x14ac:dyDescent="0.25">
      <c r="B7" s="21" t="s">
        <v>18</v>
      </c>
      <c r="C7">
        <v>2</v>
      </c>
    </row>
    <row r="8" spans="2:3" x14ac:dyDescent="0.25">
      <c r="B8" s="21" t="s">
        <v>49</v>
      </c>
      <c r="C8">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FF91A-C560-4958-9663-8BA9726C2D47}">
  <sheetPr>
    <tabColor theme="8" tint="-0.499984740745262"/>
  </sheetPr>
  <dimension ref="B1:Q40"/>
  <sheetViews>
    <sheetView topLeftCell="A15" zoomScale="114" workbookViewId="0">
      <selection activeCell="M32" sqref="M32"/>
    </sheetView>
  </sheetViews>
  <sheetFormatPr defaultRowHeight="15" x14ac:dyDescent="0.25"/>
  <cols>
    <col min="2" max="2" width="13.140625" bestFit="1" customWidth="1"/>
    <col min="3" max="3" width="14.42578125" bestFit="1" customWidth="1"/>
    <col min="4" max="4" width="15.7109375" bestFit="1" customWidth="1"/>
    <col min="5" max="14" width="10.7109375" bestFit="1" customWidth="1"/>
    <col min="15" max="15" width="18.5703125" style="44" bestFit="1" customWidth="1"/>
    <col min="16" max="16" width="10.7109375" bestFit="1" customWidth="1"/>
    <col min="17" max="17" width="13.28515625" bestFit="1" customWidth="1"/>
    <col min="18" max="162" width="10.7109375" bestFit="1" customWidth="1"/>
    <col min="163" max="163" width="11.28515625" bestFit="1" customWidth="1"/>
  </cols>
  <sheetData>
    <row r="1" spans="2:17" x14ac:dyDescent="0.25">
      <c r="O1" s="45" t="s">
        <v>251</v>
      </c>
      <c r="P1" s="1" t="s">
        <v>252</v>
      </c>
      <c r="Q1" s="1" t="s">
        <v>253</v>
      </c>
    </row>
    <row r="2" spans="2:17" x14ac:dyDescent="0.25">
      <c r="N2" cm="1">
        <f t="array" ref="N2:N37">_xlfn.SEQUENCE(36)</f>
        <v>1</v>
      </c>
      <c r="O2" s="44" cm="1">
        <f t="array" ref="O2:O37">EDATE(DATE(2020,4,1),_xlfn.ANCHORARRAY( N2)+0)</f>
        <v>43952</v>
      </c>
      <c r="P2">
        <f>COUNTIFS(staff[Date Joined],"&gt;="&amp;O2, staff[Date Joined], "&lt;="&amp;EOMONTH(O2,0))</f>
        <v>3</v>
      </c>
      <c r="Q2">
        <f>SUM($P$2:P2)</f>
        <v>3</v>
      </c>
    </row>
    <row r="3" spans="2:17" x14ac:dyDescent="0.25">
      <c r="B3" s="31" t="s">
        <v>232</v>
      </c>
      <c r="C3" t="s">
        <v>229</v>
      </c>
      <c r="N3">
        <v>2</v>
      </c>
      <c r="O3" s="44">
        <v>43983</v>
      </c>
      <c r="P3">
        <f>COUNTIFS(staff[Date Joined],"&gt;="&amp;O3, staff[Date Joined], "&lt;="&amp;EOMONTH(O3,0))</f>
        <v>1</v>
      </c>
      <c r="Q3">
        <f>SUM($P$2:P3)</f>
        <v>4</v>
      </c>
    </row>
    <row r="4" spans="2:17" x14ac:dyDescent="0.25">
      <c r="B4" s="21" t="s">
        <v>235</v>
      </c>
      <c r="N4">
        <v>3</v>
      </c>
      <c r="O4" s="44">
        <v>44013</v>
      </c>
      <c r="P4">
        <f>COUNTIFS(staff[Date Joined],"&gt;="&amp;O4, staff[Date Joined], "&lt;="&amp;EOMONTH(O4,0))</f>
        <v>5</v>
      </c>
      <c r="Q4">
        <f>SUM($P$2:P4)</f>
        <v>9</v>
      </c>
    </row>
    <row r="5" spans="2:17" x14ac:dyDescent="0.25">
      <c r="B5" s="41" t="s">
        <v>236</v>
      </c>
      <c r="C5">
        <v>3</v>
      </c>
      <c r="N5">
        <v>4</v>
      </c>
      <c r="O5" s="44">
        <v>44044</v>
      </c>
      <c r="P5">
        <f>COUNTIFS(staff[Date Joined],"&gt;="&amp;O5, staff[Date Joined], "&lt;="&amp;EOMONTH(O5,0))</f>
        <v>3</v>
      </c>
      <c r="Q5">
        <f>SUM($P$2:P5)</f>
        <v>12</v>
      </c>
    </row>
    <row r="6" spans="2:17" x14ac:dyDescent="0.25">
      <c r="B6" s="41" t="s">
        <v>237</v>
      </c>
      <c r="C6">
        <v>4</v>
      </c>
      <c r="N6">
        <v>5</v>
      </c>
      <c r="O6" s="44">
        <v>44075</v>
      </c>
      <c r="P6">
        <f>COUNTIFS(staff[Date Joined],"&gt;="&amp;O6, staff[Date Joined], "&lt;="&amp;EOMONTH(O6,0))</f>
        <v>6</v>
      </c>
      <c r="Q6">
        <f>SUM($P$2:P6)</f>
        <v>18</v>
      </c>
    </row>
    <row r="7" spans="2:17" x14ac:dyDescent="0.25">
      <c r="B7" s="41" t="s">
        <v>238</v>
      </c>
      <c r="C7">
        <v>9</v>
      </c>
      <c r="N7">
        <v>6</v>
      </c>
      <c r="O7" s="44">
        <v>44105</v>
      </c>
      <c r="P7">
        <f>COUNTIFS(staff[Date Joined],"&gt;="&amp;O7, staff[Date Joined], "&lt;="&amp;EOMONTH(O7,0))</f>
        <v>6</v>
      </c>
      <c r="Q7">
        <f>SUM($P$2:P7)</f>
        <v>24</v>
      </c>
    </row>
    <row r="8" spans="2:17" x14ac:dyDescent="0.25">
      <c r="B8" s="41" t="s">
        <v>239</v>
      </c>
      <c r="C8">
        <v>12</v>
      </c>
      <c r="N8">
        <v>7</v>
      </c>
      <c r="O8" s="44">
        <v>44136</v>
      </c>
      <c r="P8">
        <f>COUNTIFS(staff[Date Joined],"&gt;="&amp;O8, staff[Date Joined], "&lt;="&amp;EOMONTH(O8,0))</f>
        <v>6</v>
      </c>
      <c r="Q8">
        <f>SUM($P$2:P8)</f>
        <v>30</v>
      </c>
    </row>
    <row r="9" spans="2:17" x14ac:dyDescent="0.25">
      <c r="B9" s="41" t="s">
        <v>240</v>
      </c>
      <c r="C9">
        <v>18</v>
      </c>
      <c r="N9">
        <v>8</v>
      </c>
      <c r="O9" s="44">
        <v>44166</v>
      </c>
      <c r="P9">
        <f>COUNTIFS(staff[Date Joined],"&gt;="&amp;O9, staff[Date Joined], "&lt;="&amp;EOMONTH(O9,0))</f>
        <v>7</v>
      </c>
      <c r="Q9">
        <f>SUM($P$2:P9)</f>
        <v>37</v>
      </c>
    </row>
    <row r="10" spans="2:17" x14ac:dyDescent="0.25">
      <c r="B10" s="41" t="s">
        <v>241</v>
      </c>
      <c r="C10">
        <v>24</v>
      </c>
      <c r="N10">
        <v>9</v>
      </c>
      <c r="O10" s="44">
        <v>44197</v>
      </c>
      <c r="P10">
        <f>COUNTIFS(staff[Date Joined],"&gt;="&amp;O10, staff[Date Joined], "&lt;="&amp;EOMONTH(O10,0))</f>
        <v>6</v>
      </c>
      <c r="Q10">
        <f>SUM($P$2:P10)</f>
        <v>43</v>
      </c>
    </row>
    <row r="11" spans="2:17" x14ac:dyDescent="0.25">
      <c r="B11" s="41" t="s">
        <v>242</v>
      </c>
      <c r="C11">
        <v>30</v>
      </c>
      <c r="N11">
        <v>10</v>
      </c>
      <c r="O11" s="44">
        <v>44228</v>
      </c>
      <c r="P11">
        <f>COUNTIFS(staff[Date Joined],"&gt;="&amp;O11, staff[Date Joined], "&lt;="&amp;EOMONTH(O11,0))</f>
        <v>4</v>
      </c>
      <c r="Q11">
        <f>SUM($P$2:P11)</f>
        <v>47</v>
      </c>
    </row>
    <row r="12" spans="2:17" x14ac:dyDescent="0.25">
      <c r="B12" s="41" t="s">
        <v>243</v>
      </c>
      <c r="C12">
        <v>37</v>
      </c>
      <c r="N12">
        <v>11</v>
      </c>
      <c r="O12" s="44">
        <v>44256</v>
      </c>
      <c r="P12">
        <f>COUNTIFS(staff[Date Joined],"&gt;="&amp;O12, staff[Date Joined], "&lt;="&amp;EOMONTH(O12,0))</f>
        <v>9</v>
      </c>
      <c r="Q12">
        <f>SUM($P$2:P12)</f>
        <v>56</v>
      </c>
    </row>
    <row r="13" spans="2:17" x14ac:dyDescent="0.25">
      <c r="B13" s="21" t="s">
        <v>244</v>
      </c>
      <c r="N13">
        <v>12</v>
      </c>
      <c r="O13" s="44">
        <v>44287</v>
      </c>
      <c r="P13">
        <f>COUNTIFS(staff[Date Joined],"&gt;="&amp;O13, staff[Date Joined], "&lt;="&amp;EOMONTH(O13,0))</f>
        <v>5</v>
      </c>
      <c r="Q13">
        <f>SUM($P$2:P13)</f>
        <v>61</v>
      </c>
    </row>
    <row r="14" spans="2:17" x14ac:dyDescent="0.25">
      <c r="B14" s="41" t="s">
        <v>245</v>
      </c>
      <c r="C14">
        <v>6</v>
      </c>
      <c r="N14">
        <v>13</v>
      </c>
      <c r="O14" s="44">
        <v>44317</v>
      </c>
      <c r="P14">
        <f>COUNTIFS(staff[Date Joined],"&gt;="&amp;O14, staff[Date Joined], "&lt;="&amp;EOMONTH(O14,0))</f>
        <v>10</v>
      </c>
      <c r="Q14">
        <f>SUM($P$2:P14)</f>
        <v>71</v>
      </c>
    </row>
    <row r="15" spans="2:17" x14ac:dyDescent="0.25">
      <c r="B15" s="41" t="s">
        <v>246</v>
      </c>
      <c r="C15">
        <v>10</v>
      </c>
      <c r="N15">
        <v>14</v>
      </c>
      <c r="O15" s="44">
        <v>44348</v>
      </c>
      <c r="P15">
        <f>COUNTIFS(staff[Date Joined],"&gt;="&amp;O15, staff[Date Joined], "&lt;="&amp;EOMONTH(O15,0))</f>
        <v>6</v>
      </c>
      <c r="Q15">
        <f>SUM($P$2:P15)</f>
        <v>77</v>
      </c>
    </row>
    <row r="16" spans="2:17" x14ac:dyDescent="0.25">
      <c r="B16" s="41" t="s">
        <v>247</v>
      </c>
      <c r="C16">
        <v>19</v>
      </c>
      <c r="N16">
        <v>15</v>
      </c>
      <c r="O16" s="44">
        <v>44378</v>
      </c>
      <c r="P16">
        <f>COUNTIFS(staff[Date Joined],"&gt;="&amp;O16, staff[Date Joined], "&lt;="&amp;EOMONTH(O16,0))</f>
        <v>13</v>
      </c>
      <c r="Q16">
        <f>SUM($P$2:P16)</f>
        <v>90</v>
      </c>
    </row>
    <row r="17" spans="2:17" x14ac:dyDescent="0.25">
      <c r="B17" s="41" t="s">
        <v>248</v>
      </c>
      <c r="C17">
        <v>24</v>
      </c>
      <c r="N17">
        <v>16</v>
      </c>
      <c r="O17" s="44">
        <v>44409</v>
      </c>
      <c r="P17">
        <f>COUNTIFS(staff[Date Joined],"&gt;="&amp;O17, staff[Date Joined], "&lt;="&amp;EOMONTH(O17,0))</f>
        <v>4</v>
      </c>
      <c r="Q17">
        <f>SUM($P$2:P17)</f>
        <v>94</v>
      </c>
    </row>
    <row r="18" spans="2:17" x14ac:dyDescent="0.25">
      <c r="B18" s="41" t="s">
        <v>236</v>
      </c>
      <c r="C18">
        <v>34</v>
      </c>
      <c r="N18">
        <v>17</v>
      </c>
      <c r="O18" s="44">
        <v>44440</v>
      </c>
      <c r="P18">
        <f>COUNTIFS(staff[Date Joined],"&gt;="&amp;O18, staff[Date Joined], "&lt;="&amp;EOMONTH(O18,0))</f>
        <v>11</v>
      </c>
      <c r="Q18">
        <f>SUM($P$2:P18)</f>
        <v>105</v>
      </c>
    </row>
    <row r="19" spans="2:17" x14ac:dyDescent="0.25">
      <c r="B19" s="41" t="s">
        <v>237</v>
      </c>
      <c r="C19">
        <v>40</v>
      </c>
      <c r="N19">
        <v>18</v>
      </c>
      <c r="O19" s="44">
        <v>44470</v>
      </c>
      <c r="P19">
        <f>COUNTIFS(staff[Date Joined],"&gt;="&amp;O19, staff[Date Joined], "&lt;="&amp;EOMONTH(O19,0))</f>
        <v>3</v>
      </c>
      <c r="Q19">
        <f>SUM($P$2:P19)</f>
        <v>108</v>
      </c>
    </row>
    <row r="20" spans="2:17" x14ac:dyDescent="0.25">
      <c r="B20" s="41" t="s">
        <v>238</v>
      </c>
      <c r="C20">
        <v>53</v>
      </c>
      <c r="N20">
        <v>19</v>
      </c>
      <c r="O20" s="44">
        <v>44501</v>
      </c>
      <c r="P20">
        <f>COUNTIFS(staff[Date Joined],"&gt;="&amp;O20, staff[Date Joined], "&lt;="&amp;EOMONTH(O20,0))</f>
        <v>4</v>
      </c>
      <c r="Q20">
        <f>SUM($P$2:P20)</f>
        <v>112</v>
      </c>
    </row>
    <row r="21" spans="2:17" x14ac:dyDescent="0.25">
      <c r="B21" s="41" t="s">
        <v>239</v>
      </c>
      <c r="C21">
        <v>57</v>
      </c>
      <c r="N21">
        <v>20</v>
      </c>
      <c r="O21" s="44">
        <v>44531</v>
      </c>
      <c r="P21">
        <f>COUNTIFS(staff[Date Joined],"&gt;="&amp;O21, staff[Date Joined], "&lt;="&amp;EOMONTH(O21,0))</f>
        <v>7</v>
      </c>
      <c r="Q21">
        <f>SUM($P$2:P21)</f>
        <v>119</v>
      </c>
    </row>
    <row r="22" spans="2:17" x14ac:dyDescent="0.25">
      <c r="B22" s="41" t="s">
        <v>240</v>
      </c>
      <c r="C22">
        <v>68</v>
      </c>
      <c r="N22">
        <v>21</v>
      </c>
      <c r="O22" s="44">
        <v>44562</v>
      </c>
      <c r="P22">
        <f>COUNTIFS(staff[Date Joined],"&gt;="&amp;O22, staff[Date Joined], "&lt;="&amp;EOMONTH(O22,0))</f>
        <v>3</v>
      </c>
      <c r="Q22">
        <f>SUM($P$2:P22)</f>
        <v>122</v>
      </c>
    </row>
    <row r="23" spans="2:17" x14ac:dyDescent="0.25">
      <c r="B23" s="41" t="s">
        <v>241</v>
      </c>
      <c r="C23">
        <v>71</v>
      </c>
      <c r="N23">
        <v>22</v>
      </c>
      <c r="O23" s="44">
        <v>44593</v>
      </c>
      <c r="P23">
        <f>COUNTIFS(staff[Date Joined],"&gt;="&amp;O23, staff[Date Joined], "&lt;="&amp;EOMONTH(O23,0))</f>
        <v>10</v>
      </c>
      <c r="Q23">
        <f>SUM($P$2:P23)</f>
        <v>132</v>
      </c>
    </row>
    <row r="24" spans="2:17" x14ac:dyDescent="0.25">
      <c r="B24" s="41" t="s">
        <v>242</v>
      </c>
      <c r="C24">
        <v>75</v>
      </c>
      <c r="N24">
        <v>23</v>
      </c>
      <c r="O24" s="44">
        <v>44621</v>
      </c>
      <c r="P24">
        <f>COUNTIFS(staff[Date Joined],"&gt;="&amp;O24, staff[Date Joined], "&lt;="&amp;EOMONTH(O24,0))</f>
        <v>9</v>
      </c>
      <c r="Q24">
        <f>SUM($P$2:P24)</f>
        <v>141</v>
      </c>
    </row>
    <row r="25" spans="2:17" x14ac:dyDescent="0.25">
      <c r="B25" s="41" t="s">
        <v>243</v>
      </c>
      <c r="C25">
        <v>82</v>
      </c>
      <c r="N25">
        <v>24</v>
      </c>
      <c r="O25" s="44">
        <v>44652</v>
      </c>
      <c r="P25">
        <f>COUNTIFS(staff[Date Joined],"&gt;="&amp;O25, staff[Date Joined], "&lt;="&amp;EOMONTH(O25,0))</f>
        <v>9</v>
      </c>
      <c r="Q25">
        <f>SUM($P$2:P25)</f>
        <v>150</v>
      </c>
    </row>
    <row r="26" spans="2:17" x14ac:dyDescent="0.25">
      <c r="B26" s="21" t="s">
        <v>249</v>
      </c>
      <c r="N26">
        <v>25</v>
      </c>
      <c r="O26" s="44">
        <v>44682</v>
      </c>
      <c r="P26">
        <f>COUNTIFS(staff[Date Joined],"&gt;="&amp;O26, staff[Date Joined], "&lt;="&amp;EOMONTH(O26,0))</f>
        <v>9</v>
      </c>
      <c r="Q26">
        <f>SUM($P$2:P26)</f>
        <v>159</v>
      </c>
    </row>
    <row r="27" spans="2:17" x14ac:dyDescent="0.25">
      <c r="B27" s="41" t="s">
        <v>245</v>
      </c>
      <c r="C27">
        <v>3</v>
      </c>
      <c r="N27">
        <v>26</v>
      </c>
      <c r="O27" s="44">
        <v>44713</v>
      </c>
      <c r="P27">
        <f>COUNTIFS(staff[Date Joined],"&gt;="&amp;O27, staff[Date Joined], "&lt;="&amp;EOMONTH(O27,0))</f>
        <v>7</v>
      </c>
      <c r="Q27">
        <f>SUM($P$2:P27)</f>
        <v>166</v>
      </c>
    </row>
    <row r="28" spans="2:17" x14ac:dyDescent="0.25">
      <c r="B28" s="41" t="s">
        <v>246</v>
      </c>
      <c r="C28">
        <v>13</v>
      </c>
      <c r="N28">
        <v>27</v>
      </c>
      <c r="O28" s="44">
        <v>44743</v>
      </c>
      <c r="P28">
        <f>COUNTIFS(staff[Date Joined],"&gt;="&amp;O28, staff[Date Joined], "&lt;="&amp;EOMONTH(O28,0))</f>
        <v>5</v>
      </c>
      <c r="Q28">
        <f>SUM($P$2:P28)</f>
        <v>171</v>
      </c>
    </row>
    <row r="29" spans="2:17" x14ac:dyDescent="0.25">
      <c r="B29" s="41" t="s">
        <v>247</v>
      </c>
      <c r="C29">
        <v>22</v>
      </c>
      <c r="N29">
        <v>28</v>
      </c>
      <c r="O29" s="44">
        <v>44774</v>
      </c>
      <c r="P29">
        <f>COUNTIFS(staff[Date Joined],"&gt;="&amp;O29, staff[Date Joined], "&lt;="&amp;EOMONTH(O29,0))</f>
        <v>5</v>
      </c>
      <c r="Q29">
        <f>SUM($P$2:P29)</f>
        <v>176</v>
      </c>
    </row>
    <row r="30" spans="2:17" x14ac:dyDescent="0.25">
      <c r="B30" s="41" t="s">
        <v>248</v>
      </c>
      <c r="C30">
        <v>31</v>
      </c>
      <c r="N30">
        <v>29</v>
      </c>
      <c r="O30" s="44">
        <v>44805</v>
      </c>
      <c r="P30">
        <f>COUNTIFS(staff[Date Joined],"&gt;="&amp;O30, staff[Date Joined], "&lt;="&amp;EOMONTH(O30,0))</f>
        <v>2</v>
      </c>
      <c r="Q30">
        <f>SUM($P$2:P30)</f>
        <v>178</v>
      </c>
    </row>
    <row r="31" spans="2:17" x14ac:dyDescent="0.25">
      <c r="B31" s="41" t="s">
        <v>236</v>
      </c>
      <c r="C31">
        <v>40</v>
      </c>
      <c r="N31">
        <v>30</v>
      </c>
      <c r="O31" s="44">
        <v>44835</v>
      </c>
      <c r="P31">
        <f>COUNTIFS(staff[Date Joined],"&gt;="&amp;O31, staff[Date Joined], "&lt;="&amp;EOMONTH(O31,0))</f>
        <v>3</v>
      </c>
      <c r="Q31">
        <f>SUM($P$2:P31)</f>
        <v>181</v>
      </c>
    </row>
    <row r="32" spans="2:17" x14ac:dyDescent="0.25">
      <c r="B32" s="41" t="s">
        <v>237</v>
      </c>
      <c r="C32">
        <v>47</v>
      </c>
      <c r="N32">
        <v>31</v>
      </c>
      <c r="O32" s="44">
        <v>44866</v>
      </c>
      <c r="P32">
        <f>COUNTIFS(staff[Date Joined],"&gt;="&amp;O32, staff[Date Joined], "&lt;="&amp;EOMONTH(O32,0))</f>
        <v>0</v>
      </c>
      <c r="Q32">
        <f>SUM($P$2:P32)</f>
        <v>181</v>
      </c>
    </row>
    <row r="33" spans="2:17" x14ac:dyDescent="0.25">
      <c r="B33" s="41" t="s">
        <v>238</v>
      </c>
      <c r="C33">
        <v>52</v>
      </c>
      <c r="N33">
        <v>32</v>
      </c>
      <c r="O33" s="44">
        <v>44896</v>
      </c>
      <c r="P33">
        <f>COUNTIFS(staff[Date Joined],"&gt;="&amp;O33, staff[Date Joined], "&lt;="&amp;EOMONTH(O33,0))</f>
        <v>0</v>
      </c>
      <c r="Q33">
        <f>SUM($P$2:P33)</f>
        <v>181</v>
      </c>
    </row>
    <row r="34" spans="2:17" x14ac:dyDescent="0.25">
      <c r="B34" s="41" t="s">
        <v>239</v>
      </c>
      <c r="C34">
        <v>57</v>
      </c>
      <c r="N34">
        <v>33</v>
      </c>
      <c r="O34" s="44">
        <v>44927</v>
      </c>
      <c r="P34">
        <f>COUNTIFS(staff[Date Joined],"&gt;="&amp;O34, staff[Date Joined], "&lt;="&amp;EOMONTH(O34,0))</f>
        <v>0</v>
      </c>
      <c r="Q34">
        <f>SUM($P$2:P34)</f>
        <v>181</v>
      </c>
    </row>
    <row r="35" spans="2:17" x14ac:dyDescent="0.25">
      <c r="B35" s="41" t="s">
        <v>240</v>
      </c>
      <c r="C35">
        <v>59</v>
      </c>
      <c r="N35">
        <v>34</v>
      </c>
      <c r="O35" s="44">
        <v>44958</v>
      </c>
      <c r="P35">
        <f>COUNTIFS(staff[Date Joined],"&gt;="&amp;O35, staff[Date Joined], "&lt;="&amp;EOMONTH(O35,0))</f>
        <v>1</v>
      </c>
      <c r="Q35">
        <f>SUM($P$2:P35)</f>
        <v>182</v>
      </c>
    </row>
    <row r="36" spans="2:17" x14ac:dyDescent="0.25">
      <c r="B36" s="41" t="s">
        <v>241</v>
      </c>
      <c r="C36">
        <v>62</v>
      </c>
      <c r="N36">
        <v>35</v>
      </c>
      <c r="O36" s="44">
        <v>44986</v>
      </c>
      <c r="P36">
        <f>COUNTIFS(staff[Date Joined],"&gt;="&amp;O36, staff[Date Joined], "&lt;="&amp;EOMONTH(O36,0))</f>
        <v>0</v>
      </c>
      <c r="Q36">
        <f>SUM($P$2:P36)</f>
        <v>182</v>
      </c>
    </row>
    <row r="37" spans="2:17" x14ac:dyDescent="0.25">
      <c r="B37" s="21" t="s">
        <v>250</v>
      </c>
      <c r="N37">
        <v>36</v>
      </c>
      <c r="O37" s="44">
        <v>45017</v>
      </c>
      <c r="P37">
        <f>COUNTIFS(staff[Date Joined],"&gt;="&amp;O37, staff[Date Joined], "&lt;="&amp;EOMONTH(O37,0))</f>
        <v>1</v>
      </c>
      <c r="Q37">
        <f>SUM($P$2:P37)</f>
        <v>183</v>
      </c>
    </row>
    <row r="38" spans="2:17" x14ac:dyDescent="0.25">
      <c r="B38" s="41" t="s">
        <v>246</v>
      </c>
      <c r="C38">
        <v>1</v>
      </c>
    </row>
    <row r="39" spans="2:17" x14ac:dyDescent="0.25">
      <c r="B39" s="41" t="s">
        <v>248</v>
      </c>
      <c r="C39">
        <v>2</v>
      </c>
    </row>
    <row r="40" spans="2:17" x14ac:dyDescent="0.25">
      <c r="B40" s="21" t="s">
        <v>234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DEC82-89F8-4738-BC1B-CD29B1FB21BB}">
  <dimension ref="C2:N21"/>
  <sheetViews>
    <sheetView showGridLines="0" tabSelected="1" topLeftCell="A2" zoomScale="84" zoomScaleNormal="84" workbookViewId="0">
      <selection activeCell="R7" sqref="R7"/>
    </sheetView>
  </sheetViews>
  <sheetFormatPr defaultRowHeight="15" x14ac:dyDescent="0.25"/>
  <cols>
    <col min="3" max="3" width="20.42578125" customWidth="1"/>
    <col min="4" max="4" width="2.42578125" customWidth="1"/>
    <col min="5" max="5" width="20.7109375" customWidth="1"/>
    <col min="6" max="6" width="2.42578125" customWidth="1"/>
    <col min="7" max="7" width="21.7109375" customWidth="1"/>
    <col min="10" max="10" width="20.42578125" customWidth="1"/>
    <col min="11" max="11" width="2.42578125" customWidth="1"/>
    <col min="12" max="12" width="20.7109375" customWidth="1"/>
    <col min="13" max="13" width="2.42578125" customWidth="1"/>
    <col min="14" max="14" width="21.5703125" customWidth="1"/>
  </cols>
  <sheetData>
    <row r="2" spans="3:14" ht="35.25" x14ac:dyDescent="0.5">
      <c r="C2" s="53" t="s">
        <v>255</v>
      </c>
      <c r="D2" s="53"/>
      <c r="E2" s="53"/>
      <c r="F2" s="53"/>
      <c r="G2" s="53"/>
      <c r="J2" s="52" t="s">
        <v>256</v>
      </c>
      <c r="K2" s="52"/>
      <c r="L2" s="52"/>
      <c r="M2" s="52"/>
      <c r="N2" s="52"/>
    </row>
    <row r="4" spans="3:14" ht="101.25" customHeight="1" x14ac:dyDescent="0.25">
      <c r="C4" s="46">
        <f>COUNTIFS(staff[country],"NZ")</f>
        <v>91</v>
      </c>
      <c r="E4" s="47">
        <f>COUNTIFS(staff[country], "NZ", staff[Gender], "female")/C4</f>
        <v>0.47252747252747251</v>
      </c>
      <c r="G4" s="48">
        <f>AVERAGEIFS(staff[Salary], staff[country], "NZ")</f>
        <v>76978.791208791212</v>
      </c>
      <c r="J4" s="49">
        <f>COUNTIFS(staff[country], "IND")</f>
        <v>92</v>
      </c>
      <c r="L4" s="50">
        <f>COUNTIFS(staff[country], "IND", staff[Gender], "female")/J4</f>
        <v>0.46739130434782611</v>
      </c>
      <c r="N4" s="51">
        <f>AVERAGEIFS(staff[Salary], staff[country], "IND")</f>
        <v>77366.521739130432</v>
      </c>
    </row>
    <row r="7" spans="3:14" x14ac:dyDescent="0.25">
      <c r="C7" s="54" t="s">
        <v>254</v>
      </c>
      <c r="D7" s="55"/>
      <c r="E7" s="55"/>
      <c r="F7" s="55"/>
      <c r="G7" s="55"/>
      <c r="H7" s="55"/>
      <c r="I7" s="55"/>
      <c r="J7" s="55"/>
      <c r="K7" s="55"/>
      <c r="L7" s="55"/>
      <c r="M7" s="55"/>
      <c r="N7" s="55"/>
    </row>
    <row r="8" spans="3:14" x14ac:dyDescent="0.25">
      <c r="C8" s="55"/>
      <c r="D8" s="55"/>
      <c r="E8" s="55"/>
      <c r="F8" s="55"/>
      <c r="G8" s="55"/>
      <c r="H8" s="55"/>
      <c r="I8" s="55"/>
      <c r="J8" s="55"/>
      <c r="K8" s="55"/>
      <c r="L8" s="55"/>
      <c r="M8" s="55"/>
      <c r="N8" s="55"/>
    </row>
    <row r="11" spans="3:14" x14ac:dyDescent="0.25">
      <c r="C11" s="13"/>
      <c r="G11" s="15"/>
      <c r="J11" s="13"/>
      <c r="N11" s="15"/>
    </row>
    <row r="12" spans="3:14" x14ac:dyDescent="0.25">
      <c r="C12" s="13"/>
      <c r="G12" s="15"/>
      <c r="J12" s="13"/>
      <c r="N12" s="15"/>
    </row>
    <row r="13" spans="3:14" x14ac:dyDescent="0.25">
      <c r="C13" s="13"/>
      <c r="G13" s="15"/>
      <c r="J13" s="13"/>
      <c r="N13" s="15"/>
    </row>
    <row r="14" spans="3:14" x14ac:dyDescent="0.25">
      <c r="C14" s="13"/>
      <c r="G14" s="15"/>
      <c r="J14" s="13"/>
      <c r="N14" s="15"/>
    </row>
    <row r="15" spans="3:14" x14ac:dyDescent="0.25">
      <c r="C15" s="13"/>
      <c r="G15" s="15"/>
      <c r="J15" s="13"/>
      <c r="N15" s="15"/>
    </row>
    <row r="16" spans="3:14" x14ac:dyDescent="0.25">
      <c r="C16" s="13"/>
      <c r="G16" s="15"/>
      <c r="J16" s="13"/>
      <c r="N16" s="15"/>
    </row>
    <row r="17" spans="3:14" x14ac:dyDescent="0.25">
      <c r="C17" s="13"/>
      <c r="G17" s="15"/>
      <c r="J17" s="13"/>
      <c r="N17" s="15"/>
    </row>
    <row r="18" spans="3:14" x14ac:dyDescent="0.25">
      <c r="C18" s="13"/>
      <c r="G18" s="15"/>
      <c r="J18" s="13"/>
      <c r="N18" s="15"/>
    </row>
    <row r="19" spans="3:14" x14ac:dyDescent="0.25">
      <c r="C19" s="13"/>
      <c r="G19" s="15"/>
      <c r="J19" s="13"/>
      <c r="N19" s="15"/>
    </row>
    <row r="20" spans="3:14" x14ac:dyDescent="0.25">
      <c r="C20" s="13"/>
      <c r="G20" s="15"/>
      <c r="J20" s="13"/>
      <c r="N20" s="15"/>
    </row>
    <row r="21" spans="3:14" x14ac:dyDescent="0.25">
      <c r="C21" s="17"/>
      <c r="D21" s="19"/>
      <c r="E21" s="19"/>
      <c r="F21" s="19"/>
      <c r="G21" s="20"/>
      <c r="J21" s="17"/>
      <c r="K21" s="19"/>
      <c r="L21" s="19"/>
      <c r="M21" s="19"/>
      <c r="N21" s="20"/>
    </row>
  </sheetData>
  <mergeCells count="3">
    <mergeCell ref="C7:N8"/>
    <mergeCell ref="C2:G2"/>
    <mergeCell ref="J2:N2"/>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EF8F5-9EE3-4E39-8857-3558483C7C2D}">
  <dimension ref="B2:K10"/>
  <sheetViews>
    <sheetView workbookViewId="0">
      <selection activeCell="F11" sqref="F11"/>
    </sheetView>
  </sheetViews>
  <sheetFormatPr defaultRowHeight="15" x14ac:dyDescent="0.25"/>
  <cols>
    <col min="2" max="2" width="13.140625" bestFit="1" customWidth="1"/>
    <col min="3" max="3" width="14.42578125" bestFit="1" customWidth="1"/>
    <col min="7" max="7" width="13.140625" bestFit="1" customWidth="1"/>
    <col min="8" max="8" width="14.42578125" bestFit="1" customWidth="1"/>
    <col min="10" max="10" width="15.7109375" customWidth="1"/>
    <col min="11" max="11" width="18.28515625" customWidth="1"/>
  </cols>
  <sheetData>
    <row r="2" spans="2:11" x14ac:dyDescent="0.25">
      <c r="B2" s="31" t="s">
        <v>203</v>
      </c>
      <c r="C2" t="s" vm="2">
        <v>207</v>
      </c>
      <c r="J2" s="31" t="s">
        <v>203</v>
      </c>
      <c r="K2" t="s" vm="1">
        <v>209</v>
      </c>
    </row>
    <row r="4" spans="2:11" x14ac:dyDescent="0.25">
      <c r="B4" s="31" t="s">
        <v>232</v>
      </c>
      <c r="C4" t="s">
        <v>229</v>
      </c>
      <c r="J4" s="31" t="s">
        <v>232</v>
      </c>
      <c r="K4" t="s">
        <v>229</v>
      </c>
    </row>
    <row r="5" spans="2:11" x14ac:dyDescent="0.25">
      <c r="B5" s="21" t="s">
        <v>23</v>
      </c>
      <c r="C5">
        <v>27</v>
      </c>
      <c r="J5" s="21" t="s">
        <v>12</v>
      </c>
      <c r="K5">
        <v>28</v>
      </c>
    </row>
    <row r="6" spans="2:11" x14ac:dyDescent="0.25">
      <c r="B6" s="21" t="s">
        <v>12</v>
      </c>
      <c r="C6">
        <v>27</v>
      </c>
      <c r="J6" s="21" t="s">
        <v>23</v>
      </c>
      <c r="K6">
        <v>27</v>
      </c>
    </row>
    <row r="7" spans="2:11" x14ac:dyDescent="0.25">
      <c r="B7" s="21" t="s">
        <v>17</v>
      </c>
      <c r="C7">
        <v>19</v>
      </c>
      <c r="J7" s="21" t="s">
        <v>17</v>
      </c>
      <c r="K7">
        <v>19</v>
      </c>
    </row>
    <row r="8" spans="2:11" x14ac:dyDescent="0.25">
      <c r="B8" s="21" t="s">
        <v>9</v>
      </c>
      <c r="C8">
        <v>14</v>
      </c>
      <c r="J8" s="21" t="s">
        <v>9</v>
      </c>
      <c r="K8">
        <v>14</v>
      </c>
    </row>
    <row r="9" spans="2:11" x14ac:dyDescent="0.25">
      <c r="B9" s="21" t="s">
        <v>26</v>
      </c>
      <c r="C9">
        <v>4</v>
      </c>
      <c r="J9" s="21" t="s">
        <v>26</v>
      </c>
      <c r="K9">
        <v>4</v>
      </c>
    </row>
    <row r="10" spans="2:11" x14ac:dyDescent="0.25">
      <c r="B10" s="21" t="s">
        <v>234</v>
      </c>
      <c r="C10">
        <v>91</v>
      </c>
      <c r="J10" s="21" t="s">
        <v>234</v>
      </c>
      <c r="K10">
        <v>92</v>
      </c>
    </row>
  </sheetData>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EE659A-25C2-4FE1-8663-416BE193B2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Wellington staff</vt:lpstr>
      <vt:lpstr>India Staff</vt:lpstr>
      <vt:lpstr>All Staff</vt:lpstr>
      <vt:lpstr>Info Finder v2.0</vt:lpstr>
      <vt:lpstr>Male vs Female</vt:lpstr>
      <vt:lpstr>Salary Spread</vt:lpstr>
      <vt:lpstr>Salary vs. Rating</vt:lpstr>
      <vt:lpstr>Rating</vt:lpstr>
      <vt:lpstr>Trend of employment</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ZION AYETUOMA</dc:creator>
  <cp:keywords/>
  <dc:description/>
  <cp:lastModifiedBy>ZION AYETUOMA</cp:lastModifiedBy>
  <cp:revision/>
  <dcterms:created xsi:type="dcterms:W3CDTF">2023-11-15T17:46:14Z</dcterms:created>
  <dcterms:modified xsi:type="dcterms:W3CDTF">2023-12-01T22:37:33Z</dcterms:modified>
  <cp:category/>
  <cp:contentStatus/>
</cp:coreProperties>
</file>