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maiduo/Desktop/"/>
    </mc:Choice>
  </mc:AlternateContent>
  <xr:revisionPtr revIDLastSave="0" documentId="8_{8CF8E179-204C-9A4A-8F28-CFC42E5191B7}" xr6:coauthVersionLast="36" xr6:coauthVersionMax="36" xr10:uidLastSave="{00000000-0000-0000-0000-000000000000}"/>
  <bookViews>
    <workbookView xWindow="0" yWindow="460" windowWidth="27320" windowHeight="135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4" i="1" l="1"/>
  <c r="D64" i="1"/>
  <c r="C64" i="1"/>
  <c r="B64" i="1"/>
  <c r="E63" i="1"/>
  <c r="D63" i="1"/>
  <c r="C63" i="1"/>
  <c r="B63" i="1"/>
  <c r="E52" i="1"/>
  <c r="D52" i="1"/>
  <c r="C52" i="1"/>
  <c r="B52" i="1"/>
  <c r="E50" i="1"/>
  <c r="D50" i="1"/>
  <c r="C50" i="1"/>
  <c r="B50" i="1"/>
  <c r="E48" i="1"/>
  <c r="E49" i="1" s="1"/>
  <c r="D48" i="1"/>
  <c r="C48" i="1"/>
  <c r="B48" i="1"/>
  <c r="E41" i="1"/>
  <c r="D41" i="1"/>
  <c r="C41" i="1"/>
  <c r="B41" i="1"/>
  <c r="E39" i="1"/>
  <c r="D39" i="1"/>
  <c r="C39" i="1"/>
  <c r="B39" i="1"/>
  <c r="E37" i="1"/>
  <c r="D37" i="1"/>
  <c r="C37" i="1"/>
  <c r="B37" i="1"/>
  <c r="E35" i="1"/>
  <c r="D35" i="1"/>
  <c r="C35" i="1"/>
  <c r="B35" i="1"/>
  <c r="E33" i="1"/>
  <c r="D33" i="1"/>
  <c r="C33" i="1"/>
  <c r="B33" i="1"/>
  <c r="E32" i="1"/>
  <c r="D32" i="1"/>
  <c r="C32" i="1"/>
  <c r="B32" i="1"/>
  <c r="B30" i="1"/>
  <c r="G28" i="1"/>
  <c r="E27" i="1"/>
  <c r="D27" i="1"/>
  <c r="C27" i="1"/>
  <c r="B27" i="1"/>
  <c r="E23" i="1"/>
  <c r="E30" i="1" s="1"/>
  <c r="D23" i="1"/>
  <c r="D30" i="1" s="1"/>
  <c r="C23" i="1"/>
  <c r="C30" i="1" s="1"/>
  <c r="B23" i="1"/>
  <c r="E22" i="1"/>
  <c r="D22" i="1"/>
  <c r="C22" i="1"/>
  <c r="B22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1" i="1"/>
  <c r="D11" i="1"/>
  <c r="C11" i="1"/>
  <c r="B11" i="1"/>
  <c r="C5" i="1"/>
  <c r="C4" i="1"/>
  <c r="E47" i="1" s="1"/>
  <c r="D49" i="1" l="1"/>
  <c r="E81" i="1"/>
  <c r="B47" i="1"/>
  <c r="B49" i="1"/>
  <c r="B54" i="1"/>
  <c r="C54" i="1" s="1"/>
  <c r="D54" i="1" s="1"/>
  <c r="E54" i="1" s="1"/>
  <c r="B58" i="1"/>
  <c r="B81" i="1" s="1"/>
  <c r="C47" i="1"/>
  <c r="C58" i="1"/>
  <c r="C81" i="1" s="1"/>
  <c r="D47" i="1"/>
  <c r="D58" i="1"/>
  <c r="D81" i="1" s="1"/>
  <c r="E58" i="1"/>
  <c r="C49" i="1" l="1"/>
  <c r="B51" i="1" s="1"/>
  <c r="C51" i="1" l="1"/>
  <c r="B53" i="1"/>
  <c r="B46" i="1" s="1"/>
  <c r="B60" i="1" s="1"/>
  <c r="B80" i="1" s="1"/>
  <c r="D51" i="1" l="1"/>
  <c r="C53" i="1"/>
  <c r="C46" i="1" s="1"/>
  <c r="C60" i="1" s="1"/>
  <c r="C80" i="1" s="1"/>
  <c r="E51" i="1" l="1"/>
  <c r="E53" i="1" s="1"/>
  <c r="E46" i="1" s="1"/>
  <c r="E60" i="1" s="1"/>
  <c r="E80" i="1" s="1"/>
  <c r="D53" i="1"/>
  <c r="D46" i="1" s="1"/>
  <c r="D60" i="1" s="1"/>
  <c r="D80" i="1" s="1"/>
</calcChain>
</file>

<file path=xl/sharedStrings.xml><?xml version="1.0" encoding="utf-8"?>
<sst xmlns="http://schemas.openxmlformats.org/spreadsheetml/2006/main" count="62" uniqueCount="62">
  <si>
    <t>Comment: 1,2 is a pair, 3,4 is a pair</t>
  </si>
  <si>
    <t>gear</t>
  </si>
  <si>
    <t>motor speed(RPM)</t>
  </si>
  <si>
    <t>Number of Teeth</t>
  </si>
  <si>
    <t>Transverse Diametral Pitch</t>
  </si>
  <si>
    <t>Cycles</t>
  </si>
  <si>
    <t>Normal Pressure Angle(in degree, in rad)</t>
  </si>
  <si>
    <t>Helix Angle(in degree, in rad)</t>
  </si>
  <si>
    <t>Newton To Pound-force (Conversion Rate)</t>
  </si>
  <si>
    <t>Minutes of Operation</t>
  </si>
  <si>
    <t>Tangential transmitted load (N)</t>
  </si>
  <si>
    <t>Axial load (N)</t>
  </si>
  <si>
    <t>Radial force (N)</t>
  </si>
  <si>
    <t>Total experienced force (N)</t>
  </si>
  <si>
    <t>Tangential transmitted load (lbf)</t>
  </si>
  <si>
    <t>Axial load (lbf)</t>
  </si>
  <si>
    <t>Radial force (lbf)</t>
  </si>
  <si>
    <t>Total experienced force (lbf)</t>
  </si>
  <si>
    <t>Pitch Diameter(inch)</t>
  </si>
  <si>
    <t>Face Width(inch)</t>
  </si>
  <si>
    <t>Circumference(inch)</t>
  </si>
  <si>
    <t>Linear Velocity V</t>
  </si>
  <si>
    <t>Lewis Factor Y</t>
  </si>
  <si>
    <t>Elastic Coefficient Cp</t>
  </si>
  <si>
    <t>Surface Condition Factor Cf</t>
  </si>
  <si>
    <t>Angular Speed (RPM)</t>
  </si>
  <si>
    <t>Overload Factor (Ko)</t>
  </si>
  <si>
    <t>Dynamic Factor (Kv)</t>
  </si>
  <si>
    <t>Quality Numbers (QV)</t>
  </si>
  <si>
    <t>A</t>
  </si>
  <si>
    <t>B</t>
  </si>
  <si>
    <t>Size Factor (Ks)</t>
  </si>
  <si>
    <t>Load-Distribution Factor (Km)</t>
  </si>
  <si>
    <t>Cmc</t>
  </si>
  <si>
    <t>Cpf</t>
  </si>
  <si>
    <t>Cpm</t>
  </si>
  <si>
    <t>Cma</t>
  </si>
  <si>
    <t>Ce</t>
  </si>
  <si>
    <t>Rim Thick thickness Factor Kb</t>
  </si>
  <si>
    <t>Surface Geometry Factor I</t>
  </si>
  <si>
    <t xml:space="preserve">Transverse Pressure Angle </t>
  </si>
  <si>
    <t>Pitch Radius Rp1</t>
  </si>
  <si>
    <t>Base Circle Radius rb</t>
  </si>
  <si>
    <t>Addendum a</t>
  </si>
  <si>
    <t>Surface Strength Geometry Factor Z</t>
  </si>
  <si>
    <t>Normal Circular Pitch PN</t>
  </si>
  <si>
    <t>Load Sharing Ratio MN</t>
  </si>
  <si>
    <t>Speed Ratio MG</t>
  </si>
  <si>
    <t>Bending Strength Geometry Factor J</t>
  </si>
  <si>
    <t>Bending Stress sigmaP (psi)</t>
  </si>
  <si>
    <t>Contact Stress SigmaC (psi)</t>
  </si>
  <si>
    <t>Allowable Contact Stress (psi) Sc</t>
  </si>
  <si>
    <t>Stress Cycle Factors YN</t>
  </si>
  <si>
    <t>R</t>
  </si>
  <si>
    <t>Allowable Bending Stress (psi) St</t>
  </si>
  <si>
    <t>Hardness-Ratio Factor CH</t>
  </si>
  <si>
    <t>Stress Cycle Factors ZN</t>
  </si>
  <si>
    <t>Contact Factor of Safety SH</t>
  </si>
  <si>
    <t>Brinell Hardness HB</t>
  </si>
  <si>
    <t>Reliability Factor KR</t>
  </si>
  <si>
    <t>Temperature Factor KT</t>
  </si>
  <si>
    <t>Bending Factor of Safety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</si>
</sst>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1"/>
  <sheetViews>
    <sheetView tabSelected="1" workbookViewId="0">
      <selection activeCell="A8" sqref="A8:XFD8"/>
    </sheetView>
  </sheetViews>
  <sheetFormatPr baseColWidth="10" defaultColWidth="14.5" defaultRowHeight="15.75" customHeight="1"/>
  <cols>
    <col min="1" max="1" width="36.83203125" customWidth="1"/>
    <col min="9" max="9" width="27.33203125" customWidth="1"/>
  </cols>
  <sheetData>
    <row r="1" spans="1:5" ht="15.75" customHeight="1">
      <c r="E1" s="1" t="s">
        <v>0</v>
      </c>
    </row>
    <row r="2" spans="1:5" ht="15.75" customHeight="1">
      <c r="A2" s="1" t="s">
        <v>2</v>
      </c>
      <c r="B2" s="2">
        <v>9428</v>
      </c>
    </row>
    <row r="3" spans="1:5" ht="15.75" customHeight="1">
      <c r="A3" s="1" t="s">
        <v>4</v>
      </c>
      <c r="B3" s="2">
        <v>16</v>
      </c>
    </row>
    <row r="4" spans="1:5" ht="15.75" customHeight="1">
      <c r="A4" s="1" t="s">
        <v>6</v>
      </c>
      <c r="B4" s="2">
        <v>14.5</v>
      </c>
      <c r="C4">
        <f>RADIANS(B4)</f>
        <v>0.2530727415391778</v>
      </c>
    </row>
    <row r="5" spans="1:5" ht="15.75" customHeight="1">
      <c r="A5" s="1" t="s">
        <v>7</v>
      </c>
      <c r="B5" s="2">
        <v>45</v>
      </c>
      <c r="C5">
        <f>RADIANS(B5)</f>
        <v>0.78539816339744828</v>
      </c>
    </row>
    <row r="6" spans="1:5" ht="15.75" customHeight="1">
      <c r="A6" s="1" t="s">
        <v>8</v>
      </c>
      <c r="B6" s="2">
        <v>0.22480900000000001</v>
      </c>
    </row>
    <row r="7" spans="1:5" ht="15.75" customHeight="1">
      <c r="A7" s="1" t="s">
        <v>9</v>
      </c>
      <c r="B7" s="2">
        <v>120000</v>
      </c>
    </row>
    <row r="8" spans="1:5" ht="15.75" customHeight="1">
      <c r="B8" s="3"/>
    </row>
    <row r="9" spans="1:5" ht="15.75" customHeight="1">
      <c r="A9" s="2" t="s">
        <v>1</v>
      </c>
      <c r="B9" s="2">
        <v>1</v>
      </c>
      <c r="C9" s="2">
        <v>2</v>
      </c>
      <c r="D9" s="2">
        <v>3</v>
      </c>
      <c r="E9" s="2">
        <v>4</v>
      </c>
    </row>
    <row r="10" spans="1:5" ht="15.75" customHeight="1">
      <c r="A10" s="2" t="s">
        <v>3</v>
      </c>
      <c r="B10" s="2">
        <v>12</v>
      </c>
      <c r="C10" s="2">
        <v>48</v>
      </c>
      <c r="D10" s="2">
        <v>12</v>
      </c>
      <c r="E10" s="2">
        <v>48</v>
      </c>
    </row>
    <row r="11" spans="1:5" ht="15.75" customHeight="1">
      <c r="A11" s="2" t="s">
        <v>5</v>
      </c>
      <c r="B11" s="3">
        <f t="shared" ref="B11:E11" si="0">$B$7*B27</f>
        <v>1131360000</v>
      </c>
      <c r="C11" s="3">
        <f t="shared" si="0"/>
        <v>282840000</v>
      </c>
      <c r="D11" s="3">
        <f t="shared" si="0"/>
        <v>282840000</v>
      </c>
      <c r="E11" s="3">
        <f t="shared" si="0"/>
        <v>70710000</v>
      </c>
    </row>
    <row r="12" spans="1:5" ht="15.75" customHeight="1">
      <c r="A12" s="2" t="s">
        <v>10</v>
      </c>
      <c r="B12" s="2">
        <v>1483.5</v>
      </c>
      <c r="C12" s="2">
        <v>1483.5</v>
      </c>
      <c r="D12" s="2">
        <v>1406.9</v>
      </c>
      <c r="E12" s="2">
        <v>1406.9</v>
      </c>
    </row>
    <row r="13" spans="1:5" ht="15.75" customHeight="1">
      <c r="A13" s="2" t="s">
        <v>11</v>
      </c>
      <c r="B13" s="2">
        <v>1483.5</v>
      </c>
      <c r="C13" s="2">
        <v>1483.5</v>
      </c>
      <c r="D13" s="2">
        <v>1406.9</v>
      </c>
      <c r="E13" s="2">
        <v>1406.9</v>
      </c>
    </row>
    <row r="14" spans="1:5" ht="15.75" customHeight="1">
      <c r="A14" s="2" t="s">
        <v>12</v>
      </c>
      <c r="B14" s="2">
        <v>542.6</v>
      </c>
      <c r="C14" s="2">
        <v>542.6</v>
      </c>
      <c r="D14" s="2">
        <v>514.6</v>
      </c>
      <c r="E14" s="2">
        <v>514.6</v>
      </c>
    </row>
    <row r="15" spans="1:5" ht="15.75" customHeight="1">
      <c r="A15" s="2" t="s">
        <v>13</v>
      </c>
      <c r="B15" s="2">
        <v>2167</v>
      </c>
      <c r="C15" s="2">
        <v>2167</v>
      </c>
      <c r="D15" s="2">
        <v>2055.1</v>
      </c>
      <c r="E15" s="2">
        <v>2055.1</v>
      </c>
    </row>
    <row r="16" spans="1:5" ht="15.75" customHeight="1">
      <c r="A16" s="2" t="s">
        <v>14</v>
      </c>
      <c r="B16" s="3">
        <f t="shared" ref="B16:E16" si="1">B12*$B$6</f>
        <v>333.50415150000003</v>
      </c>
      <c r="C16" s="3">
        <f t="shared" si="1"/>
        <v>333.50415150000003</v>
      </c>
      <c r="D16" s="3">
        <f t="shared" si="1"/>
        <v>316.28378210000005</v>
      </c>
      <c r="E16" s="3">
        <f t="shared" si="1"/>
        <v>316.28378210000005</v>
      </c>
    </row>
    <row r="17" spans="1:7" ht="15.75" customHeight="1">
      <c r="A17" s="2" t="s">
        <v>15</v>
      </c>
      <c r="B17" s="3">
        <f t="shared" ref="B17:E17" si="2">B13*$B$6</f>
        <v>333.50415150000003</v>
      </c>
      <c r="C17" s="3">
        <f t="shared" si="2"/>
        <v>333.50415150000003</v>
      </c>
      <c r="D17" s="3">
        <f t="shared" si="2"/>
        <v>316.28378210000005</v>
      </c>
      <c r="E17" s="3">
        <f t="shared" si="2"/>
        <v>316.28378210000005</v>
      </c>
    </row>
    <row r="18" spans="1:7" ht="15.75" customHeight="1">
      <c r="A18" s="2" t="s">
        <v>16</v>
      </c>
      <c r="B18" s="3">
        <f t="shared" ref="B18:E18" si="3">B14*$B$6</f>
        <v>121.98136340000001</v>
      </c>
      <c r="C18" s="3">
        <f t="shared" si="3"/>
        <v>121.98136340000001</v>
      </c>
      <c r="D18" s="3">
        <f t="shared" si="3"/>
        <v>115.68671140000001</v>
      </c>
      <c r="E18" s="3">
        <f t="shared" si="3"/>
        <v>115.68671140000001</v>
      </c>
    </row>
    <row r="19" spans="1:7" ht="15.75" customHeight="1">
      <c r="A19" s="2" t="s">
        <v>17</v>
      </c>
      <c r="B19" s="3">
        <f t="shared" ref="B19:E19" si="4">B15*$B$6</f>
        <v>487.16110300000003</v>
      </c>
      <c r="C19" s="3">
        <f t="shared" si="4"/>
        <v>487.16110300000003</v>
      </c>
      <c r="D19" s="3">
        <f t="shared" si="4"/>
        <v>462.00497589999998</v>
      </c>
      <c r="E19" s="3">
        <f t="shared" si="4"/>
        <v>462.00497589999998</v>
      </c>
    </row>
    <row r="20" spans="1:7" ht="15.75" customHeight="1">
      <c r="A20" s="2" t="s">
        <v>18</v>
      </c>
      <c r="B20" s="2">
        <v>1</v>
      </c>
      <c r="C20" s="2">
        <v>3</v>
      </c>
      <c r="D20" s="2">
        <v>1</v>
      </c>
      <c r="E20" s="2">
        <v>3</v>
      </c>
    </row>
    <row r="21" spans="1:7" ht="15.75" customHeight="1">
      <c r="A21" s="2" t="s">
        <v>19</v>
      </c>
      <c r="B21" s="2">
        <v>0.5</v>
      </c>
      <c r="C21" s="2">
        <v>0.5</v>
      </c>
      <c r="D21" s="2">
        <v>0.5</v>
      </c>
      <c r="E21" s="2">
        <v>0.5</v>
      </c>
    </row>
    <row r="22" spans="1:7" ht="15.75" customHeight="1">
      <c r="A22" s="2" t="s">
        <v>20</v>
      </c>
      <c r="B22" s="3">
        <f t="shared" ref="B22:E22" si="5">2*PI()*B20</f>
        <v>6.2831853071795862</v>
      </c>
      <c r="C22" s="3">
        <f t="shared" si="5"/>
        <v>18.849555921538759</v>
      </c>
      <c r="D22" s="3">
        <f t="shared" si="5"/>
        <v>6.2831853071795862</v>
      </c>
      <c r="E22" s="3">
        <f t="shared" si="5"/>
        <v>18.849555921538759</v>
      </c>
    </row>
    <row r="23" spans="1:7" ht="15.75" customHeight="1">
      <c r="A23" s="2" t="s">
        <v>21</v>
      </c>
      <c r="B23" s="3">
        <f t="shared" ref="B23:E23" si="6">PI()*B20*B27/12</f>
        <v>2468.244628170381</v>
      </c>
      <c r="C23" s="3">
        <f t="shared" si="6"/>
        <v>1851.1834711277854</v>
      </c>
      <c r="D23" s="3">
        <f t="shared" si="6"/>
        <v>617.06115704259526</v>
      </c>
      <c r="E23" s="3">
        <f t="shared" si="6"/>
        <v>462.79586778194636</v>
      </c>
    </row>
    <row r="24" spans="1:7" ht="15.75" customHeight="1">
      <c r="A24" s="2" t="s">
        <v>22</v>
      </c>
      <c r="B24" s="2">
        <v>0.21</v>
      </c>
      <c r="C24" s="2">
        <v>0.35</v>
      </c>
      <c r="D24" s="2">
        <v>0.21</v>
      </c>
      <c r="E24" s="2">
        <v>0.35</v>
      </c>
    </row>
    <row r="25" spans="1:7" ht="15.75" customHeight="1">
      <c r="A25" s="2" t="s">
        <v>23</v>
      </c>
      <c r="B25" s="2">
        <v>2300</v>
      </c>
      <c r="C25" s="2">
        <v>2300</v>
      </c>
      <c r="D25" s="2">
        <v>2300</v>
      </c>
      <c r="E25" s="2">
        <v>2300</v>
      </c>
    </row>
    <row r="26" spans="1:7" ht="15.75" customHeight="1">
      <c r="A26" s="2" t="s">
        <v>24</v>
      </c>
      <c r="B26" s="2">
        <v>1</v>
      </c>
      <c r="C26" s="2">
        <v>1</v>
      </c>
      <c r="D26" s="2">
        <v>1</v>
      </c>
      <c r="E26" s="2">
        <v>1</v>
      </c>
    </row>
    <row r="27" spans="1:7" ht="15.75" customHeight="1">
      <c r="A27" s="2" t="s">
        <v>25</v>
      </c>
      <c r="B27" s="2">
        <f>B2</f>
        <v>9428</v>
      </c>
      <c r="C27" s="2">
        <f>B27/4</f>
        <v>2357</v>
      </c>
      <c r="D27" s="2">
        <f>B27/4</f>
        <v>2357</v>
      </c>
      <c r="E27" s="2">
        <f>B27/16</f>
        <v>589.25</v>
      </c>
    </row>
    <row r="28" spans="1:7" ht="15.75" customHeight="1">
      <c r="A28" s="2" t="s">
        <v>26</v>
      </c>
      <c r="B28" s="2">
        <v>1</v>
      </c>
      <c r="C28" s="2">
        <v>1</v>
      </c>
      <c r="D28" s="2">
        <v>1</v>
      </c>
      <c r="E28" s="2">
        <v>1</v>
      </c>
      <c r="G28">
        <f>0.0158*B21+0.127</f>
        <v>0.13489999999999999</v>
      </c>
    </row>
    <row r="29" spans="1:7" ht="15.75" customHeight="1">
      <c r="A29" s="3"/>
      <c r="B29" s="3"/>
      <c r="C29" s="3"/>
      <c r="D29" s="3"/>
      <c r="E29" s="3"/>
    </row>
    <row r="30" spans="1:7" ht="15.75" customHeight="1">
      <c r="A30" s="2" t="s">
        <v>27</v>
      </c>
      <c r="B30" s="3">
        <f t="shared" ref="B30:E30" si="7">((B32+B23^(1/2))/B32)^B33</f>
        <v>1.3982140758064014</v>
      </c>
      <c r="C30" s="3">
        <f t="shared" si="7"/>
        <v>1.3490103315466178</v>
      </c>
      <c r="D30" s="3">
        <f t="shared" si="7"/>
        <v>1.2088071369416915</v>
      </c>
      <c r="E30" s="3">
        <f t="shared" si="7"/>
        <v>1.1821138544974181</v>
      </c>
    </row>
    <row r="31" spans="1:7" ht="15.75" customHeight="1">
      <c r="A31" s="2" t="s">
        <v>28</v>
      </c>
      <c r="B31" s="2">
        <v>8</v>
      </c>
      <c r="C31" s="2">
        <v>8</v>
      </c>
      <c r="D31" s="2">
        <v>8</v>
      </c>
      <c r="E31" s="2">
        <v>8</v>
      </c>
    </row>
    <row r="32" spans="1:7" ht="15.75" customHeight="1">
      <c r="A32" s="2" t="s">
        <v>29</v>
      </c>
      <c r="B32" s="3">
        <f t="shared" ref="B32:E32" si="8">50+56*(1-B33)</f>
        <v>70.722210602943562</v>
      </c>
      <c r="C32" s="3">
        <f t="shared" si="8"/>
        <v>70.722210602943562</v>
      </c>
      <c r="D32" s="3">
        <f t="shared" si="8"/>
        <v>70.722210602943562</v>
      </c>
      <c r="E32" s="3">
        <f t="shared" si="8"/>
        <v>70.722210602943562</v>
      </c>
    </row>
    <row r="33" spans="1:5" ht="15.75" customHeight="1">
      <c r="A33" s="2" t="s">
        <v>30</v>
      </c>
      <c r="B33" s="3">
        <f t="shared" ref="B33:E33" si="9">0.25*((12-B31)^(2/3))</f>
        <v>0.62996052494743648</v>
      </c>
      <c r="C33" s="3">
        <f t="shared" si="9"/>
        <v>0.62996052494743648</v>
      </c>
      <c r="D33" s="3">
        <f t="shared" si="9"/>
        <v>0.62996052494743648</v>
      </c>
      <c r="E33" s="3">
        <f t="shared" si="9"/>
        <v>0.62996052494743648</v>
      </c>
    </row>
    <row r="34" spans="1:5" ht="15.75" customHeight="1">
      <c r="A34" s="3"/>
      <c r="B34" s="3"/>
      <c r="C34" s="3"/>
      <c r="D34" s="3"/>
      <c r="E34" s="3"/>
    </row>
    <row r="35" spans="1:5" ht="15.75" customHeight="1">
      <c r="A35" s="2" t="s">
        <v>31</v>
      </c>
      <c r="B35" s="3">
        <f t="shared" ref="B35:E35" si="10">1.192*(B21*B24^(1/2)/$B$3)^0.0535</f>
        <v>0.94977360869616245</v>
      </c>
      <c r="C35" s="3">
        <f t="shared" si="10"/>
        <v>0.96284094787497621</v>
      </c>
      <c r="D35" s="3">
        <f t="shared" si="10"/>
        <v>0.94977360869616245</v>
      </c>
      <c r="E35" s="3">
        <f t="shared" si="10"/>
        <v>0.96284094787497621</v>
      </c>
    </row>
    <row r="36" spans="1:5" ht="15.75" customHeight="1">
      <c r="A36" s="3"/>
      <c r="B36" s="3"/>
      <c r="C36" s="3"/>
      <c r="D36" s="3"/>
      <c r="E36" s="3"/>
    </row>
    <row r="37" spans="1:5" ht="15.75" customHeight="1">
      <c r="A37" s="2" t="s">
        <v>32</v>
      </c>
      <c r="B37" s="3">
        <f t="shared" ref="B37:E37" si="11">1+B38*((B39*B40)+(B41*B42))</f>
        <v>1.08410148</v>
      </c>
      <c r="C37" s="3">
        <f t="shared" si="11"/>
        <v>1.0507681466666667</v>
      </c>
      <c r="D37" s="3">
        <f t="shared" si="11"/>
        <v>1.08410148</v>
      </c>
      <c r="E37" s="3">
        <f t="shared" si="11"/>
        <v>1.0507681466666667</v>
      </c>
    </row>
    <row r="38" spans="1:5" ht="13">
      <c r="A38" s="2" t="s">
        <v>33</v>
      </c>
      <c r="B38" s="2">
        <v>1</v>
      </c>
      <c r="C38" s="2">
        <v>1</v>
      </c>
      <c r="D38" s="2">
        <v>1</v>
      </c>
      <c r="E38" s="2">
        <v>1</v>
      </c>
    </row>
    <row r="39" spans="1:5" ht="13">
      <c r="A39" s="2" t="s">
        <v>34</v>
      </c>
      <c r="B39" s="3">
        <f t="shared" ref="B39:E39" si="12">B21/(10*B20)-0.025</f>
        <v>2.5000000000000001E-2</v>
      </c>
      <c r="C39" s="3">
        <f t="shared" si="12"/>
        <v>-8.333333333333335E-3</v>
      </c>
      <c r="D39" s="3">
        <f t="shared" si="12"/>
        <v>2.5000000000000001E-2</v>
      </c>
      <c r="E39" s="3">
        <f t="shared" si="12"/>
        <v>-8.333333333333335E-3</v>
      </c>
    </row>
    <row r="40" spans="1:5" ht="13">
      <c r="A40" s="2" t="s">
        <v>35</v>
      </c>
      <c r="B40" s="2">
        <v>1</v>
      </c>
      <c r="C40" s="2">
        <v>1</v>
      </c>
      <c r="D40" s="2">
        <v>1</v>
      </c>
      <c r="E40" s="2">
        <v>1</v>
      </c>
    </row>
    <row r="41" spans="1:5" ht="13">
      <c r="A41" s="2" t="s">
        <v>36</v>
      </c>
      <c r="B41" s="2">
        <f t="shared" ref="B41:E41" si="13">0.0675+(0.0128*B21)-(0.926*(10^-4)*(B21^2))</f>
        <v>7.3876850000000008E-2</v>
      </c>
      <c r="C41" s="2">
        <f t="shared" si="13"/>
        <v>7.3876850000000008E-2</v>
      </c>
      <c r="D41" s="2">
        <f t="shared" si="13"/>
        <v>7.3876850000000008E-2</v>
      </c>
      <c r="E41" s="2">
        <f t="shared" si="13"/>
        <v>7.3876850000000008E-2</v>
      </c>
    </row>
    <row r="42" spans="1:5" ht="13">
      <c r="A42" s="2" t="s">
        <v>37</v>
      </c>
      <c r="B42" s="2">
        <v>0.8</v>
      </c>
      <c r="C42" s="2">
        <v>0.8</v>
      </c>
      <c r="D42" s="2">
        <v>0.8</v>
      </c>
      <c r="E42" s="2">
        <v>0.8</v>
      </c>
    </row>
    <row r="43" spans="1:5" ht="13">
      <c r="A43" s="3"/>
      <c r="B43" s="3"/>
      <c r="C43" s="3"/>
      <c r="D43" s="3"/>
      <c r="E43" s="3"/>
    </row>
    <row r="44" spans="1:5" ht="13">
      <c r="A44" s="2" t="s">
        <v>38</v>
      </c>
      <c r="B44" s="2">
        <v>1</v>
      </c>
      <c r="C44" s="2">
        <v>1</v>
      </c>
      <c r="D44" s="2">
        <v>1</v>
      </c>
      <c r="E44" s="2">
        <v>1</v>
      </c>
    </row>
    <row r="45" spans="1:5" ht="13">
      <c r="A45" s="3"/>
      <c r="B45" s="3"/>
      <c r="C45" s="3"/>
      <c r="D45" s="3"/>
      <c r="E45" s="3"/>
    </row>
    <row r="46" spans="1:5" ht="13">
      <c r="A46" s="2" t="s">
        <v>39</v>
      </c>
      <c r="B46" s="3">
        <f t="shared" ref="B46:E46" si="14">SIN(RADIANS(B47))*COS(RADIANS(B47))/(2*B53)*(B54/(B54+1))</f>
        <v>0.1805351364125278</v>
      </c>
      <c r="C46" s="3">
        <f t="shared" si="14"/>
        <v>0.1805351364125278</v>
      </c>
      <c r="D46" s="3">
        <f t="shared" si="14"/>
        <v>0.1805351364125278</v>
      </c>
      <c r="E46" s="3">
        <f t="shared" si="14"/>
        <v>0.1805351364125278</v>
      </c>
    </row>
    <row r="47" spans="1:5" ht="13">
      <c r="A47" s="2" t="s">
        <v>40</v>
      </c>
      <c r="B47" s="3">
        <f t="shared" ref="B47:E47" si="15">DEGREES(ATAN(TAN($C$4)/COS($C$5)))</f>
        <v>20.089512603971635</v>
      </c>
      <c r="C47" s="3">
        <f t="shared" si="15"/>
        <v>20.089512603971635</v>
      </c>
      <c r="D47" s="3">
        <f t="shared" si="15"/>
        <v>20.089512603971635</v>
      </c>
      <c r="E47" s="3">
        <f t="shared" si="15"/>
        <v>20.089512603971635</v>
      </c>
    </row>
    <row r="48" spans="1:5" ht="13">
      <c r="A48" s="2" t="s">
        <v>41</v>
      </c>
      <c r="B48" s="3">
        <f t="shared" ref="B48:E48" si="16">B20/2</f>
        <v>0.5</v>
      </c>
      <c r="C48" s="3">
        <f t="shared" si="16"/>
        <v>1.5</v>
      </c>
      <c r="D48" s="3">
        <f t="shared" si="16"/>
        <v>0.5</v>
      </c>
      <c r="E48" s="3">
        <f t="shared" si="16"/>
        <v>1.5</v>
      </c>
    </row>
    <row r="49" spans="1:5" ht="13">
      <c r="A49" s="2" t="s">
        <v>42</v>
      </c>
      <c r="B49" s="3">
        <f t="shared" ref="B49:E49" si="17">B48*COS(RADIANS(B47))</f>
        <v>0.46957856984635571</v>
      </c>
      <c r="C49" s="3">
        <f t="shared" si="17"/>
        <v>1.4087357095390671</v>
      </c>
      <c r="D49" s="3">
        <f t="shared" si="17"/>
        <v>0.46957856984635571</v>
      </c>
      <c r="E49" s="3">
        <f t="shared" si="17"/>
        <v>1.4087357095390671</v>
      </c>
    </row>
    <row r="50" spans="1:5" ht="13">
      <c r="A50" s="2" t="s">
        <v>43</v>
      </c>
      <c r="B50" s="3">
        <f t="shared" ref="B50:E50" si="18">1/$B$3</f>
        <v>6.25E-2</v>
      </c>
      <c r="C50" s="3">
        <f t="shared" si="18"/>
        <v>6.25E-2</v>
      </c>
      <c r="D50" s="3">
        <f t="shared" si="18"/>
        <v>6.25E-2</v>
      </c>
      <c r="E50" s="3">
        <f t="shared" si="18"/>
        <v>6.25E-2</v>
      </c>
    </row>
    <row r="51" spans="1:5" ht="13">
      <c r="A51" s="2" t="s">
        <v>44</v>
      </c>
      <c r="B51" s="3">
        <f>(((B48+B50)^2-B49^2)^(1/2))+(((C48+C50)^2)-C49^2)^(1/2)-(B48+C48)*SIN(RADIANS(B47))</f>
        <v>0.29862679222882738</v>
      </c>
      <c r="C51" s="3">
        <f t="shared" ref="C51:E51" si="19">B51</f>
        <v>0.29862679222882738</v>
      </c>
      <c r="D51" s="3">
        <f t="shared" si="19"/>
        <v>0.29862679222882738</v>
      </c>
      <c r="E51" s="3">
        <f t="shared" si="19"/>
        <v>0.29862679222882738</v>
      </c>
    </row>
    <row r="52" spans="1:5" ht="13">
      <c r="A52" s="2" t="s">
        <v>45</v>
      </c>
      <c r="B52" s="3">
        <f t="shared" ref="B52:E52" si="20">PI()/$B$3*COS(RADIANS($B$4))</f>
        <v>0.19009534466263475</v>
      </c>
      <c r="C52" s="3">
        <f t="shared" si="20"/>
        <v>0.19009534466263475</v>
      </c>
      <c r="D52" s="3">
        <f t="shared" si="20"/>
        <v>0.19009534466263475</v>
      </c>
      <c r="E52" s="3">
        <f t="shared" si="20"/>
        <v>0.19009534466263475</v>
      </c>
    </row>
    <row r="53" spans="1:5" ht="13">
      <c r="A53" s="2" t="s">
        <v>46</v>
      </c>
      <c r="B53" s="3">
        <f t="shared" ref="B53:E53" si="21">B52/(0.95*B51)</f>
        <v>0.67006835290734212</v>
      </c>
      <c r="C53" s="3">
        <f t="shared" si="21"/>
        <v>0.67006835290734212</v>
      </c>
      <c r="D53" s="3">
        <f t="shared" si="21"/>
        <v>0.67006835290734212</v>
      </c>
      <c r="E53" s="3">
        <f t="shared" si="21"/>
        <v>0.67006835290734212</v>
      </c>
    </row>
    <row r="54" spans="1:5" ht="13">
      <c r="A54" s="2" t="s">
        <v>47</v>
      </c>
      <c r="B54" s="3">
        <f>C48/B48</f>
        <v>3</v>
      </c>
      <c r="C54" s="3">
        <f t="shared" ref="C54:E54" si="22">B54</f>
        <v>3</v>
      </c>
      <c r="D54" s="3">
        <f t="shared" si="22"/>
        <v>3</v>
      </c>
      <c r="E54" s="3">
        <f t="shared" si="22"/>
        <v>3</v>
      </c>
    </row>
    <row r="55" spans="1:5" ht="13">
      <c r="A55" s="3"/>
      <c r="B55" s="3"/>
      <c r="C55" s="3"/>
      <c r="D55" s="3"/>
      <c r="E55" s="3"/>
    </row>
    <row r="56" spans="1:5" ht="13">
      <c r="A56" s="2" t="s">
        <v>48</v>
      </c>
      <c r="B56" s="2">
        <v>0.36399999999999999</v>
      </c>
      <c r="C56" s="2">
        <v>0.36399999999999999</v>
      </c>
      <c r="D56" s="2">
        <v>0.36399999999999999</v>
      </c>
      <c r="E56" s="2">
        <v>0.36399999999999999</v>
      </c>
    </row>
    <row r="57" spans="1:5" ht="13">
      <c r="A57" s="3"/>
      <c r="B57" s="3"/>
      <c r="C57" s="3"/>
      <c r="D57" s="3"/>
      <c r="E57" s="3"/>
    </row>
    <row r="58" spans="1:5" ht="13">
      <c r="A58" s="2" t="s">
        <v>49</v>
      </c>
      <c r="B58" s="3">
        <f>B16*B28*B30*B35*$B$3/B21*(B37*B44/B56)</f>
        <v>42209.824259357141</v>
      </c>
      <c r="C58" s="3">
        <f t="shared" ref="C58:E58" si="23">C16*C28*C30*C35*($B$3/C21)*(C37*C44/C56)</f>
        <v>40015.345000242472</v>
      </c>
      <c r="D58" s="3">
        <f t="shared" si="23"/>
        <v>34607.686547109966</v>
      </c>
      <c r="E58" s="3">
        <f t="shared" si="23"/>
        <v>33254.182520697497</v>
      </c>
    </row>
    <row r="59" spans="1:5" ht="13">
      <c r="A59" s="3"/>
      <c r="B59" s="3"/>
      <c r="C59" s="3"/>
      <c r="D59" s="3"/>
      <c r="E59" s="3"/>
    </row>
    <row r="60" spans="1:5" ht="13">
      <c r="A60" s="2" t="s">
        <v>50</v>
      </c>
      <c r="B60" s="3">
        <f t="shared" ref="B60:E60" si="24">B25*((B16*B28*B30*B35*B37/(B20*B21)*B26/B46)^(1/2))</f>
        <v>167743.01289282777</v>
      </c>
      <c r="C60" s="3">
        <f t="shared" si="24"/>
        <v>94295.359963042138</v>
      </c>
      <c r="D60" s="3">
        <f t="shared" si="24"/>
        <v>151888.17068485104</v>
      </c>
      <c r="E60" s="3">
        <f t="shared" si="24"/>
        <v>85960.746433703549</v>
      </c>
    </row>
    <row r="61" spans="1:5" ht="13">
      <c r="A61" s="3"/>
      <c r="B61" s="3"/>
      <c r="C61" s="3"/>
      <c r="D61" s="3"/>
      <c r="E61" s="3"/>
    </row>
    <row r="62" spans="1:5" ht="13">
      <c r="A62" s="3"/>
      <c r="B62" s="3"/>
      <c r="C62" s="3"/>
      <c r="D62" s="3"/>
      <c r="E62" s="3"/>
    </row>
    <row r="63" spans="1:5" ht="13">
      <c r="A63" s="2" t="s">
        <v>51</v>
      </c>
      <c r="B63" s="3">
        <f t="shared" ref="B63:E63" si="25">34300+349*B65</f>
        <v>146329</v>
      </c>
      <c r="C63" s="3">
        <f t="shared" si="25"/>
        <v>146329</v>
      </c>
      <c r="D63" s="3">
        <f t="shared" si="25"/>
        <v>146329</v>
      </c>
      <c r="E63" s="3">
        <f t="shared" si="25"/>
        <v>146329</v>
      </c>
    </row>
    <row r="64" spans="1:5" ht="13">
      <c r="A64" s="2" t="s">
        <v>54</v>
      </c>
      <c r="B64" s="3">
        <f t="shared" ref="B64:E64" si="26">16400+102*B65</f>
        <v>49142</v>
      </c>
      <c r="C64" s="3">
        <f t="shared" si="26"/>
        <v>49142</v>
      </c>
      <c r="D64" s="3">
        <f t="shared" si="26"/>
        <v>49142</v>
      </c>
      <c r="E64" s="3">
        <f t="shared" si="26"/>
        <v>49142</v>
      </c>
    </row>
    <row r="65" spans="1:5" ht="13">
      <c r="A65" s="2" t="s">
        <v>58</v>
      </c>
      <c r="B65" s="2">
        <v>321</v>
      </c>
      <c r="C65" s="2">
        <v>321</v>
      </c>
      <c r="D65" s="2">
        <v>321</v>
      </c>
      <c r="E65" s="2">
        <v>321</v>
      </c>
    </row>
    <row r="66" spans="1:5" ht="13">
      <c r="A66" s="3"/>
      <c r="B66" s="3"/>
      <c r="C66" s="3"/>
      <c r="D66" s="3"/>
      <c r="E66" s="3"/>
    </row>
    <row r="67" spans="1:5" ht="13">
      <c r="A67" s="2" t="s">
        <v>52</v>
      </c>
      <c r="B67" s="2">
        <v>0.86</v>
      </c>
      <c r="C67" s="2">
        <v>0.9</v>
      </c>
      <c r="D67" s="2">
        <v>0.9</v>
      </c>
      <c r="E67" s="2">
        <v>0.95</v>
      </c>
    </row>
    <row r="68" spans="1:5" ht="13">
      <c r="A68" s="3"/>
      <c r="B68" s="3"/>
      <c r="C68" s="3"/>
      <c r="D68" s="3"/>
      <c r="E68" s="3"/>
    </row>
    <row r="69" spans="1:5" ht="13">
      <c r="A69" s="2" t="s">
        <v>59</v>
      </c>
      <c r="B69" s="2">
        <v>1</v>
      </c>
      <c r="C69" s="2">
        <v>1</v>
      </c>
      <c r="D69" s="2">
        <v>1</v>
      </c>
      <c r="E69" s="2">
        <v>1</v>
      </c>
    </row>
    <row r="70" spans="1:5" ht="13">
      <c r="A70" s="2" t="s">
        <v>53</v>
      </c>
      <c r="B70" s="2">
        <v>0.99</v>
      </c>
      <c r="C70" s="2">
        <v>0.99</v>
      </c>
      <c r="D70" s="2">
        <v>0.99</v>
      </c>
      <c r="E70" s="2">
        <v>0.99</v>
      </c>
    </row>
    <row r="71" spans="1:5" ht="13">
      <c r="A71" s="3"/>
      <c r="B71" s="3"/>
      <c r="C71" s="3"/>
      <c r="D71" s="3"/>
      <c r="E71" s="3"/>
    </row>
    <row r="72" spans="1:5" ht="13">
      <c r="A72" s="2" t="s">
        <v>60</v>
      </c>
      <c r="B72" s="2">
        <v>1</v>
      </c>
      <c r="C72" s="2">
        <v>1</v>
      </c>
      <c r="D72" s="2">
        <v>1</v>
      </c>
      <c r="E72" s="2">
        <v>1</v>
      </c>
    </row>
    <row r="73" spans="1:5" ht="13">
      <c r="A73" s="3"/>
      <c r="B73" s="3"/>
      <c r="C73" s="3"/>
      <c r="D73" s="3"/>
      <c r="E73" s="3"/>
    </row>
    <row r="74" spans="1:5" ht="13">
      <c r="A74" s="3"/>
      <c r="B74" s="3"/>
      <c r="C74" s="3"/>
      <c r="D74" s="3"/>
      <c r="E74" s="3"/>
    </row>
    <row r="75" spans="1:5" ht="13">
      <c r="A75" s="3"/>
      <c r="B75" s="3"/>
      <c r="C75" s="3"/>
      <c r="D75" s="3"/>
      <c r="E75" s="3"/>
    </row>
    <row r="76" spans="1:5" ht="13">
      <c r="A76" s="2" t="s">
        <v>55</v>
      </c>
      <c r="B76" s="2">
        <v>1</v>
      </c>
      <c r="C76" s="2">
        <v>1</v>
      </c>
      <c r="D76" s="2">
        <v>1</v>
      </c>
      <c r="E76" s="2">
        <v>1</v>
      </c>
    </row>
    <row r="77" spans="1:5" ht="13">
      <c r="A77" s="3"/>
      <c r="B77" s="3"/>
      <c r="C77" s="3"/>
      <c r="D77" s="3"/>
      <c r="E77" s="3"/>
    </row>
    <row r="78" spans="1:5" ht="13">
      <c r="A78" s="2" t="s">
        <v>56</v>
      </c>
      <c r="B78" s="2">
        <v>0.86</v>
      </c>
      <c r="C78" s="2">
        <v>0.89</v>
      </c>
      <c r="D78" s="2">
        <v>0.89</v>
      </c>
      <c r="E78" s="2">
        <v>0.91</v>
      </c>
    </row>
    <row r="79" spans="1:5" ht="13">
      <c r="A79" s="3"/>
      <c r="B79" s="3"/>
      <c r="C79" s="3"/>
      <c r="D79" s="3"/>
      <c r="E79" s="3"/>
    </row>
    <row r="80" spans="1:5" ht="13">
      <c r="A80" s="2" t="s">
        <v>57</v>
      </c>
      <c r="B80" s="3">
        <f t="shared" ref="B80:E80" si="27">B63*B78*B76/(B69*B72)/B60</f>
        <v>0.75021270829564735</v>
      </c>
      <c r="C80" s="3">
        <f t="shared" si="27"/>
        <v>1.3811157839690424</v>
      </c>
      <c r="D80" s="3">
        <f t="shared" si="27"/>
        <v>0.85742562710967662</v>
      </c>
      <c r="E80" s="3">
        <f t="shared" si="27"/>
        <v>1.5490720535180322</v>
      </c>
    </row>
    <row r="81" spans="1:5" ht="13">
      <c r="A81" s="2" t="s">
        <v>61</v>
      </c>
      <c r="B81" s="3">
        <f t="shared" ref="B81:E81" si="28">B64*B67/(B69*B72)/B58</f>
        <v>1.0012389471304484</v>
      </c>
      <c r="C81" s="3">
        <f t="shared" si="28"/>
        <v>1.1052709904096043</v>
      </c>
      <c r="D81" s="3">
        <f t="shared" si="28"/>
        <v>1.2779762073894938</v>
      </c>
      <c r="E81" s="3">
        <f t="shared" si="28"/>
        <v>1.4038805485879313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Wu</cp:lastModifiedBy>
  <dcterms:created xsi:type="dcterms:W3CDTF">2019-03-22T20:28:00Z</dcterms:created>
  <dcterms:modified xsi:type="dcterms:W3CDTF">2019-03-22T20:28:00Z</dcterms:modified>
</cp:coreProperties>
</file>