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zivbe\Documents\codes\prnas_codes_2_5_25\parnas_codes\patch_clamp_analysis\perfusion_system\"/>
    </mc:Choice>
  </mc:AlternateContent>
  <xr:revisionPtr revIDLastSave="0" documentId="13_ncr:1_{C858FD87-1489-481A-926B-02B8381544B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IRK1 + GIRK2 + 5HT1B Perfusion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N3" i="3"/>
  <c r="I4" i="3"/>
  <c r="J4" i="3"/>
  <c r="K4" i="3"/>
  <c r="L4" i="3"/>
  <c r="N4" i="3"/>
  <c r="H5" i="3"/>
  <c r="I5" i="3"/>
  <c r="J5" i="3"/>
  <c r="K5" i="3"/>
  <c r="L5" i="3"/>
  <c r="N5" i="3"/>
  <c r="H6" i="3"/>
  <c r="I6" i="3"/>
  <c r="J6" i="3"/>
  <c r="K6" i="3"/>
  <c r="L6" i="3"/>
  <c r="N6" i="3"/>
  <c r="I7" i="3"/>
  <c r="J7" i="3"/>
  <c r="K7" i="3"/>
  <c r="L7" i="3"/>
  <c r="N7" i="3"/>
  <c r="X5" i="3"/>
  <c r="I9" i="3"/>
  <c r="J9" i="3"/>
  <c r="K9" i="3"/>
  <c r="L9" i="3"/>
  <c r="R9" i="3"/>
  <c r="N9" i="3"/>
  <c r="J10" i="3"/>
  <c r="K10" i="3"/>
  <c r="L10" i="3"/>
  <c r="N10" i="3"/>
  <c r="I11" i="3"/>
  <c r="J11" i="3"/>
  <c r="K11" i="3"/>
  <c r="L11" i="3"/>
  <c r="N11" i="3"/>
  <c r="I12" i="3"/>
  <c r="J12" i="3"/>
  <c r="K12" i="3"/>
  <c r="L12" i="3"/>
  <c r="N12" i="3"/>
  <c r="I13" i="3"/>
  <c r="J13" i="3"/>
  <c r="K13" i="3"/>
  <c r="L13" i="3"/>
  <c r="N13" i="3"/>
  <c r="AD5" i="3"/>
  <c r="O9" i="3"/>
  <c r="O10" i="3"/>
  <c r="O11" i="3"/>
  <c r="O12" i="3"/>
  <c r="O13" i="3"/>
  <c r="AE6" i="3"/>
  <c r="P9" i="3"/>
  <c r="Q9" i="3"/>
  <c r="Q10" i="3"/>
  <c r="Q11" i="3"/>
  <c r="Q12" i="3"/>
  <c r="Q13" i="3"/>
  <c r="AG5" i="3"/>
  <c r="R10" i="3"/>
  <c r="P10" i="3"/>
  <c r="R11" i="3"/>
  <c r="AD7" i="3"/>
  <c r="P11" i="3"/>
  <c r="P12" i="3"/>
  <c r="R12" i="3"/>
  <c r="AE5" i="3"/>
  <c r="P13" i="3"/>
  <c r="R13" i="3"/>
  <c r="AD6" i="3"/>
  <c r="AC7" i="3"/>
  <c r="W7" i="3"/>
  <c r="W5" i="3"/>
  <c r="AC5" i="3"/>
  <c r="AC6" i="3"/>
  <c r="W6" i="3"/>
  <c r="W8" i="3"/>
  <c r="AF5" i="3"/>
  <c r="AF7" i="3"/>
  <c r="AG7" i="3"/>
  <c r="AE7" i="3"/>
  <c r="AH7" i="3"/>
  <c r="AH5" i="3"/>
  <c r="AH6" i="3"/>
  <c r="AG6" i="3"/>
  <c r="AF6" i="3"/>
  <c r="Q7" i="3"/>
  <c r="Q3" i="3"/>
  <c r="AC8" i="3"/>
  <c r="P3" i="3"/>
  <c r="P4" i="3"/>
  <c r="P5" i="3"/>
  <c r="P6" i="3"/>
  <c r="P7" i="3"/>
  <c r="Z6" i="3"/>
  <c r="Z7" i="3"/>
  <c r="Z5" i="3"/>
  <c r="R4" i="3"/>
  <c r="Q4" i="3"/>
  <c r="O4" i="3"/>
  <c r="O3" i="3"/>
  <c r="R3" i="3"/>
  <c r="O7" i="3"/>
  <c r="R7" i="3"/>
  <c r="O5" i="3"/>
  <c r="O6" i="3"/>
  <c r="Y6" i="3"/>
  <c r="Y7" i="3"/>
  <c r="Y5" i="3"/>
  <c r="R5" i="3"/>
  <c r="R6" i="3"/>
  <c r="AB7" i="3"/>
  <c r="AB5" i="3"/>
  <c r="AB6" i="3"/>
  <c r="Q5" i="3"/>
  <c r="Q6" i="3"/>
  <c r="AA6" i="3"/>
  <c r="AA7" i="3"/>
  <c r="AA5" i="3"/>
  <c r="X7" i="3"/>
  <c r="X6" i="3"/>
  <c r="AD8" i="3"/>
  <c r="AF8" i="3"/>
  <c r="AE8" i="3"/>
  <c r="AG8" i="3"/>
  <c r="AA8" i="3"/>
  <c r="AB8" i="3"/>
  <c r="Z8" i="3"/>
  <c r="AH8" i="3"/>
  <c r="X8" i="3"/>
  <c r="Y8" i="3"/>
</calcChain>
</file>

<file path=xl/sharedStrings.xml><?xml version="1.0" encoding="utf-8"?>
<sst xmlns="http://schemas.openxmlformats.org/spreadsheetml/2006/main" count="40" uniqueCount="29">
  <si>
    <t>File name</t>
  </si>
  <si>
    <t>R electrode (MOhms)</t>
  </si>
  <si>
    <t>Rm (MOhms)</t>
  </si>
  <si>
    <t>Ra (MOhms)</t>
  </si>
  <si>
    <t>R seal (GOhms)</t>
  </si>
  <si>
    <t>Remarks</t>
  </si>
  <si>
    <t>SEM</t>
  </si>
  <si>
    <t>Average</t>
  </si>
  <si>
    <t>St. Deviation</t>
  </si>
  <si>
    <t>Count</t>
  </si>
  <si>
    <t>Voltage</t>
  </si>
  <si>
    <t>Normalized Values</t>
  </si>
  <si>
    <t>Holding Potential</t>
  </si>
  <si>
    <t>100nM</t>
  </si>
  <si>
    <t>1000nM</t>
  </si>
  <si>
    <t>Patch Data</t>
  </si>
  <si>
    <t>Normalized</t>
  </si>
  <si>
    <t>Raw (pA)</t>
  </si>
  <si>
    <t>2025_04_24_0005</t>
  </si>
  <si>
    <t>2025_04_24_0007</t>
  </si>
  <si>
    <t>אולי צריך ליישר</t>
  </si>
  <si>
    <t>2025_04_24_0008</t>
  </si>
  <si>
    <t>2025_04_24_0010</t>
  </si>
  <si>
    <t>2025_04_24_0011</t>
  </si>
  <si>
    <t>Concentration (nM)</t>
  </si>
  <si>
    <t>10pM</t>
  </si>
  <si>
    <t>10000nM</t>
  </si>
  <si>
    <t>100000nM</t>
  </si>
  <si>
    <t>1000000nM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</si>
</sst>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DF50-3B5D-4366-AA20-CC435ED5CAA7}">
  <dimension ref="A1:AH39"/>
  <sheetViews>
    <sheetView tabSelected="1" zoomScale="99" zoomScaleNormal="115" workbookViewId="0">
      <selection activeCell="B17" sqref="B17"/>
    </sheetView>
  </sheetViews>
  <sheetFormatPr defaultColWidth="8.85546875" defaultRowHeight="15" x14ac:dyDescent="0.25"/>
  <cols>
    <col min="1" max="1" width="17" bestFit="1" customWidth="1"/>
    <col min="2" max="2" width="16.42578125" bestFit="1" customWidth="1"/>
    <col min="3" max="4" width="20.28515625" bestFit="1" customWidth="1"/>
    <col min="5" max="5" width="12.7109375" bestFit="1" customWidth="1"/>
    <col min="6" max="6" width="12" bestFit="1" customWidth="1"/>
    <col min="7" max="7" width="12" customWidth="1"/>
    <col min="19" max="19" width="55.28515625" bestFit="1" customWidth="1"/>
  </cols>
  <sheetData>
    <row r="1" spans="1:34" ht="15" customHeight="1" x14ac:dyDescent="0.25">
      <c r="A1" s="1"/>
      <c r="B1" s="6" t="s">
        <v>15</v>
      </c>
      <c r="C1" s="7"/>
      <c r="D1" s="7"/>
      <c r="E1" s="7"/>
      <c r="F1" s="8"/>
      <c r="G1" s="3" t="s">
        <v>17</v>
      </c>
      <c r="H1" s="4"/>
      <c r="I1" s="4"/>
      <c r="J1" s="4"/>
      <c r="K1" s="4"/>
      <c r="L1" s="5"/>
      <c r="M1" s="3" t="s">
        <v>16</v>
      </c>
      <c r="N1" s="4"/>
      <c r="O1" s="4"/>
      <c r="P1" s="4"/>
      <c r="Q1" s="4"/>
      <c r="R1" s="5"/>
      <c r="S1" s="1"/>
      <c r="V1" s="9" t="s">
        <v>11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</row>
    <row r="2" spans="1:34" ht="15" customHeight="1" x14ac:dyDescent="0.25">
      <c r="A2" s="2" t="s">
        <v>0</v>
      </c>
      <c r="B2" s="2" t="s">
        <v>12</v>
      </c>
      <c r="C2" s="2" t="s">
        <v>1</v>
      </c>
      <c r="D2" s="2" t="s">
        <v>4</v>
      </c>
      <c r="E2" s="2" t="s">
        <v>2</v>
      </c>
      <c r="F2" s="2" t="s">
        <v>3</v>
      </c>
      <c r="G2" s="2" t="s">
        <v>25</v>
      </c>
      <c r="H2" s="2" t="s">
        <v>13</v>
      </c>
      <c r="I2" s="2" t="s">
        <v>14</v>
      </c>
      <c r="J2" s="2" t="s">
        <v>26</v>
      </c>
      <c r="K2" s="2" t="s">
        <v>27</v>
      </c>
      <c r="L2" s="2" t="s">
        <v>28</v>
      </c>
      <c r="M2" s="2" t="s">
        <v>25</v>
      </c>
      <c r="N2" s="2" t="s">
        <v>13</v>
      </c>
      <c r="O2" s="2" t="s">
        <v>14</v>
      </c>
      <c r="P2" s="2" t="s">
        <v>26</v>
      </c>
      <c r="Q2" s="2" t="s">
        <v>27</v>
      </c>
      <c r="R2" s="2" t="s">
        <v>28</v>
      </c>
      <c r="S2" s="2" t="s">
        <v>5</v>
      </c>
      <c r="V2" s="12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4"/>
    </row>
    <row r="3" spans="1:34" x14ac:dyDescent="0.25">
      <c r="A3" t="s">
        <v>18</v>
      </c>
      <c r="B3">
        <v>-80</v>
      </c>
      <c r="C3">
        <v>7</v>
      </c>
      <c r="D3">
        <v>1.8</v>
      </c>
      <c r="E3">
        <v>375.5</v>
      </c>
      <c r="F3">
        <v>10</v>
      </c>
      <c r="G3">
        <v>0</v>
      </c>
      <c r="H3">
        <v>-68</v>
      </c>
      <c r="I3">
        <f>H3-435</f>
        <v>-503</v>
      </c>
      <c r="J3">
        <f>I3-318</f>
        <v>-821</v>
      </c>
      <c r="K3">
        <f>J3-261</f>
        <v>-1082</v>
      </c>
      <c r="L3">
        <f>K3</f>
        <v>-1082</v>
      </c>
      <c r="M3">
        <v>0</v>
      </c>
      <c r="N3">
        <f>H3/L3</f>
        <v>6.2846580406654348E-2</v>
      </c>
      <c r="O3">
        <f>I3/L3</f>
        <v>0.46487985212569316</v>
      </c>
      <c r="P3">
        <f>J3/L3</f>
        <v>0.75878003696857665</v>
      </c>
      <c r="Q3">
        <f>K3/L3</f>
        <v>1</v>
      </c>
      <c r="R3">
        <f t="shared" ref="R3:R7" si="0">L3/L3</f>
        <v>1</v>
      </c>
      <c r="S3" t="s">
        <v>20</v>
      </c>
      <c r="V3" s="1" t="s">
        <v>10</v>
      </c>
      <c r="W3" s="6">
        <v>-80</v>
      </c>
      <c r="X3" s="7"/>
      <c r="Y3" s="7"/>
      <c r="Z3" s="7"/>
      <c r="AA3" s="7"/>
      <c r="AB3" s="8"/>
      <c r="AC3" s="6">
        <v>-10</v>
      </c>
      <c r="AD3" s="7"/>
      <c r="AE3" s="7"/>
      <c r="AF3" s="7"/>
      <c r="AG3" s="7"/>
      <c r="AH3" s="8"/>
    </row>
    <row r="4" spans="1:34" x14ac:dyDescent="0.25">
      <c r="A4" t="s">
        <v>19</v>
      </c>
      <c r="B4">
        <v>-80</v>
      </c>
      <c r="C4">
        <v>8</v>
      </c>
      <c r="D4">
        <v>18</v>
      </c>
      <c r="E4">
        <v>405</v>
      </c>
      <c r="F4">
        <v>13.7</v>
      </c>
      <c r="G4">
        <v>0</v>
      </c>
      <c r="H4">
        <v>-30</v>
      </c>
      <c r="I4">
        <f>H4-214</f>
        <v>-244</v>
      </c>
      <c r="J4">
        <f>I4-785</f>
        <v>-1029</v>
      </c>
      <c r="K4">
        <f>J4-1307</f>
        <v>-2336</v>
      </c>
      <c r="L4">
        <f>K4-272</f>
        <v>-2608</v>
      </c>
      <c r="M4">
        <v>0</v>
      </c>
      <c r="N4">
        <f t="shared" ref="N4:N7" si="1">H4/L4</f>
        <v>1.1503067484662576E-2</v>
      </c>
      <c r="O4">
        <f t="shared" ref="O4:O7" si="2">I4/L4</f>
        <v>9.3558282208588958E-2</v>
      </c>
      <c r="P4">
        <f t="shared" ref="P4:P7" si="3">J4/L4</f>
        <v>0.39455521472392641</v>
      </c>
      <c r="Q4">
        <f>K4/L4</f>
        <v>0.89570552147239269</v>
      </c>
      <c r="R4">
        <f t="shared" si="0"/>
        <v>1</v>
      </c>
      <c r="V4" s="1" t="s">
        <v>24</v>
      </c>
      <c r="W4" s="1">
        <v>0.01</v>
      </c>
      <c r="X4" s="1">
        <v>0.1</v>
      </c>
      <c r="Y4" s="1">
        <v>1</v>
      </c>
      <c r="Z4" s="1">
        <v>10</v>
      </c>
      <c r="AA4" s="1">
        <v>100</v>
      </c>
      <c r="AB4" s="1">
        <v>1000</v>
      </c>
      <c r="AC4" s="1">
        <v>0</v>
      </c>
      <c r="AD4" s="1">
        <v>0.1</v>
      </c>
      <c r="AE4" s="1">
        <v>1</v>
      </c>
      <c r="AF4" s="1">
        <v>10</v>
      </c>
      <c r="AG4" s="1">
        <v>100</v>
      </c>
      <c r="AH4" s="1">
        <v>1000</v>
      </c>
    </row>
    <row r="5" spans="1:34" x14ac:dyDescent="0.25">
      <c r="A5" t="s">
        <v>21</v>
      </c>
      <c r="B5">
        <v>-80</v>
      </c>
      <c r="C5">
        <v>10</v>
      </c>
      <c r="D5">
        <v>4.5</v>
      </c>
      <c r="E5">
        <v>1500</v>
      </c>
      <c r="F5">
        <v>10.6</v>
      </c>
      <c r="G5">
        <v>0</v>
      </c>
      <c r="H5">
        <f>-25</f>
        <v>-25</v>
      </c>
      <c r="I5">
        <f>H5-475</f>
        <v>-500</v>
      </c>
      <c r="J5">
        <f>I5-820</f>
        <v>-1320</v>
      </c>
      <c r="K5">
        <f>J5-927</f>
        <v>-2247</v>
      </c>
      <c r="L5">
        <f>K5</f>
        <v>-2247</v>
      </c>
      <c r="M5">
        <v>0</v>
      </c>
      <c r="N5">
        <f t="shared" ref="N5" si="4">H5/L5</f>
        <v>1.1125945705384957E-2</v>
      </c>
      <c r="O5">
        <f t="shared" ref="O5" si="5">I5/L5</f>
        <v>0.22251891410769917</v>
      </c>
      <c r="P5">
        <f t="shared" ref="P5" si="6">J5/L5</f>
        <v>0.58744993324432582</v>
      </c>
      <c r="Q5">
        <f>K5/L5</f>
        <v>1</v>
      </c>
      <c r="R5">
        <f t="shared" ref="R5" si="7">L5/L5</f>
        <v>1</v>
      </c>
      <c r="V5" s="1" t="s">
        <v>7</v>
      </c>
      <c r="W5" s="1">
        <f>AVERAGE(M3:M8)</f>
        <v>0</v>
      </c>
      <c r="X5" s="1">
        <f>AVERAGE(N3:N8)</f>
        <v>4.7438126634907665E-2</v>
      </c>
      <c r="Y5" s="1">
        <f>AVERAGE(O3:O8)</f>
        <v>0.35283766760592089</v>
      </c>
      <c r="Z5" s="1">
        <f>AVERAGE(P3:P8)</f>
        <v>0.63147327603593184</v>
      </c>
      <c r="AA5" s="1">
        <f>AVERAGE(Q3:Q8)</f>
        <v>0.97689836023115395</v>
      </c>
      <c r="AB5" s="1">
        <f>AVERAGE(R3:R8)</f>
        <v>1</v>
      </c>
      <c r="AC5" s="1">
        <f>AVERAGE(M9:M13)</f>
        <v>0</v>
      </c>
      <c r="AD5" s="1">
        <f>AVERAGE(N9:N29)</f>
        <v>2.4181300427147605E-2</v>
      </c>
      <c r="AE5" s="1">
        <f>AVERAGE(O9:O29)</f>
        <v>0.19044613888901049</v>
      </c>
      <c r="AF5" s="1">
        <f>AVERAGE(P9:P29)</f>
        <v>0.41782833111592321</v>
      </c>
      <c r="AG5" s="1">
        <f>AVERAGE(Q9:Q29)</f>
        <v>0.98373778227165476</v>
      </c>
      <c r="AH5" s="1">
        <f>AVERAGE(R9:R29)</f>
        <v>1</v>
      </c>
    </row>
    <row r="6" spans="1:34" x14ac:dyDescent="0.25">
      <c r="A6" t="s">
        <v>22</v>
      </c>
      <c r="B6">
        <v>-80</v>
      </c>
      <c r="C6">
        <v>11.2</v>
      </c>
      <c r="D6">
        <v>18</v>
      </c>
      <c r="E6">
        <v>1800</v>
      </c>
      <c r="F6">
        <v>13.1</v>
      </c>
      <c r="G6">
        <v>0</v>
      </c>
      <c r="H6">
        <f>-230</f>
        <v>-230</v>
      </c>
      <c r="I6">
        <f>H6-741</f>
        <v>-971</v>
      </c>
      <c r="J6">
        <f>I6-152</f>
        <v>-1123</v>
      </c>
      <c r="K6">
        <f>J6-376</f>
        <v>-1499</v>
      </c>
      <c r="L6">
        <f>K6-17</f>
        <v>-1516</v>
      </c>
      <c r="M6">
        <v>0</v>
      </c>
      <c r="N6">
        <f t="shared" si="1"/>
        <v>0.15171503957783641</v>
      </c>
      <c r="O6">
        <f t="shared" si="2"/>
        <v>0.64050131926121368</v>
      </c>
      <c r="P6">
        <f t="shared" si="3"/>
        <v>0.74076517150395782</v>
      </c>
      <c r="Q6">
        <f>K6/L6</f>
        <v>0.98878627968337729</v>
      </c>
      <c r="R6">
        <f t="shared" si="0"/>
        <v>1</v>
      </c>
      <c r="V6" s="1" t="s">
        <v>8</v>
      </c>
      <c r="W6" s="1">
        <f>_xlfn.STDEV.S($M$3:$M$8)</f>
        <v>0</v>
      </c>
      <c r="X6" s="1">
        <f>_xlfn.STDEV.S(N3:N8)</f>
        <v>6.3188950456473672E-2</v>
      </c>
      <c r="Y6" s="1">
        <f>_xlfn.STDEV.S(O3:O8)</f>
        <v>0.21190491402116132</v>
      </c>
      <c r="Z6" s="1">
        <f>_xlfn.STDEV.S(P3:P8)</f>
        <v>0.14848083340484422</v>
      </c>
      <c r="AA6" s="1">
        <f>_xlfn.STDEV.S(Q3:Q8)</f>
        <v>4.5647171255832883E-2</v>
      </c>
      <c r="AB6" s="1">
        <f>_xlfn.STDEV.S(R3:R8)</f>
        <v>0</v>
      </c>
      <c r="AC6" s="1">
        <f>_xlfn.STDEV.S(M9:M13)</f>
        <v>0</v>
      </c>
      <c r="AD6" s="1">
        <f>_xlfn.STDEV.S(N9:N29)</f>
        <v>3.9860258298892323E-2</v>
      </c>
      <c r="AE6" s="1">
        <f>_xlfn.STDEV.S(O9:O29)</f>
        <v>0.11696825648820024</v>
      </c>
      <c r="AF6" s="1">
        <f>_xlfn.STDEV.S(P9:P29)</f>
        <v>0.29672080485405355</v>
      </c>
      <c r="AG6" s="1">
        <f>_xlfn.STDEV.S(Q9:Q29)</f>
        <v>2.374777606151008E-2</v>
      </c>
      <c r="AH6" s="1">
        <f>_xlfn.STDEV.S(R9:R29)</f>
        <v>0</v>
      </c>
    </row>
    <row r="7" spans="1:34" x14ac:dyDescent="0.25">
      <c r="A7" t="s">
        <v>23</v>
      </c>
      <c r="B7">
        <v>-80</v>
      </c>
      <c r="C7">
        <v>8.1</v>
      </c>
      <c r="D7">
        <v>18</v>
      </c>
      <c r="E7">
        <v>1000</v>
      </c>
      <c r="F7">
        <v>12.3</v>
      </c>
      <c r="G7">
        <v>0</v>
      </c>
      <c r="H7">
        <v>0</v>
      </c>
      <c r="I7">
        <f>-462</f>
        <v>-462</v>
      </c>
      <c r="J7">
        <f>I7-449</f>
        <v>-911</v>
      </c>
      <c r="K7">
        <f>J7-437</f>
        <v>-1348</v>
      </c>
      <c r="L7">
        <f>K7</f>
        <v>-1348</v>
      </c>
      <c r="M7">
        <v>0</v>
      </c>
      <c r="N7">
        <f t="shared" si="1"/>
        <v>0</v>
      </c>
      <c r="O7">
        <f t="shared" si="2"/>
        <v>0.34272997032640951</v>
      </c>
      <c r="P7">
        <f t="shared" si="3"/>
        <v>0.6758160237388724</v>
      </c>
      <c r="Q7">
        <f>K7/L7</f>
        <v>1</v>
      </c>
      <c r="R7">
        <f t="shared" si="0"/>
        <v>1</v>
      </c>
      <c r="V7" s="1" t="s">
        <v>9</v>
      </c>
      <c r="W7" s="1">
        <f>COUNT(M3:M8)</f>
        <v>5</v>
      </c>
      <c r="X7" s="1">
        <f>COUNT(N3:N8)</f>
        <v>5</v>
      </c>
      <c r="Y7" s="1">
        <f>COUNT(O3:O8)</f>
        <v>5</v>
      </c>
      <c r="Z7" s="1">
        <f>COUNT(P3:P8)</f>
        <v>5</v>
      </c>
      <c r="AA7" s="1">
        <f>COUNT(Q3:Q8)</f>
        <v>5</v>
      </c>
      <c r="AB7" s="1">
        <f>COUNT(R3:R8)</f>
        <v>5</v>
      </c>
      <c r="AC7" s="1">
        <f>COUNT(M9:M29)</f>
        <v>5</v>
      </c>
      <c r="AD7" s="1">
        <f>COUNT(N9:N29)</f>
        <v>5</v>
      </c>
      <c r="AE7" s="1">
        <f>COUNT(O9:O29)</f>
        <v>5</v>
      </c>
      <c r="AF7" s="1">
        <f>COUNT(P9:P29)</f>
        <v>5</v>
      </c>
      <c r="AG7" s="1">
        <f>COUNT(Q9:Q29)</f>
        <v>5</v>
      </c>
      <c r="AH7" s="1">
        <f>COUNT(R9:R29)</f>
        <v>5</v>
      </c>
    </row>
    <row r="8" spans="1:34" x14ac:dyDescent="0.25">
      <c r="V8" s="1" t="s">
        <v>6</v>
      </c>
      <c r="W8" s="1">
        <f>W6/SQRT(W7)</f>
        <v>0</v>
      </c>
      <c r="X8" s="1">
        <f t="shared" ref="X8:AH8" si="8">X6/SQRT(X7)</f>
        <v>2.8258957729508299E-2</v>
      </c>
      <c r="Y8" s="1">
        <f t="shared" si="8"/>
        <v>9.4766758503513002E-2</v>
      </c>
      <c r="Z8" s="1">
        <f t="shared" si="8"/>
        <v>6.6402647369810636E-2</v>
      </c>
      <c r="AA8" s="1">
        <f t="shared" si="8"/>
        <v>2.0414035581723354E-2</v>
      </c>
      <c r="AB8" s="1">
        <f t="shared" si="8"/>
        <v>0</v>
      </c>
      <c r="AC8" s="1">
        <f t="shared" si="8"/>
        <v>0</v>
      </c>
      <c r="AD8" s="1">
        <f t="shared" si="8"/>
        <v>1.7826049431404672E-2</v>
      </c>
      <c r="AE8" s="1">
        <f t="shared" si="8"/>
        <v>5.2309794543449306E-2</v>
      </c>
      <c r="AF8" s="1">
        <f t="shared" si="8"/>
        <v>0.13269757799842266</v>
      </c>
      <c r="AG8" s="1">
        <f t="shared" si="8"/>
        <v>1.0620328317595752E-2</v>
      </c>
      <c r="AH8" s="1">
        <f t="shared" si="8"/>
        <v>0</v>
      </c>
    </row>
    <row r="9" spans="1:34" x14ac:dyDescent="0.25">
      <c r="A9" t="s">
        <v>18</v>
      </c>
      <c r="B9">
        <v>-10</v>
      </c>
      <c r="C9">
        <v>7</v>
      </c>
      <c r="D9">
        <v>1.8</v>
      </c>
      <c r="E9">
        <v>375.5</v>
      </c>
      <c r="F9">
        <v>10</v>
      </c>
      <c r="G9">
        <v>0</v>
      </c>
      <c r="H9">
        <v>0</v>
      </c>
      <c r="I9">
        <f>G9-35</f>
        <v>-35</v>
      </c>
      <c r="J9">
        <f>I9-61</f>
        <v>-96</v>
      </c>
      <c r="K9">
        <f>J9-14</f>
        <v>-110</v>
      </c>
      <c r="L9">
        <f>K9</f>
        <v>-110</v>
      </c>
      <c r="M9">
        <v>0</v>
      </c>
      <c r="N9">
        <f>H9/L9</f>
        <v>0</v>
      </c>
      <c r="O9">
        <f>I9/L9</f>
        <v>0.31818181818181818</v>
      </c>
      <c r="P9">
        <f>J9/L9</f>
        <v>0.87272727272727268</v>
      </c>
      <c r="Q9">
        <f>K9/L9</f>
        <v>1</v>
      </c>
      <c r="R9">
        <f t="shared" ref="R9" si="9">L9/L9</f>
        <v>1</v>
      </c>
    </row>
    <row r="10" spans="1:34" x14ac:dyDescent="0.25">
      <c r="A10" t="s">
        <v>19</v>
      </c>
      <c r="B10">
        <v>-10</v>
      </c>
      <c r="C10">
        <v>8</v>
      </c>
      <c r="D10">
        <v>18</v>
      </c>
      <c r="E10">
        <v>405</v>
      </c>
      <c r="F10">
        <v>13.7</v>
      </c>
      <c r="G10">
        <v>0</v>
      </c>
      <c r="H10">
        <v>0</v>
      </c>
      <c r="I10">
        <v>-10</v>
      </c>
      <c r="J10">
        <f>I10-64</f>
        <v>-74</v>
      </c>
      <c r="K10">
        <f>J10-252</f>
        <v>-326</v>
      </c>
      <c r="L10">
        <f>K10-18</f>
        <v>-344</v>
      </c>
      <c r="M10">
        <v>0</v>
      </c>
      <c r="N10">
        <f>I10/L10</f>
        <v>2.9069767441860465E-2</v>
      </c>
      <c r="O10">
        <f>J10/L10</f>
        <v>0.21511627906976744</v>
      </c>
      <c r="P10">
        <f t="shared" ref="P10" si="10">J10/L10</f>
        <v>0.21511627906976744</v>
      </c>
      <c r="Q10">
        <f t="shared" ref="Q10" si="11">K10/L10</f>
        <v>0.94767441860465118</v>
      </c>
      <c r="R10">
        <f t="shared" ref="R10" si="12">L10/L10</f>
        <v>1</v>
      </c>
    </row>
    <row r="11" spans="1:34" x14ac:dyDescent="0.25">
      <c r="A11" t="s">
        <v>21</v>
      </c>
      <c r="B11">
        <v>-10</v>
      </c>
      <c r="C11">
        <v>10</v>
      </c>
      <c r="D11">
        <v>4.5</v>
      </c>
      <c r="E11">
        <v>1500</v>
      </c>
      <c r="F11">
        <v>10.6</v>
      </c>
      <c r="G11">
        <v>0</v>
      </c>
      <c r="H11">
        <v>0</v>
      </c>
      <c r="I11">
        <f>-2</f>
        <v>-2</v>
      </c>
      <c r="J11">
        <f>I11-5</f>
        <v>-7</v>
      </c>
      <c r="K11">
        <f>J11-60</f>
        <v>-67</v>
      </c>
      <c r="L11">
        <f>K11-2</f>
        <v>-69</v>
      </c>
      <c r="M11">
        <v>0</v>
      </c>
      <c r="N11">
        <f t="shared" ref="N11" si="13">H11/L11</f>
        <v>0</v>
      </c>
      <c r="O11">
        <f t="shared" ref="O11" si="14">I11/L11</f>
        <v>2.8985507246376812E-2</v>
      </c>
      <c r="P11">
        <f t="shared" ref="P11" si="15">J11/L11</f>
        <v>0.10144927536231885</v>
      </c>
      <c r="Q11">
        <f t="shared" ref="Q11" si="16">K11/L11</f>
        <v>0.97101449275362317</v>
      </c>
      <c r="R11">
        <f t="shared" ref="R11" si="17">L11/L11</f>
        <v>1</v>
      </c>
    </row>
    <row r="12" spans="1:34" x14ac:dyDescent="0.25">
      <c r="A12" t="s">
        <v>22</v>
      </c>
      <c r="B12">
        <v>-10</v>
      </c>
      <c r="C12">
        <v>11.2</v>
      </c>
      <c r="D12">
        <v>18</v>
      </c>
      <c r="E12">
        <v>1800</v>
      </c>
      <c r="F12">
        <v>13.1</v>
      </c>
      <c r="G12">
        <v>0</v>
      </c>
      <c r="H12">
        <v>-9</v>
      </c>
      <c r="I12">
        <f>H12-17.6</f>
        <v>-26.6</v>
      </c>
      <c r="J12">
        <f>I12-14.4</f>
        <v>-41</v>
      </c>
      <c r="K12">
        <f>J12-57</f>
        <v>-98</v>
      </c>
      <c r="L12">
        <f>K12</f>
        <v>-98</v>
      </c>
      <c r="M12">
        <v>0</v>
      </c>
      <c r="N12">
        <f t="shared" ref="N12" si="18">H12/L12</f>
        <v>9.1836734693877556E-2</v>
      </c>
      <c r="O12">
        <f t="shared" ref="O12" si="19">I12/L12</f>
        <v>0.27142857142857146</v>
      </c>
      <c r="P12">
        <f t="shared" ref="P12" si="20">J12/L12</f>
        <v>0.41836734693877553</v>
      </c>
      <c r="Q12">
        <f t="shared" ref="Q12" si="21">K12/L12</f>
        <v>1</v>
      </c>
      <c r="R12">
        <f t="shared" ref="R12" si="22">L12/L12</f>
        <v>1</v>
      </c>
    </row>
    <row r="13" spans="1:34" x14ac:dyDescent="0.25">
      <c r="A13" t="s">
        <v>23</v>
      </c>
      <c r="B13">
        <v>-10</v>
      </c>
      <c r="C13">
        <v>8.1</v>
      </c>
      <c r="D13">
        <v>18</v>
      </c>
      <c r="E13">
        <v>1000</v>
      </c>
      <c r="F13">
        <v>12.3</v>
      </c>
      <c r="G13">
        <v>0</v>
      </c>
      <c r="H13">
        <v>0</v>
      </c>
      <c r="I13">
        <f>-16</f>
        <v>-16</v>
      </c>
      <c r="J13">
        <f>I13-49</f>
        <v>-65</v>
      </c>
      <c r="K13">
        <f>J13-70</f>
        <v>-135</v>
      </c>
      <c r="L13">
        <f>K13</f>
        <v>-135</v>
      </c>
      <c r="M13">
        <v>0</v>
      </c>
      <c r="N13">
        <f t="shared" ref="N13" si="23">H13/L13</f>
        <v>0</v>
      </c>
      <c r="O13">
        <f t="shared" ref="O13" si="24">I13/L13</f>
        <v>0.11851851851851852</v>
      </c>
      <c r="P13">
        <f t="shared" ref="P13" si="25">J13/L13</f>
        <v>0.48148148148148145</v>
      </c>
      <c r="Q13">
        <f t="shared" ref="Q13" si="26">K13/L13</f>
        <v>1</v>
      </c>
      <c r="R13">
        <f t="shared" ref="R13" si="27">L13/L13</f>
        <v>1</v>
      </c>
    </row>
    <row r="38" ht="23.25" customHeight="1" x14ac:dyDescent="0.25"/>
    <row r="39" ht="23.25" customHeight="1" x14ac:dyDescent="0.25"/>
  </sheetData>
  <mergeCells count="6">
    <mergeCell ref="V1:AH2"/>
    <mergeCell ref="AC3:AH3"/>
    <mergeCell ref="W3:AB3"/>
    <mergeCell ref="G1:L1"/>
    <mergeCell ref="M1:R1"/>
    <mergeCell ref="B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GIRK1 + GIRK2 + 5HT1B Perfusion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bentulila</dc:creator>
  <cp:lastModifiedBy>ziv bentulila</cp:lastModifiedBy>
  <dcterms:created xsi:type="dcterms:W3CDTF">2015-06-05T18:17:20Z</dcterms:created>
  <dcterms:modified xsi:type="dcterms:W3CDTF">2025-05-02T16:42:54Z</dcterms:modified>
</cp:coreProperties>
</file>