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dekeldavid/Dropbox/study and laboratories/moshe parnas/results/patch-clamp/hek293t/GIRK1-GFP+GIRK2-GFP+Dop2R_850_uG_each/dop2r-perfusion/"/>
    </mc:Choice>
  </mc:AlternateContent>
  <xr:revisionPtr revIDLastSave="0" documentId="13_ncr:1_{99E01C42-8096-F945-BF0A-2B20FF5E13B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IRK1 + GIRK2 + 5HT1B Perfus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3" l="1"/>
  <c r="J44" i="3"/>
  <c r="K44" i="3"/>
  <c r="L44" i="3"/>
  <c r="M44" i="3"/>
  <c r="H44" i="3"/>
  <c r="J43" i="3"/>
  <c r="K43" i="3"/>
  <c r="L43" i="3"/>
  <c r="M43" i="3"/>
  <c r="I43" i="3"/>
  <c r="J42" i="3"/>
  <c r="K42" i="3"/>
  <c r="L42" i="3"/>
  <c r="M42" i="3"/>
  <c r="I42" i="3"/>
  <c r="B44" i="3"/>
  <c r="J12" i="3"/>
  <c r="K12" i="3" s="1"/>
  <c r="L12" i="3" s="1"/>
  <c r="P29" i="3"/>
  <c r="L29" i="3"/>
  <c r="N29" i="3" s="1"/>
  <c r="Q29" i="3"/>
  <c r="R29" i="3"/>
  <c r="K29" i="3"/>
  <c r="N11" i="3"/>
  <c r="O11" i="3"/>
  <c r="P11" i="3"/>
  <c r="Q11" i="3"/>
  <c r="R11" i="3"/>
  <c r="P28" i="3"/>
  <c r="L11" i="3"/>
  <c r="K11" i="3"/>
  <c r="L28" i="3"/>
  <c r="N28" i="3" s="1"/>
  <c r="Q28" i="3"/>
  <c r="R28" i="3"/>
  <c r="K28" i="3"/>
  <c r="J28" i="3"/>
  <c r="B45" i="3"/>
  <c r="N25" i="3"/>
  <c r="O25" i="3"/>
  <c r="P25" i="3"/>
  <c r="Q25" i="3"/>
  <c r="R25" i="3"/>
  <c r="N26" i="3"/>
  <c r="O26" i="3"/>
  <c r="P26" i="3"/>
  <c r="Q26" i="3"/>
  <c r="R26" i="3"/>
  <c r="N27" i="3"/>
  <c r="O27" i="3"/>
  <c r="P27" i="3"/>
  <c r="Q27" i="3"/>
  <c r="R27" i="3"/>
  <c r="N8" i="3"/>
  <c r="O8" i="3"/>
  <c r="P8" i="3"/>
  <c r="Q8" i="3"/>
  <c r="R8" i="3"/>
  <c r="N9" i="3"/>
  <c r="O9" i="3"/>
  <c r="P9" i="3"/>
  <c r="Q9" i="3"/>
  <c r="R9" i="3"/>
  <c r="J10" i="3"/>
  <c r="K10" i="3" s="1"/>
  <c r="L27" i="3"/>
  <c r="K27" i="3"/>
  <c r="K9" i="3"/>
  <c r="L9" i="3" s="1"/>
  <c r="K26" i="3"/>
  <c r="L26" i="3" s="1"/>
  <c r="K8" i="3"/>
  <c r="L8" i="3" s="1"/>
  <c r="K25" i="3"/>
  <c r="L25" i="3" s="1"/>
  <c r="B42" i="3"/>
  <c r="I24" i="3"/>
  <c r="I7" i="3"/>
  <c r="J7" i="3" s="1"/>
  <c r="K7" i="3" s="1"/>
  <c r="L7" i="3" s="1"/>
  <c r="I23" i="3"/>
  <c r="J23" i="3" s="1"/>
  <c r="H6" i="3"/>
  <c r="I22" i="3"/>
  <c r="H5" i="3"/>
  <c r="J21" i="3"/>
  <c r="I4" i="3"/>
  <c r="J4" i="3" s="1"/>
  <c r="I20" i="3"/>
  <c r="J20" i="3" s="1"/>
  <c r="I3" i="3"/>
  <c r="J3" i="3" s="1"/>
  <c r="K3" i="3" s="1"/>
  <c r="L3" i="3" s="1"/>
  <c r="N3" i="3" s="1"/>
  <c r="H42" i="3"/>
  <c r="H43" i="3"/>
  <c r="B43" i="3"/>
  <c r="L10" i="3" l="1"/>
  <c r="P10" i="3"/>
  <c r="O12" i="3"/>
  <c r="N12" i="3"/>
  <c r="R12" i="3"/>
  <c r="P12" i="3"/>
  <c r="Q12" i="3"/>
  <c r="O29" i="3"/>
  <c r="O28" i="3"/>
  <c r="K23" i="3"/>
  <c r="K20" i="3"/>
  <c r="K4" i="3"/>
  <c r="L4" i="3" s="1"/>
  <c r="I6" i="3"/>
  <c r="J22" i="3"/>
  <c r="J24" i="3"/>
  <c r="K21" i="3"/>
  <c r="I5" i="3"/>
  <c r="Q7" i="3"/>
  <c r="Q3" i="3"/>
  <c r="H45" i="3"/>
  <c r="E43" i="3" l="1"/>
  <c r="E44" i="3"/>
  <c r="E42" i="3"/>
  <c r="R10" i="3"/>
  <c r="N10" i="3"/>
  <c r="O10" i="3"/>
  <c r="Q10" i="3"/>
  <c r="N4" i="3"/>
  <c r="R4" i="3"/>
  <c r="P4" i="3"/>
  <c r="K24" i="3"/>
  <c r="K22" i="3"/>
  <c r="Q4" i="3"/>
  <c r="J5" i="3"/>
  <c r="J6" i="3"/>
  <c r="L21" i="3"/>
  <c r="L20" i="3"/>
  <c r="Q20" i="3"/>
  <c r="O4" i="3"/>
  <c r="L23" i="3"/>
  <c r="Q23" i="3"/>
  <c r="O3" i="3"/>
  <c r="P3" i="3"/>
  <c r="R3" i="3"/>
  <c r="O7" i="3"/>
  <c r="P7" i="3"/>
  <c r="N7" i="3"/>
  <c r="R7" i="3"/>
  <c r="D43" i="3" l="1"/>
  <c r="D44" i="3"/>
  <c r="D42" i="3"/>
  <c r="G44" i="3"/>
  <c r="G42" i="3"/>
  <c r="G43" i="3"/>
  <c r="F43" i="3"/>
  <c r="F44" i="3"/>
  <c r="F42" i="3"/>
  <c r="C44" i="3"/>
  <c r="C43" i="3"/>
  <c r="C42" i="3"/>
  <c r="R21" i="3"/>
  <c r="O21" i="3"/>
  <c r="N21" i="3"/>
  <c r="P21" i="3"/>
  <c r="K6" i="3"/>
  <c r="L22" i="3"/>
  <c r="Q22" i="3" s="1"/>
  <c r="Q21" i="3"/>
  <c r="L24" i="3"/>
  <c r="Q24" i="3"/>
  <c r="K5" i="3"/>
  <c r="R23" i="3"/>
  <c r="N23" i="3"/>
  <c r="O23" i="3"/>
  <c r="P23" i="3"/>
  <c r="N20" i="3"/>
  <c r="R20" i="3"/>
  <c r="O20" i="3"/>
  <c r="P20" i="3"/>
  <c r="L5" i="3" l="1"/>
  <c r="Q5" i="3"/>
  <c r="R22" i="3"/>
  <c r="N22" i="3"/>
  <c r="O22" i="3"/>
  <c r="P22" i="3"/>
  <c r="N24" i="3"/>
  <c r="R24" i="3"/>
  <c r="O24" i="3"/>
  <c r="P24" i="3"/>
  <c r="Q6" i="3"/>
  <c r="L6" i="3"/>
  <c r="I45" i="3" l="1"/>
  <c r="R5" i="3"/>
  <c r="N5" i="3"/>
  <c r="O5" i="3"/>
  <c r="P5" i="3"/>
  <c r="K45" i="3"/>
  <c r="J45" i="3"/>
  <c r="L45" i="3"/>
  <c r="R6" i="3"/>
  <c r="N6" i="3"/>
  <c r="O6" i="3"/>
  <c r="P6" i="3"/>
  <c r="F45" i="3" l="1"/>
  <c r="G45" i="3"/>
  <c r="E45" i="3"/>
  <c r="M45" i="3"/>
  <c r="C45" i="3"/>
  <c r="D45" i="3" l="1"/>
</calcChain>
</file>

<file path=xl/sharedStrings.xml><?xml version="1.0" encoding="utf-8"?>
<sst xmlns="http://schemas.openxmlformats.org/spreadsheetml/2006/main" count="54" uniqueCount="37">
  <si>
    <t>File name</t>
  </si>
  <si>
    <t>R electrode (MOhms)</t>
  </si>
  <si>
    <t>Rm (MOhms)</t>
  </si>
  <si>
    <t>Ra (MOhms)</t>
  </si>
  <si>
    <t>R seal (GOhms)</t>
  </si>
  <si>
    <t>Remarks</t>
  </si>
  <si>
    <t>SEM</t>
  </si>
  <si>
    <t>Average</t>
  </si>
  <si>
    <t>St. Deviation</t>
  </si>
  <si>
    <t>Count</t>
  </si>
  <si>
    <t>Voltage</t>
  </si>
  <si>
    <t>Normalized Values</t>
  </si>
  <si>
    <t>Holding Potential</t>
  </si>
  <si>
    <t>1nM</t>
  </si>
  <si>
    <t>10nM</t>
  </si>
  <si>
    <t>100nM</t>
  </si>
  <si>
    <t>1000nM</t>
  </si>
  <si>
    <t>Patch Data</t>
  </si>
  <si>
    <t>Normalized</t>
  </si>
  <si>
    <t>Raw (pA)</t>
  </si>
  <si>
    <t>0 nM</t>
  </si>
  <si>
    <t>2025_04_24_0005</t>
  </si>
  <si>
    <t>0.1nM</t>
  </si>
  <si>
    <t>2025_04_24_0007</t>
  </si>
  <si>
    <t>אולי צריך ליישר</t>
  </si>
  <si>
    <t>2025_04_24_0008</t>
  </si>
  <si>
    <t>2025_04_24_0010</t>
  </si>
  <si>
    <t>2025_04_24_0011</t>
  </si>
  <si>
    <t>2025_04_27_0000</t>
  </si>
  <si>
    <t>cancel capacitance only after seal (and not after patch)</t>
  </si>
  <si>
    <t>2025_04_27_0001</t>
  </si>
  <si>
    <t>2025_04_27_0002</t>
  </si>
  <si>
    <t>2025_04_27_0003</t>
  </si>
  <si>
    <t>2025_04_27_0004</t>
  </si>
  <si>
    <t xml:space="preserve">manual basline </t>
  </si>
  <si>
    <t xml:space="preserve">0.1nM- may be problematic. See labook. Manual basline- didin't change the size of the responses. </t>
  </si>
  <si>
    <t>Concentration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</si>
</sst>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DF50-3B5D-4366-AA20-CC435ED5CAA7}">
  <dimension ref="A1:S45"/>
  <sheetViews>
    <sheetView tabSelected="1" zoomScale="99" zoomScaleNormal="115" workbookViewId="0">
      <selection activeCell="C32" sqref="C32"/>
    </sheetView>
  </sheetViews>
  <sheetFormatPr baseColWidth="10" defaultColWidth="8.83203125" defaultRowHeight="15" x14ac:dyDescent="0.2"/>
  <cols>
    <col min="1" max="1" width="17" bestFit="1" customWidth="1"/>
    <col min="2" max="2" width="16.5" bestFit="1" customWidth="1"/>
    <col min="3" max="4" width="20.33203125" bestFit="1" customWidth="1"/>
    <col min="5" max="5" width="12.6640625" bestFit="1" customWidth="1"/>
    <col min="6" max="6" width="12" bestFit="1" customWidth="1"/>
    <col min="7" max="7" width="12" customWidth="1"/>
    <col min="19" max="19" width="55.33203125" bestFit="1" customWidth="1"/>
  </cols>
  <sheetData>
    <row r="1" spans="1:19" x14ac:dyDescent="0.2">
      <c r="A1" s="1"/>
      <c r="B1" s="9" t="s">
        <v>17</v>
      </c>
      <c r="C1" s="10"/>
      <c r="D1" s="10"/>
      <c r="E1" s="10"/>
      <c r="F1" s="11"/>
      <c r="G1" s="6" t="s">
        <v>19</v>
      </c>
      <c r="H1" s="7"/>
      <c r="I1" s="7"/>
      <c r="J1" s="7"/>
      <c r="K1" s="7"/>
      <c r="L1" s="8"/>
      <c r="M1" s="6" t="s">
        <v>18</v>
      </c>
      <c r="N1" s="7"/>
      <c r="O1" s="7"/>
      <c r="P1" s="7"/>
      <c r="Q1" s="7"/>
      <c r="R1" s="8"/>
      <c r="S1" s="1"/>
    </row>
    <row r="2" spans="1:19" x14ac:dyDescent="0.2">
      <c r="A2" s="2" t="s">
        <v>0</v>
      </c>
      <c r="B2" s="2" t="s">
        <v>12</v>
      </c>
      <c r="C2" s="2" t="s">
        <v>1</v>
      </c>
      <c r="D2" s="2" t="s">
        <v>4</v>
      </c>
      <c r="E2" s="2" t="s">
        <v>2</v>
      </c>
      <c r="F2" s="2" t="s">
        <v>3</v>
      </c>
      <c r="G2" s="2" t="s">
        <v>20</v>
      </c>
      <c r="H2" s="2" t="s">
        <v>22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20</v>
      </c>
      <c r="N2" s="2" t="s">
        <v>22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5</v>
      </c>
    </row>
    <row r="3" spans="1:19" x14ac:dyDescent="0.2">
      <c r="A3" t="s">
        <v>21</v>
      </c>
      <c r="B3">
        <v>-80</v>
      </c>
      <c r="C3">
        <v>7</v>
      </c>
      <c r="D3">
        <v>1.8</v>
      </c>
      <c r="E3">
        <v>375.5</v>
      </c>
      <c r="F3">
        <v>10</v>
      </c>
      <c r="G3">
        <v>0</v>
      </c>
      <c r="H3">
        <v>-68</v>
      </c>
      <c r="I3">
        <f>H3-435</f>
        <v>-503</v>
      </c>
      <c r="J3">
        <f>I3-318</f>
        <v>-821</v>
      </c>
      <c r="K3">
        <f>J3-261</f>
        <v>-1082</v>
      </c>
      <c r="L3">
        <f>K3</f>
        <v>-1082</v>
      </c>
      <c r="M3">
        <v>0</v>
      </c>
      <c r="N3">
        <f>H3/L3</f>
        <v>6.2846580406654348E-2</v>
      </c>
      <c r="O3">
        <f>I3/L3</f>
        <v>0.46487985212569316</v>
      </c>
      <c r="P3">
        <f>J3/L3</f>
        <v>0.75878003696857665</v>
      </c>
      <c r="Q3">
        <f>K3/L3</f>
        <v>1</v>
      </c>
      <c r="R3">
        <f t="shared" ref="R3:R7" si="0">L3/L3</f>
        <v>1</v>
      </c>
      <c r="S3" t="s">
        <v>24</v>
      </c>
    </row>
    <row r="4" spans="1:19" x14ac:dyDescent="0.2">
      <c r="A4" t="s">
        <v>23</v>
      </c>
      <c r="B4">
        <v>-80</v>
      </c>
      <c r="C4">
        <v>8</v>
      </c>
      <c r="D4">
        <v>18</v>
      </c>
      <c r="E4">
        <v>405</v>
      </c>
      <c r="F4">
        <v>13.7</v>
      </c>
      <c r="G4">
        <v>0</v>
      </c>
      <c r="H4">
        <v>-30</v>
      </c>
      <c r="I4">
        <f>H4-214</f>
        <v>-244</v>
      </c>
      <c r="J4">
        <f>I4-785</f>
        <v>-1029</v>
      </c>
      <c r="K4">
        <f>J4-1307</f>
        <v>-2336</v>
      </c>
      <c r="L4">
        <f>K4-272</f>
        <v>-2608</v>
      </c>
      <c r="M4">
        <v>0</v>
      </c>
      <c r="N4">
        <f t="shared" ref="N4:N7" si="1">H4/L4</f>
        <v>1.1503067484662576E-2</v>
      </c>
      <c r="O4">
        <f t="shared" ref="O4:O7" si="2">I4/L4</f>
        <v>9.3558282208588958E-2</v>
      </c>
      <c r="P4">
        <f t="shared" ref="P4:P7" si="3">J4/L4</f>
        <v>0.39455521472392641</v>
      </c>
      <c r="Q4">
        <f>K4/L4</f>
        <v>0.89570552147239269</v>
      </c>
      <c r="R4">
        <f t="shared" si="0"/>
        <v>1</v>
      </c>
    </row>
    <row r="5" spans="1:19" x14ac:dyDescent="0.2">
      <c r="A5" t="s">
        <v>25</v>
      </c>
      <c r="B5">
        <v>-80</v>
      </c>
      <c r="C5">
        <v>10</v>
      </c>
      <c r="D5">
        <v>4.5</v>
      </c>
      <c r="E5">
        <v>1500</v>
      </c>
      <c r="F5">
        <v>10.6</v>
      </c>
      <c r="G5">
        <v>0</v>
      </c>
      <c r="H5">
        <f>-25</f>
        <v>-25</v>
      </c>
      <c r="I5">
        <f>H5-475</f>
        <v>-500</v>
      </c>
      <c r="J5">
        <f>I5-820</f>
        <v>-1320</v>
      </c>
      <c r="K5">
        <f>J5-927</f>
        <v>-2247</v>
      </c>
      <c r="L5">
        <f>K5</f>
        <v>-2247</v>
      </c>
      <c r="M5">
        <v>0</v>
      </c>
      <c r="N5">
        <f t="shared" ref="N5" si="4">H5/L5</f>
        <v>1.1125945705384957E-2</v>
      </c>
      <c r="O5">
        <f t="shared" ref="O5" si="5">I5/L5</f>
        <v>0.22251891410769917</v>
      </c>
      <c r="P5">
        <f t="shared" ref="P5" si="6">J5/L5</f>
        <v>0.58744993324432582</v>
      </c>
      <c r="Q5">
        <f>K5/L5</f>
        <v>1</v>
      </c>
      <c r="R5">
        <f t="shared" ref="R5" si="7">L5/L5</f>
        <v>1</v>
      </c>
    </row>
    <row r="6" spans="1:19" x14ac:dyDescent="0.2">
      <c r="A6" t="s">
        <v>26</v>
      </c>
      <c r="B6">
        <v>-80</v>
      </c>
      <c r="C6">
        <v>11.2</v>
      </c>
      <c r="D6">
        <v>18</v>
      </c>
      <c r="E6">
        <v>1800</v>
      </c>
      <c r="F6">
        <v>13.1</v>
      </c>
      <c r="G6">
        <v>0</v>
      </c>
      <c r="H6">
        <f>-230</f>
        <v>-230</v>
      </c>
      <c r="I6">
        <f>H6-741</f>
        <v>-971</v>
      </c>
      <c r="J6">
        <f>I6-152</f>
        <v>-1123</v>
      </c>
      <c r="K6">
        <f>J6-376</f>
        <v>-1499</v>
      </c>
      <c r="L6">
        <f>K6-17</f>
        <v>-1516</v>
      </c>
      <c r="M6">
        <v>0</v>
      </c>
      <c r="N6">
        <f t="shared" si="1"/>
        <v>0.15171503957783641</v>
      </c>
      <c r="O6">
        <f t="shared" si="2"/>
        <v>0.64050131926121368</v>
      </c>
      <c r="P6">
        <f t="shared" si="3"/>
        <v>0.74076517150395782</v>
      </c>
      <c r="Q6">
        <f>K6/L6</f>
        <v>0.98878627968337729</v>
      </c>
      <c r="R6">
        <f t="shared" si="0"/>
        <v>1</v>
      </c>
    </row>
    <row r="7" spans="1:19" x14ac:dyDescent="0.2">
      <c r="A7" t="s">
        <v>27</v>
      </c>
      <c r="B7">
        <v>-80</v>
      </c>
      <c r="C7">
        <v>8.1</v>
      </c>
      <c r="D7">
        <v>18</v>
      </c>
      <c r="E7">
        <v>1000</v>
      </c>
      <c r="F7">
        <v>12.3</v>
      </c>
      <c r="G7">
        <v>0</v>
      </c>
      <c r="H7">
        <v>0</v>
      </c>
      <c r="I7">
        <f>-462</f>
        <v>-462</v>
      </c>
      <c r="J7">
        <f>I7-449</f>
        <v>-911</v>
      </c>
      <c r="K7">
        <f>J7-437</f>
        <v>-1348</v>
      </c>
      <c r="L7">
        <f>K7</f>
        <v>-1348</v>
      </c>
      <c r="M7">
        <v>0</v>
      </c>
      <c r="N7">
        <f t="shared" si="1"/>
        <v>0</v>
      </c>
      <c r="O7">
        <f t="shared" si="2"/>
        <v>0.34272997032640951</v>
      </c>
      <c r="P7">
        <f t="shared" si="3"/>
        <v>0.6758160237388724</v>
      </c>
      <c r="Q7">
        <f>K7/L7</f>
        <v>1</v>
      </c>
      <c r="R7">
        <f t="shared" si="0"/>
        <v>1</v>
      </c>
    </row>
    <row r="8" spans="1:19" x14ac:dyDescent="0.2">
      <c r="A8" t="s">
        <v>28</v>
      </c>
      <c r="B8">
        <v>-80</v>
      </c>
      <c r="C8">
        <v>9.6999999999999993</v>
      </c>
      <c r="D8">
        <v>9</v>
      </c>
      <c r="E8">
        <v>1000</v>
      </c>
      <c r="F8">
        <v>13.5</v>
      </c>
      <c r="G8">
        <v>0</v>
      </c>
      <c r="H8">
        <v>0</v>
      </c>
      <c r="I8">
        <v>0</v>
      </c>
      <c r="J8">
        <v>-613</v>
      </c>
      <c r="K8">
        <f>J8-968</f>
        <v>-1581</v>
      </c>
      <c r="L8">
        <f>K8</f>
        <v>-1581</v>
      </c>
      <c r="M8">
        <v>0</v>
      </c>
      <c r="N8">
        <f t="shared" ref="N8:N10" si="8">H8/L8</f>
        <v>0</v>
      </c>
      <c r="O8">
        <f t="shared" ref="O8:O10" si="9">I8/L8</f>
        <v>0</v>
      </c>
      <c r="P8">
        <f t="shared" ref="P8:P10" si="10">J8/L8</f>
        <v>0.38772928526249212</v>
      </c>
      <c r="Q8">
        <f t="shared" ref="Q8:Q10" si="11">K8/L8</f>
        <v>1</v>
      </c>
      <c r="R8">
        <f t="shared" ref="R8:R10" si="12">L8/L8</f>
        <v>1</v>
      </c>
      <c r="S8" t="s">
        <v>29</v>
      </c>
    </row>
    <row r="9" spans="1:19" x14ac:dyDescent="0.2">
      <c r="A9" t="s">
        <v>30</v>
      </c>
      <c r="B9">
        <v>-80</v>
      </c>
      <c r="C9">
        <v>7.9</v>
      </c>
      <c r="D9">
        <v>4.5</v>
      </c>
      <c r="E9">
        <v>890</v>
      </c>
      <c r="F9">
        <v>11</v>
      </c>
      <c r="G9">
        <v>0</v>
      </c>
      <c r="H9">
        <v>0</v>
      </c>
      <c r="I9">
        <v>0</v>
      </c>
      <c r="J9">
        <v>-161</v>
      </c>
      <c r="K9">
        <f>J9-2265</f>
        <v>-2426</v>
      </c>
      <c r="L9">
        <f>K9-256</f>
        <v>-2682</v>
      </c>
      <c r="M9">
        <v>0</v>
      </c>
      <c r="N9">
        <f t="shared" si="8"/>
        <v>0</v>
      </c>
      <c r="O9">
        <f t="shared" si="9"/>
        <v>0</v>
      </c>
      <c r="P9">
        <f t="shared" si="10"/>
        <v>6.0029828486204327E-2</v>
      </c>
      <c r="Q9">
        <f t="shared" si="11"/>
        <v>0.90454884414615955</v>
      </c>
      <c r="R9">
        <f t="shared" si="12"/>
        <v>1</v>
      </c>
    </row>
    <row r="10" spans="1:19" x14ac:dyDescent="0.2">
      <c r="A10" t="s">
        <v>31</v>
      </c>
      <c r="B10">
        <v>-80</v>
      </c>
      <c r="C10">
        <v>8.6999999999999993</v>
      </c>
      <c r="D10">
        <v>4.5</v>
      </c>
      <c r="E10">
        <v>428</v>
      </c>
      <c r="F10">
        <v>11.2</v>
      </c>
      <c r="G10">
        <v>0</v>
      </c>
      <c r="H10">
        <v>0</v>
      </c>
      <c r="I10">
        <v>-23.7</v>
      </c>
      <c r="J10">
        <f>I10-87</f>
        <v>-110.7</v>
      </c>
      <c r="K10">
        <f>J10-865</f>
        <v>-975.7</v>
      </c>
      <c r="L10">
        <f>K10</f>
        <v>-975.7</v>
      </c>
      <c r="M10">
        <v>0</v>
      </c>
      <c r="N10">
        <f t="shared" si="8"/>
        <v>0</v>
      </c>
      <c r="O10">
        <f t="shared" si="9"/>
        <v>2.4290253151583476E-2</v>
      </c>
      <c r="P10">
        <f t="shared" si="10"/>
        <v>0.1134570052270165</v>
      </c>
      <c r="Q10">
        <f t="shared" si="11"/>
        <v>1</v>
      </c>
      <c r="R10">
        <f t="shared" si="12"/>
        <v>1</v>
      </c>
    </row>
    <row r="11" spans="1:19" x14ac:dyDescent="0.2">
      <c r="A11" t="s">
        <v>32</v>
      </c>
      <c r="B11">
        <v>-80</v>
      </c>
      <c r="C11">
        <v>8.1999999999999993</v>
      </c>
      <c r="D11">
        <v>6</v>
      </c>
      <c r="E11">
        <v>1600</v>
      </c>
      <c r="F11">
        <v>11.7</v>
      </c>
      <c r="G11">
        <v>0</v>
      </c>
      <c r="H11">
        <v>0</v>
      </c>
      <c r="I11">
        <v>0</v>
      </c>
      <c r="J11">
        <v>-862</v>
      </c>
      <c r="K11">
        <f>J11-1266</f>
        <v>-2128</v>
      </c>
      <c r="L11">
        <f>K11</f>
        <v>-2128</v>
      </c>
      <c r="M11">
        <v>0</v>
      </c>
      <c r="N11">
        <f t="shared" ref="N11:N13" si="13">H11/L11</f>
        <v>0</v>
      </c>
      <c r="O11">
        <f t="shared" ref="O11:O13" si="14">I11/L11</f>
        <v>0</v>
      </c>
      <c r="P11">
        <f t="shared" ref="P11:P13" si="15">J11/L11</f>
        <v>0.40507518796992481</v>
      </c>
      <c r="Q11">
        <f t="shared" ref="Q11:Q13" si="16">K11/L11</f>
        <v>1</v>
      </c>
      <c r="R11">
        <f t="shared" ref="R11:R13" si="17">L11/L11</f>
        <v>1</v>
      </c>
    </row>
    <row r="12" spans="1:19" x14ac:dyDescent="0.2">
      <c r="A12" t="s">
        <v>33</v>
      </c>
      <c r="B12">
        <v>-80</v>
      </c>
      <c r="C12">
        <v>8.3000000000000007</v>
      </c>
      <c r="D12">
        <v>1.8</v>
      </c>
      <c r="E12">
        <v>656.9</v>
      </c>
      <c r="F12">
        <v>10.5</v>
      </c>
      <c r="G12">
        <v>0</v>
      </c>
      <c r="H12" s="3">
        <v>-127</v>
      </c>
      <c r="I12">
        <v>0</v>
      </c>
      <c r="J12">
        <f>H12-202</f>
        <v>-329</v>
      </c>
      <c r="K12">
        <f>J12-458</f>
        <v>-787</v>
      </c>
      <c r="L12">
        <f>K12</f>
        <v>-787</v>
      </c>
      <c r="M12">
        <v>0</v>
      </c>
      <c r="N12">
        <f t="shared" si="13"/>
        <v>0.16137229987293519</v>
      </c>
      <c r="O12">
        <f t="shared" si="14"/>
        <v>0</v>
      </c>
      <c r="P12">
        <f t="shared" si="15"/>
        <v>0.41804320203303685</v>
      </c>
      <c r="Q12">
        <f t="shared" si="16"/>
        <v>1</v>
      </c>
      <c r="R12">
        <f t="shared" si="17"/>
        <v>1</v>
      </c>
      <c r="S12" t="s">
        <v>35</v>
      </c>
    </row>
    <row r="20" spans="1:19" x14ac:dyDescent="0.2">
      <c r="A20" t="s">
        <v>21</v>
      </c>
      <c r="B20">
        <v>-10</v>
      </c>
      <c r="C20">
        <v>7</v>
      </c>
      <c r="D20">
        <v>1.8</v>
      </c>
      <c r="E20">
        <v>375.5</v>
      </c>
      <c r="F20">
        <v>10</v>
      </c>
      <c r="G20">
        <v>0</v>
      </c>
      <c r="H20">
        <v>0</v>
      </c>
      <c r="I20">
        <f>G20-35</f>
        <v>-35</v>
      </c>
      <c r="J20">
        <f>I20-61</f>
        <v>-96</v>
      </c>
      <c r="K20">
        <f>J20-14</f>
        <v>-110</v>
      </c>
      <c r="L20">
        <f>K20</f>
        <v>-110</v>
      </c>
      <c r="M20">
        <v>0</v>
      </c>
      <c r="N20">
        <f>H20/L20</f>
        <v>0</v>
      </c>
      <c r="O20">
        <f>I20/L20</f>
        <v>0.31818181818181818</v>
      </c>
      <c r="P20">
        <f>J20/L20</f>
        <v>0.87272727272727268</v>
      </c>
      <c r="Q20">
        <f>K20/L20</f>
        <v>1</v>
      </c>
      <c r="R20">
        <f t="shared" ref="R20" si="18">L20/L20</f>
        <v>1</v>
      </c>
    </row>
    <row r="21" spans="1:19" x14ac:dyDescent="0.2">
      <c r="A21" t="s">
        <v>23</v>
      </c>
      <c r="B21">
        <v>-10</v>
      </c>
      <c r="C21">
        <v>8</v>
      </c>
      <c r="D21">
        <v>18</v>
      </c>
      <c r="E21">
        <v>405</v>
      </c>
      <c r="F21">
        <v>13.7</v>
      </c>
      <c r="G21">
        <v>0</v>
      </c>
      <c r="H21">
        <v>0</v>
      </c>
      <c r="I21">
        <v>-10</v>
      </c>
      <c r="J21">
        <f>I21-64</f>
        <v>-74</v>
      </c>
      <c r="K21">
        <f>J21-252</f>
        <v>-326</v>
      </c>
      <c r="L21">
        <f>K21-18</f>
        <v>-344</v>
      </c>
      <c r="M21">
        <v>0</v>
      </c>
      <c r="N21">
        <f>I21/L21</f>
        <v>2.9069767441860465E-2</v>
      </c>
      <c r="O21">
        <f>J21/L21</f>
        <v>0.21511627906976744</v>
      </c>
      <c r="P21">
        <f t="shared" ref="P21" si="19">J21/L21</f>
        <v>0.21511627906976744</v>
      </c>
      <c r="Q21">
        <f t="shared" ref="Q21" si="20">K21/L21</f>
        <v>0.94767441860465118</v>
      </c>
      <c r="R21">
        <f t="shared" ref="R21" si="21">L21/L21</f>
        <v>1</v>
      </c>
    </row>
    <row r="22" spans="1:19" x14ac:dyDescent="0.2">
      <c r="A22" t="s">
        <v>25</v>
      </c>
      <c r="B22">
        <v>-10</v>
      </c>
      <c r="C22">
        <v>10</v>
      </c>
      <c r="D22">
        <v>4.5</v>
      </c>
      <c r="E22">
        <v>1500</v>
      </c>
      <c r="F22">
        <v>10.6</v>
      </c>
      <c r="G22">
        <v>0</v>
      </c>
      <c r="H22">
        <v>0</v>
      </c>
      <c r="I22">
        <f>-2</f>
        <v>-2</v>
      </c>
      <c r="J22">
        <f>I22-5</f>
        <v>-7</v>
      </c>
      <c r="K22">
        <f>J22-60</f>
        <v>-67</v>
      </c>
      <c r="L22">
        <f>K22-2</f>
        <v>-69</v>
      </c>
      <c r="M22">
        <v>0</v>
      </c>
      <c r="N22">
        <f t="shared" ref="N22" si="22">H22/L22</f>
        <v>0</v>
      </c>
      <c r="O22">
        <f t="shared" ref="O22" si="23">I22/L22</f>
        <v>2.8985507246376812E-2</v>
      </c>
      <c r="P22">
        <f t="shared" ref="P22" si="24">J22/L22</f>
        <v>0.10144927536231885</v>
      </c>
      <c r="Q22">
        <f t="shared" ref="Q22" si="25">K22/L22</f>
        <v>0.97101449275362317</v>
      </c>
      <c r="R22">
        <f t="shared" ref="R22" si="26">L22/L22</f>
        <v>1</v>
      </c>
    </row>
    <row r="23" spans="1:19" x14ac:dyDescent="0.2">
      <c r="A23" t="s">
        <v>26</v>
      </c>
      <c r="B23">
        <v>-10</v>
      </c>
      <c r="C23">
        <v>11.2</v>
      </c>
      <c r="D23">
        <v>18</v>
      </c>
      <c r="E23">
        <v>1800</v>
      </c>
      <c r="F23">
        <v>13.1</v>
      </c>
      <c r="G23">
        <v>0</v>
      </c>
      <c r="H23">
        <v>-9</v>
      </c>
      <c r="I23">
        <f>H23-17.6</f>
        <v>-26.6</v>
      </c>
      <c r="J23">
        <f>I23-14.4</f>
        <v>-41</v>
      </c>
      <c r="K23">
        <f>J23-57</f>
        <v>-98</v>
      </c>
      <c r="L23">
        <f>K23</f>
        <v>-98</v>
      </c>
      <c r="M23">
        <v>0</v>
      </c>
      <c r="N23">
        <f t="shared" ref="N23" si="27">H23/L23</f>
        <v>9.1836734693877556E-2</v>
      </c>
      <c r="O23">
        <f t="shared" ref="O23" si="28">I23/L23</f>
        <v>0.27142857142857146</v>
      </c>
      <c r="P23">
        <f t="shared" ref="P23" si="29">J23/L23</f>
        <v>0.41836734693877553</v>
      </c>
      <c r="Q23">
        <f t="shared" ref="Q23" si="30">K23/L23</f>
        <v>1</v>
      </c>
      <c r="R23">
        <f t="shared" ref="R23" si="31">L23/L23</f>
        <v>1</v>
      </c>
    </row>
    <row r="24" spans="1:19" x14ac:dyDescent="0.2">
      <c r="A24" t="s">
        <v>27</v>
      </c>
      <c r="B24">
        <v>-10</v>
      </c>
      <c r="C24">
        <v>8.1</v>
      </c>
      <c r="D24">
        <v>18</v>
      </c>
      <c r="E24">
        <v>1000</v>
      </c>
      <c r="F24">
        <v>12.3</v>
      </c>
      <c r="G24">
        <v>0</v>
      </c>
      <c r="H24">
        <v>0</v>
      </c>
      <c r="I24">
        <f>-16</f>
        <v>-16</v>
      </c>
      <c r="J24">
        <f>I24-49</f>
        <v>-65</v>
      </c>
      <c r="K24">
        <f>J24-70</f>
        <v>-135</v>
      </c>
      <c r="L24">
        <f>K24</f>
        <v>-135</v>
      </c>
      <c r="M24">
        <v>0</v>
      </c>
      <c r="N24">
        <f t="shared" ref="N24" si="32">H24/L24</f>
        <v>0</v>
      </c>
      <c r="O24">
        <f t="shared" ref="O24" si="33">I24/L24</f>
        <v>0.11851851851851852</v>
      </c>
      <c r="P24">
        <f t="shared" ref="P24" si="34">J24/L24</f>
        <v>0.48148148148148145</v>
      </c>
      <c r="Q24">
        <f t="shared" ref="Q24" si="35">K24/L24</f>
        <v>1</v>
      </c>
      <c r="R24">
        <f t="shared" ref="R24" si="36">L24/L24</f>
        <v>1</v>
      </c>
    </row>
    <row r="25" spans="1:19" x14ac:dyDescent="0.2">
      <c r="A25" t="s">
        <v>28</v>
      </c>
      <c r="B25">
        <v>-10</v>
      </c>
      <c r="C25">
        <v>9.6999999999999993</v>
      </c>
      <c r="D25">
        <v>9</v>
      </c>
      <c r="E25">
        <v>1000</v>
      </c>
      <c r="F25">
        <v>13.5</v>
      </c>
      <c r="G25">
        <v>0</v>
      </c>
      <c r="H25">
        <v>0</v>
      </c>
      <c r="I25">
        <v>0</v>
      </c>
      <c r="J25">
        <v>-80</v>
      </c>
      <c r="K25">
        <f>J25-168</f>
        <v>-248</v>
      </c>
      <c r="L25">
        <f>K25</f>
        <v>-248</v>
      </c>
      <c r="M25">
        <v>0</v>
      </c>
      <c r="N25">
        <f t="shared" ref="N25:N29" si="37">H25/L25</f>
        <v>0</v>
      </c>
      <c r="O25">
        <f t="shared" ref="O25:O29" si="38">I25/L25</f>
        <v>0</v>
      </c>
      <c r="P25">
        <f t="shared" ref="P25:P29" si="39">J25/L25</f>
        <v>0.32258064516129031</v>
      </c>
      <c r="Q25">
        <f t="shared" ref="Q25:Q29" si="40">K25/L25</f>
        <v>1</v>
      </c>
      <c r="R25">
        <f t="shared" ref="R25:R29" si="41">L25/L25</f>
        <v>1</v>
      </c>
      <c r="S25" t="s">
        <v>29</v>
      </c>
    </row>
    <row r="26" spans="1:19" x14ac:dyDescent="0.2">
      <c r="A26" t="s">
        <v>30</v>
      </c>
      <c r="B26">
        <v>-10</v>
      </c>
      <c r="C26">
        <v>7.9</v>
      </c>
      <c r="D26">
        <v>4.5</v>
      </c>
      <c r="E26">
        <v>890</v>
      </c>
      <c r="F26">
        <v>11</v>
      </c>
      <c r="G26">
        <v>0</v>
      </c>
      <c r="H26">
        <v>0</v>
      </c>
      <c r="I26">
        <v>0</v>
      </c>
      <c r="J26">
        <v>-8</v>
      </c>
      <c r="K26">
        <f>J26-215</f>
        <v>-223</v>
      </c>
      <c r="L26">
        <f>K26-42</f>
        <v>-265</v>
      </c>
      <c r="M26">
        <v>0</v>
      </c>
      <c r="N26">
        <f t="shared" si="37"/>
        <v>0</v>
      </c>
      <c r="O26">
        <f t="shared" si="38"/>
        <v>0</v>
      </c>
      <c r="P26">
        <f t="shared" si="39"/>
        <v>3.0188679245283019E-2</v>
      </c>
      <c r="Q26">
        <f t="shared" si="40"/>
        <v>0.84150943396226419</v>
      </c>
      <c r="R26">
        <f t="shared" si="41"/>
        <v>1</v>
      </c>
    </row>
    <row r="27" spans="1:19" x14ac:dyDescent="0.2">
      <c r="A27" t="s">
        <v>31</v>
      </c>
      <c r="B27">
        <v>-10</v>
      </c>
      <c r="C27">
        <v>8.6999999999999993</v>
      </c>
      <c r="D27">
        <v>4.5</v>
      </c>
      <c r="E27">
        <v>428</v>
      </c>
      <c r="F27">
        <v>11.2</v>
      </c>
      <c r="G27">
        <v>0</v>
      </c>
      <c r="H27">
        <v>0</v>
      </c>
      <c r="I27">
        <v>0</v>
      </c>
      <c r="J27">
        <v>-5</v>
      </c>
      <c r="K27">
        <f>J27-70</f>
        <v>-75</v>
      </c>
      <c r="L27">
        <f>K27</f>
        <v>-75</v>
      </c>
      <c r="M27">
        <v>0</v>
      </c>
      <c r="N27">
        <f t="shared" si="37"/>
        <v>0</v>
      </c>
      <c r="O27">
        <f t="shared" si="38"/>
        <v>0</v>
      </c>
      <c r="P27">
        <f t="shared" si="39"/>
        <v>6.6666666666666666E-2</v>
      </c>
      <c r="Q27">
        <f t="shared" si="40"/>
        <v>1</v>
      </c>
      <c r="R27">
        <f t="shared" si="41"/>
        <v>1</v>
      </c>
    </row>
    <row r="28" spans="1:19" x14ac:dyDescent="0.2">
      <c r="A28" t="s">
        <v>32</v>
      </c>
      <c r="B28">
        <v>-10</v>
      </c>
      <c r="C28">
        <v>8.1999999999999993</v>
      </c>
      <c r="D28">
        <v>6</v>
      </c>
      <c r="E28">
        <v>1600</v>
      </c>
      <c r="F28">
        <v>11.7</v>
      </c>
      <c r="G28">
        <v>0</v>
      </c>
      <c r="H28">
        <v>0</v>
      </c>
      <c r="I28">
        <v>0</v>
      </c>
      <c r="J28">
        <f>-28</f>
        <v>-28</v>
      </c>
      <c r="K28">
        <f>J28-127</f>
        <v>-155</v>
      </c>
      <c r="L28">
        <f>K28</f>
        <v>-155</v>
      </c>
      <c r="M28">
        <v>0</v>
      </c>
      <c r="N28">
        <f t="shared" si="37"/>
        <v>0</v>
      </c>
      <c r="O28">
        <f t="shared" si="38"/>
        <v>0</v>
      </c>
      <c r="P28">
        <f t="shared" si="39"/>
        <v>0.18064516129032257</v>
      </c>
      <c r="Q28">
        <f t="shared" si="40"/>
        <v>1</v>
      </c>
      <c r="R28">
        <f t="shared" si="41"/>
        <v>1</v>
      </c>
    </row>
    <row r="29" spans="1:19" x14ac:dyDescent="0.2">
      <c r="A29" t="s">
        <v>33</v>
      </c>
      <c r="B29">
        <v>-10</v>
      </c>
      <c r="C29">
        <v>8.3000000000000007</v>
      </c>
      <c r="D29">
        <v>1.8</v>
      </c>
      <c r="E29">
        <v>656.9</v>
      </c>
      <c r="F29">
        <v>10.5</v>
      </c>
      <c r="G29">
        <v>0</v>
      </c>
      <c r="H29">
        <v>0</v>
      </c>
      <c r="I29">
        <v>0</v>
      </c>
      <c r="J29">
        <v>-1</v>
      </c>
      <c r="K29">
        <f>J29-15</f>
        <v>-16</v>
      </c>
      <c r="L29">
        <f>K29-3.7</f>
        <v>-19.7</v>
      </c>
      <c r="M29">
        <v>0</v>
      </c>
      <c r="N29">
        <f t="shared" si="37"/>
        <v>0</v>
      </c>
      <c r="O29">
        <f t="shared" si="38"/>
        <v>0</v>
      </c>
      <c r="P29">
        <f t="shared" si="39"/>
        <v>5.0761421319796954E-2</v>
      </c>
      <c r="Q29">
        <f t="shared" si="40"/>
        <v>0.81218274111675126</v>
      </c>
      <c r="R29">
        <f t="shared" si="41"/>
        <v>1</v>
      </c>
      <c r="S29" t="s">
        <v>34</v>
      </c>
    </row>
    <row r="38" spans="1:13" ht="23.25" customHeight="1" x14ac:dyDescent="0.2">
      <c r="A38" s="4" t="s">
        <v>11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23.2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1" t="s">
        <v>10</v>
      </c>
      <c r="B40" s="5">
        <v>-80</v>
      </c>
      <c r="C40" s="5"/>
      <c r="D40" s="5"/>
      <c r="E40" s="5"/>
      <c r="F40" s="5"/>
      <c r="G40" s="5"/>
      <c r="H40" s="5">
        <v>-10</v>
      </c>
      <c r="I40" s="5"/>
      <c r="J40" s="5"/>
      <c r="K40" s="5"/>
      <c r="L40" s="5"/>
      <c r="M40" s="5"/>
    </row>
    <row r="41" spans="1:13" x14ac:dyDescent="0.2">
      <c r="A41" s="1" t="s">
        <v>36</v>
      </c>
      <c r="B41" s="1">
        <v>0</v>
      </c>
      <c r="C41" s="1">
        <v>0.1</v>
      </c>
      <c r="D41" s="1">
        <v>1</v>
      </c>
      <c r="E41" s="1">
        <v>10</v>
      </c>
      <c r="F41" s="1">
        <v>100</v>
      </c>
      <c r="G41" s="1">
        <v>1000</v>
      </c>
      <c r="H41" s="1">
        <v>0</v>
      </c>
      <c r="I41" s="1">
        <v>0.1</v>
      </c>
      <c r="J41" s="1">
        <v>1</v>
      </c>
      <c r="K41" s="1">
        <v>10</v>
      </c>
      <c r="L41" s="1">
        <v>100</v>
      </c>
      <c r="M41" s="1">
        <v>1000</v>
      </c>
    </row>
    <row r="42" spans="1:13" x14ac:dyDescent="0.2">
      <c r="A42" s="1" t="s">
        <v>7</v>
      </c>
      <c r="B42" s="1">
        <f>AVERAGE(M3:M9)</f>
        <v>0</v>
      </c>
      <c r="C42" s="1">
        <f>AVERAGE(N3:N12)</f>
        <v>3.9856293304747346E-2</v>
      </c>
      <c r="D42" s="1">
        <f>AVERAGE(O3:O12)</f>
        <v>0.17884785911811879</v>
      </c>
      <c r="E42" s="1">
        <f t="shared" ref="E42:G42" si="42">AVERAGE(P3:P12)</f>
        <v>0.45417008891583333</v>
      </c>
      <c r="F42" s="1">
        <f t="shared" si="42"/>
        <v>0.97890406453019296</v>
      </c>
      <c r="G42" s="1">
        <f t="shared" si="42"/>
        <v>1</v>
      </c>
      <c r="H42" s="1">
        <f>AVERAGE(M20:M24)</f>
        <v>0</v>
      </c>
      <c r="I42" s="1">
        <f>AVERAGE(N20:N29)</f>
        <v>1.2090650213573802E-2</v>
      </c>
      <c r="J42" s="1">
        <f t="shared" ref="J42:M42" si="43">AVERAGE(O20:O29)</f>
        <v>9.5223069444505246E-2</v>
      </c>
      <c r="K42" s="1">
        <f t="shared" si="43"/>
        <v>0.27399842292629761</v>
      </c>
      <c r="L42" s="1">
        <f t="shared" si="43"/>
        <v>0.95723810864372894</v>
      </c>
      <c r="M42" s="1">
        <f t="shared" si="43"/>
        <v>1</v>
      </c>
    </row>
    <row r="43" spans="1:13" x14ac:dyDescent="0.2">
      <c r="A43" s="1" t="s">
        <v>8</v>
      </c>
      <c r="B43" s="1">
        <f>_xlfn.STDEV.S($M$3:$M$9)</f>
        <v>0</v>
      </c>
      <c r="C43" s="1">
        <f>_xlfn.STDEV.S(N3:N12)</f>
        <v>6.4445524918897754E-2</v>
      </c>
      <c r="D43" s="1">
        <f>_xlfn.STDEV.S(O3:O12)</f>
        <v>0.23161541832193824</v>
      </c>
      <c r="E43" s="1">
        <f t="shared" ref="E43:G43" si="44">_xlfn.STDEV.S(P3:P12)</f>
        <v>0.2415068722974848</v>
      </c>
      <c r="F43" s="1">
        <f t="shared" si="44"/>
        <v>4.1718133540672546E-2</v>
      </c>
      <c r="G43" s="1">
        <f t="shared" si="44"/>
        <v>0</v>
      </c>
      <c r="H43" s="1">
        <f>_xlfn.STDEV.S(M20:M24)</f>
        <v>0</v>
      </c>
      <c r="I43" s="1">
        <f>_xlfn.STDEV.S(N20:N29)</f>
        <v>2.9471641722712928E-2</v>
      </c>
      <c r="J43" s="1">
        <f t="shared" ref="J43:M43" si="45">_xlfn.STDEV.S(O20:O29)</f>
        <v>0.1271047781459971</v>
      </c>
      <c r="K43" s="1">
        <f t="shared" si="45"/>
        <v>0.2622440821302976</v>
      </c>
      <c r="L43" s="1">
        <f t="shared" si="45"/>
        <v>7.1248325385712241E-2</v>
      </c>
      <c r="M43" s="1">
        <f t="shared" si="45"/>
        <v>0</v>
      </c>
    </row>
    <row r="44" spans="1:13" x14ac:dyDescent="0.2">
      <c r="A44" s="1" t="s">
        <v>9</v>
      </c>
      <c r="B44" s="1">
        <f>COUNT(M3:M12)</f>
        <v>10</v>
      </c>
      <c r="C44" s="1">
        <f t="shared" ref="C44:G44" si="46">COUNT(N3:N12)</f>
        <v>10</v>
      </c>
      <c r="D44" s="1">
        <f t="shared" si="46"/>
        <v>10</v>
      </c>
      <c r="E44" s="1">
        <f t="shared" si="46"/>
        <v>10</v>
      </c>
      <c r="F44" s="1">
        <f t="shared" si="46"/>
        <v>10</v>
      </c>
      <c r="G44" s="1">
        <f t="shared" si="46"/>
        <v>10</v>
      </c>
      <c r="H44" s="1">
        <f>COUNT(M20:M29)</f>
        <v>10</v>
      </c>
      <c r="I44" s="1">
        <f t="shared" ref="I44:M44" si="47">COUNT(N20:N29)</f>
        <v>10</v>
      </c>
      <c r="J44" s="1">
        <f t="shared" si="47"/>
        <v>10</v>
      </c>
      <c r="K44" s="1">
        <f t="shared" si="47"/>
        <v>10</v>
      </c>
      <c r="L44" s="1">
        <f t="shared" si="47"/>
        <v>10</v>
      </c>
      <c r="M44" s="1">
        <f t="shared" si="47"/>
        <v>10</v>
      </c>
    </row>
    <row r="45" spans="1:13" x14ac:dyDescent="0.2">
      <c r="A45" s="1" t="s">
        <v>6</v>
      </c>
      <c r="B45" s="1">
        <f>B43/SQRT(B44)</f>
        <v>0</v>
      </c>
      <c r="C45" s="1">
        <f t="shared" ref="C45:M45" si="48">C43/SQRT(C44)</f>
        <v>2.0379464374885498E-2</v>
      </c>
      <c r="D45" s="1">
        <f t="shared" si="48"/>
        <v>7.3243226311001913E-2</v>
      </c>
      <c r="E45" s="1">
        <f t="shared" si="48"/>
        <v>7.6371178704347384E-2</v>
      </c>
      <c r="F45" s="1">
        <f t="shared" si="48"/>
        <v>1.3192432171958996E-2</v>
      </c>
      <c r="G45" s="1">
        <f t="shared" si="48"/>
        <v>0</v>
      </c>
      <c r="H45" s="1">
        <f t="shared" si="48"/>
        <v>0</v>
      </c>
      <c r="I45" s="1">
        <f t="shared" si="48"/>
        <v>9.3197514228221413E-3</v>
      </c>
      <c r="J45" s="1">
        <f t="shared" si="48"/>
        <v>4.0194060043174468E-2</v>
      </c>
      <c r="K45" s="1">
        <f t="shared" si="48"/>
        <v>8.2928860243200175E-2</v>
      </c>
      <c r="L45" s="1">
        <f t="shared" si="48"/>
        <v>2.2530698769164543E-2</v>
      </c>
      <c r="M45" s="1">
        <f t="shared" si="48"/>
        <v>0</v>
      </c>
    </row>
  </sheetData>
  <mergeCells count="6">
    <mergeCell ref="A38:M39"/>
    <mergeCell ref="H40:M40"/>
    <mergeCell ref="B40:G40"/>
    <mergeCell ref="G1:L1"/>
    <mergeCell ref="M1:R1"/>
    <mergeCell ref="B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GIRK1 + GIRK2 + 5HT1B Perfusion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bentulila</dc:creator>
  <cp:lastModifiedBy>Dekel David</cp:lastModifiedBy>
  <dcterms:created xsi:type="dcterms:W3CDTF">2015-06-05T18:17:20Z</dcterms:created>
  <dcterms:modified xsi:type="dcterms:W3CDTF">2025-04-27T20:16:42Z</dcterms:modified>
</cp:coreProperties>
</file>