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zivbe\OneDrive\מסמכים\lab_codes\dose-response-electrophysiology\parnas_codes\patch_clamp_analysis\perfusion_system\"/>
    </mc:Choice>
  </mc:AlternateContent>
  <xr:revisionPtr revIDLastSave="0" documentId="13_ncr:1_{29D1315B-9681-4B5C-98B2-7DBF64DD51B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GIRK1 + GIRK2 + 5HT1B Perfusion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3" l="1"/>
  <c r="AC7" i="3"/>
  <c r="AC8" i="3"/>
  <c r="AC9" i="3"/>
  <c r="W7" i="3"/>
  <c r="W9" i="3" s="1"/>
  <c r="W6" i="3"/>
  <c r="W8" i="3"/>
  <c r="I15" i="3"/>
  <c r="J15" i="3" s="1"/>
  <c r="I9" i="3"/>
  <c r="I8" i="3"/>
  <c r="J8" i="3" s="1"/>
  <c r="J7" i="3"/>
  <c r="K7" i="3" s="1"/>
  <c r="L7" i="3" s="1"/>
  <c r="I14" i="3"/>
  <c r="J13" i="3"/>
  <c r="K13" i="3" s="1"/>
  <c r="L13" i="3" s="1"/>
  <c r="I6" i="3"/>
  <c r="J6" i="3" s="1"/>
  <c r="I12" i="3"/>
  <c r="J12" i="3" s="1"/>
  <c r="I5" i="3"/>
  <c r="J5" i="3" s="1"/>
  <c r="L5" i="3" s="1"/>
  <c r="J11" i="3"/>
  <c r="K11" i="3" s="1"/>
  <c r="I4" i="3"/>
  <c r="J3" i="3"/>
  <c r="Q13" i="3" l="1"/>
  <c r="R13" i="3"/>
  <c r="O7" i="3"/>
  <c r="P7" i="3"/>
  <c r="N7" i="3"/>
  <c r="R7" i="3"/>
  <c r="K8" i="3"/>
  <c r="K15" i="3"/>
  <c r="J9" i="3"/>
  <c r="Q7" i="3"/>
  <c r="P13" i="3"/>
  <c r="O13" i="3"/>
  <c r="N13" i="3"/>
  <c r="J14" i="3"/>
  <c r="N5" i="3"/>
  <c r="R5" i="3"/>
  <c r="K12" i="3"/>
  <c r="K6" i="3"/>
  <c r="O5" i="3"/>
  <c r="L11" i="3"/>
  <c r="Q11" i="3"/>
  <c r="P5" i="3"/>
  <c r="K3" i="3"/>
  <c r="J4" i="3"/>
  <c r="P11" i="3"/>
  <c r="K14" i="3" l="1"/>
  <c r="K9" i="3"/>
  <c r="L15" i="3"/>
  <c r="Q15" i="3" s="1"/>
  <c r="L8" i="3"/>
  <c r="L6" i="3"/>
  <c r="Q6" i="3"/>
  <c r="L12" i="3"/>
  <c r="N11" i="3"/>
  <c r="O11" i="3"/>
  <c r="R11" i="3"/>
  <c r="K4" i="3"/>
  <c r="L3" i="3"/>
  <c r="Q3" i="3"/>
  <c r="L9" i="3" l="1"/>
  <c r="Q9" i="3"/>
  <c r="N8" i="3"/>
  <c r="R8" i="3"/>
  <c r="O8" i="3"/>
  <c r="P8" i="3"/>
  <c r="Q8" i="3"/>
  <c r="N15" i="3"/>
  <c r="R15" i="3"/>
  <c r="O15" i="3"/>
  <c r="P15" i="3"/>
  <c r="L14" i="3"/>
  <c r="N12" i="3"/>
  <c r="R12" i="3"/>
  <c r="O12" i="3"/>
  <c r="P12" i="3"/>
  <c r="Q12" i="3"/>
  <c r="R6" i="3"/>
  <c r="N6" i="3"/>
  <c r="P6" i="3"/>
  <c r="O6" i="3"/>
  <c r="O3" i="3"/>
  <c r="R3" i="3"/>
  <c r="P3" i="3"/>
  <c r="L4" i="3"/>
  <c r="Q4" i="3" s="1"/>
  <c r="AA6" i="3" s="1"/>
  <c r="N14" i="3" l="1"/>
  <c r="AD7" i="3" s="1"/>
  <c r="R14" i="3"/>
  <c r="AH7" i="3" s="1"/>
  <c r="O14" i="3"/>
  <c r="AE8" i="3" s="1"/>
  <c r="P14" i="3"/>
  <c r="AF6" i="3" s="1"/>
  <c r="Q14" i="3"/>
  <c r="AG8" i="3" s="1"/>
  <c r="AH6" i="3"/>
  <c r="AD6" i="3"/>
  <c r="N9" i="3"/>
  <c r="R9" i="3"/>
  <c r="AB8" i="3" s="1"/>
  <c r="O9" i="3"/>
  <c r="P9" i="3"/>
  <c r="Y6" i="3"/>
  <c r="Y8" i="3"/>
  <c r="AE7" i="3"/>
  <c r="AA8" i="3"/>
  <c r="N4" i="3"/>
  <c r="R4" i="3"/>
  <c r="O4" i="3"/>
  <c r="P4" i="3"/>
  <c r="Z8" i="3" l="1"/>
  <c r="AG7" i="3"/>
  <c r="AG9" i="3" s="1"/>
  <c r="AE9" i="3"/>
  <c r="AF8" i="3"/>
  <c r="AF7" i="3"/>
  <c r="AF9" i="3" s="1"/>
  <c r="AE6" i="3"/>
  <c r="AB6" i="3"/>
  <c r="AG6" i="3"/>
  <c r="Z6" i="3"/>
  <c r="AH8" i="3"/>
  <c r="AH9" i="3" s="1"/>
  <c r="X8" i="3"/>
  <c r="Y7" i="3"/>
  <c r="Y9" i="3" s="1"/>
  <c r="AB7" i="3"/>
  <c r="AB9" i="3" s="1"/>
  <c r="Z7" i="3"/>
  <c r="Z9" i="3" s="1"/>
  <c r="X7" i="3"/>
  <c r="X6" i="3"/>
  <c r="AA7" i="3"/>
  <c r="AD8" i="3"/>
  <c r="AD9" i="3" s="1"/>
  <c r="AA9" i="3"/>
  <c r="X9" i="3" l="1"/>
</calcChain>
</file>

<file path=xl/sharedStrings.xml><?xml version="1.0" encoding="utf-8"?>
<sst xmlns="http://schemas.openxmlformats.org/spreadsheetml/2006/main" count="43" uniqueCount="33">
  <si>
    <t>File name</t>
  </si>
  <si>
    <t>R electrode (MOhms)</t>
  </si>
  <si>
    <t>Rm (MOhms)</t>
  </si>
  <si>
    <t>Ra (MOhms)</t>
  </si>
  <si>
    <t>R seal (GOhms)</t>
  </si>
  <si>
    <t>Remarks</t>
  </si>
  <si>
    <t>SEM</t>
  </si>
  <si>
    <t>Average</t>
  </si>
  <si>
    <t>St. Deviation</t>
  </si>
  <si>
    <t>Count</t>
  </si>
  <si>
    <t>Voltage</t>
  </si>
  <si>
    <t>Concentration</t>
  </si>
  <si>
    <t>Normalized Values</t>
  </si>
  <si>
    <t>Holding Potential</t>
  </si>
  <si>
    <t>1nM</t>
  </si>
  <si>
    <t>10nM</t>
  </si>
  <si>
    <t>100nM</t>
  </si>
  <si>
    <t>1000nM</t>
  </si>
  <si>
    <t>10000nM</t>
  </si>
  <si>
    <t>Patch Data</t>
  </si>
  <si>
    <t>Normalized</t>
  </si>
  <si>
    <t>Raw (pA)</t>
  </si>
  <si>
    <t>2025_04_20_0003</t>
  </si>
  <si>
    <t>2025_04_20_0006</t>
  </si>
  <si>
    <t>2025_04_20_0008</t>
  </si>
  <si>
    <t>2025_04_23_0003</t>
  </si>
  <si>
    <t>2025_04_23_0006</t>
  </si>
  <si>
    <t>2025_04_23_0007</t>
  </si>
  <si>
    <t>Curve calibrated only for this voltage</t>
  </si>
  <si>
    <t>2025_04_23_0008</t>
  </si>
  <si>
    <t>Did not use -10 in this trial because it was not stable enough</t>
  </si>
  <si>
    <t>2025_04_23_0009</t>
  </si>
  <si>
    <t>0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</si>
</sst>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4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DF50-3B5D-4366-AA20-CC435ED5CAA7}">
  <dimension ref="A1:AH39"/>
  <sheetViews>
    <sheetView tabSelected="1" zoomScale="85" zoomScaleNormal="85" workbookViewId="0">
      <selection activeCell="P20" sqref="P20"/>
    </sheetView>
  </sheetViews>
  <sheetFormatPr defaultRowHeight="15" x14ac:dyDescent="0.25"/>
  <cols>
    <col min="1" max="1" width="17" bestFit="1" customWidth="1"/>
    <col min="2" max="2" width="16.5703125" bestFit="1" customWidth="1"/>
    <col min="3" max="4" width="20.28515625" bestFit="1" customWidth="1"/>
    <col min="5" max="5" width="12.7109375" bestFit="1" customWidth="1"/>
    <col min="6" max="6" width="12" bestFit="1" customWidth="1"/>
    <col min="7" max="7" width="12" customWidth="1"/>
    <col min="19" max="19" width="55.28515625" bestFit="1" customWidth="1"/>
  </cols>
  <sheetData>
    <row r="1" spans="1:34" x14ac:dyDescent="0.25">
      <c r="A1" s="1"/>
      <c r="B1" s="4" t="s">
        <v>19</v>
      </c>
      <c r="C1" s="5"/>
      <c r="D1" s="5"/>
      <c r="E1" s="5"/>
      <c r="F1" s="6"/>
      <c r="G1" s="8" t="s">
        <v>21</v>
      </c>
      <c r="H1" s="9"/>
      <c r="I1" s="9"/>
      <c r="J1" s="9"/>
      <c r="K1" s="9"/>
      <c r="L1" s="10"/>
      <c r="M1" s="8" t="s">
        <v>20</v>
      </c>
      <c r="N1" s="9"/>
      <c r="O1" s="9"/>
      <c r="P1" s="9"/>
      <c r="Q1" s="9"/>
      <c r="R1" s="10"/>
      <c r="S1" s="1"/>
    </row>
    <row r="2" spans="1:34" x14ac:dyDescent="0.25">
      <c r="A2" s="2" t="s">
        <v>0</v>
      </c>
      <c r="B2" s="2" t="s">
        <v>13</v>
      </c>
      <c r="C2" s="2" t="s">
        <v>1</v>
      </c>
      <c r="D2" s="2" t="s">
        <v>4</v>
      </c>
      <c r="E2" s="2" t="s">
        <v>2</v>
      </c>
      <c r="F2" s="2" t="s">
        <v>3</v>
      </c>
      <c r="G2" s="2" t="s">
        <v>32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32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5</v>
      </c>
      <c r="V2" s="3" t="s">
        <v>12</v>
      </c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 t="s">
        <v>22</v>
      </c>
      <c r="B3">
        <v>-80</v>
      </c>
      <c r="C3">
        <v>11.8</v>
      </c>
      <c r="D3">
        <v>3</v>
      </c>
      <c r="E3">
        <v>3600</v>
      </c>
      <c r="F3">
        <v>19.8</v>
      </c>
      <c r="G3">
        <v>0</v>
      </c>
      <c r="I3">
        <v>-280</v>
      </c>
      <c r="J3">
        <f>I3-266</f>
        <v>-546</v>
      </c>
      <c r="K3">
        <f>J3-19</f>
        <v>-565</v>
      </c>
      <c r="L3">
        <f>K3</f>
        <v>-565</v>
      </c>
      <c r="M3">
        <v>0</v>
      </c>
      <c r="O3">
        <f t="shared" ref="O3:O9" si="0">I3/L3</f>
        <v>0.49557522123893805</v>
      </c>
      <c r="P3">
        <f t="shared" ref="P3:P9" si="1">J3/L3</f>
        <v>0.96637168141592922</v>
      </c>
      <c r="Q3">
        <f>K3/L3</f>
        <v>1</v>
      </c>
      <c r="R3">
        <f t="shared" ref="R3:R9" si="2">L3/L3</f>
        <v>1</v>
      </c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 t="s">
        <v>23</v>
      </c>
      <c r="B4">
        <v>-80</v>
      </c>
      <c r="C4">
        <v>10.8</v>
      </c>
      <c r="D4">
        <v>18</v>
      </c>
      <c r="E4">
        <v>1500</v>
      </c>
      <c r="F4">
        <v>14</v>
      </c>
      <c r="G4">
        <v>0</v>
      </c>
      <c r="H4">
        <v>-390</v>
      </c>
      <c r="I4">
        <f>H4-515</f>
        <v>-905</v>
      </c>
      <c r="J4">
        <f>I4-480</f>
        <v>-1385</v>
      </c>
      <c r="K4">
        <f>J4</f>
        <v>-1385</v>
      </c>
      <c r="L4">
        <f>K4</f>
        <v>-1385</v>
      </c>
      <c r="M4">
        <v>0</v>
      </c>
      <c r="N4">
        <f t="shared" ref="N4:N9" si="3">H4/L4</f>
        <v>0.28158844765342961</v>
      </c>
      <c r="O4">
        <f t="shared" si="0"/>
        <v>0.6534296028880866</v>
      </c>
      <c r="P4">
        <f t="shared" si="1"/>
        <v>1</v>
      </c>
      <c r="Q4">
        <f>K4/L4</f>
        <v>1</v>
      </c>
      <c r="R4">
        <f t="shared" si="2"/>
        <v>1</v>
      </c>
      <c r="V4" s="1" t="s">
        <v>10</v>
      </c>
      <c r="W4" s="7">
        <v>-80</v>
      </c>
      <c r="X4" s="7"/>
      <c r="Y4" s="7"/>
      <c r="Z4" s="7"/>
      <c r="AA4" s="7"/>
      <c r="AB4" s="7"/>
      <c r="AC4" s="7">
        <v>-10</v>
      </c>
      <c r="AD4" s="7"/>
      <c r="AE4" s="7"/>
      <c r="AF4" s="7"/>
      <c r="AG4" s="7"/>
      <c r="AH4" s="7"/>
    </row>
    <row r="5" spans="1:34" x14ac:dyDescent="0.25">
      <c r="A5" t="s">
        <v>24</v>
      </c>
      <c r="B5">
        <v>-80</v>
      </c>
      <c r="C5">
        <v>11.2</v>
      </c>
      <c r="D5">
        <v>9</v>
      </c>
      <c r="E5">
        <v>4500</v>
      </c>
      <c r="F5">
        <v>12.8</v>
      </c>
      <c r="G5">
        <v>0</v>
      </c>
      <c r="H5">
        <v>-215</v>
      </c>
      <c r="I5">
        <f>H5-908</f>
        <v>-1123</v>
      </c>
      <c r="J5">
        <f>I5-763</f>
        <v>-1886</v>
      </c>
      <c r="L5">
        <f>J5-416</f>
        <v>-2302</v>
      </c>
      <c r="M5">
        <v>0</v>
      </c>
      <c r="N5">
        <f t="shared" si="3"/>
        <v>9.3397046046915719E-2</v>
      </c>
      <c r="O5">
        <f t="shared" si="0"/>
        <v>0.48783666377063423</v>
      </c>
      <c r="P5">
        <f t="shared" si="1"/>
        <v>0.81928757602085145</v>
      </c>
      <c r="R5">
        <f t="shared" si="2"/>
        <v>1</v>
      </c>
      <c r="V5" s="1" t="s">
        <v>11</v>
      </c>
      <c r="W5" s="1">
        <v>0</v>
      </c>
      <c r="X5" s="1">
        <v>1</v>
      </c>
      <c r="Y5" s="1">
        <v>10</v>
      </c>
      <c r="Z5" s="1">
        <v>100</v>
      </c>
      <c r="AA5" s="1">
        <v>1000</v>
      </c>
      <c r="AB5" s="1">
        <v>10000</v>
      </c>
      <c r="AC5" s="1">
        <v>0</v>
      </c>
      <c r="AD5" s="1">
        <v>1</v>
      </c>
      <c r="AE5" s="1">
        <v>10</v>
      </c>
      <c r="AF5" s="1">
        <v>100</v>
      </c>
      <c r="AG5" s="1">
        <v>1000</v>
      </c>
      <c r="AH5" s="1">
        <v>10000</v>
      </c>
    </row>
    <row r="6" spans="1:34" x14ac:dyDescent="0.25">
      <c r="A6" t="s">
        <v>26</v>
      </c>
      <c r="B6">
        <v>-80</v>
      </c>
      <c r="C6">
        <v>9.1999999999999993</v>
      </c>
      <c r="D6">
        <v>2.6</v>
      </c>
      <c r="E6">
        <v>421</v>
      </c>
      <c r="F6">
        <v>17.8</v>
      </c>
      <c r="G6">
        <v>0</v>
      </c>
      <c r="H6">
        <v>-20</v>
      </c>
      <c r="I6">
        <f>H6-36</f>
        <v>-56</v>
      </c>
      <c r="J6">
        <f>I6-152</f>
        <v>-208</v>
      </c>
      <c r="K6">
        <f>J6-177</f>
        <v>-385</v>
      </c>
      <c r="L6">
        <f>K6-31</f>
        <v>-416</v>
      </c>
      <c r="M6">
        <v>0</v>
      </c>
      <c r="N6">
        <f t="shared" si="3"/>
        <v>4.807692307692308E-2</v>
      </c>
      <c r="O6">
        <f t="shared" si="0"/>
        <v>0.13461538461538461</v>
      </c>
      <c r="P6">
        <f t="shared" si="1"/>
        <v>0.5</v>
      </c>
      <c r="Q6">
        <f>K6/L6</f>
        <v>0.92548076923076927</v>
      </c>
      <c r="R6">
        <f t="shared" si="2"/>
        <v>1</v>
      </c>
      <c r="V6" s="1" t="s">
        <v>7</v>
      </c>
      <c r="W6" s="1">
        <f t="shared" ref="W6:AB6" si="4">AVERAGE(M3:M9)</f>
        <v>0</v>
      </c>
      <c r="X6" s="1">
        <f t="shared" si="4"/>
        <v>0.11456731364399324</v>
      </c>
      <c r="Y6" s="1">
        <f t="shared" si="4"/>
        <v>0.50406531308680724</v>
      </c>
      <c r="Z6" s="1">
        <f t="shared" si="4"/>
        <v>0.86462712562596022</v>
      </c>
      <c r="AA6" s="1">
        <f t="shared" si="4"/>
        <v>0.98758012820512819</v>
      </c>
      <c r="AB6" s="1">
        <f t="shared" si="4"/>
        <v>1</v>
      </c>
      <c r="AC6" s="1">
        <f t="shared" ref="AC6:AH6" si="5">AVERAGE(M11:M15)</f>
        <v>0</v>
      </c>
      <c r="AD6" s="1">
        <f t="shared" si="5"/>
        <v>1.2384270156607978E-2</v>
      </c>
      <c r="AE6" s="1">
        <f t="shared" si="5"/>
        <v>0.25691285750612686</v>
      </c>
      <c r="AF6" s="1">
        <f t="shared" si="5"/>
        <v>0.68611616866492087</v>
      </c>
      <c r="AG6" s="1">
        <f t="shared" si="5"/>
        <v>0.98234165067178503</v>
      </c>
      <c r="AH6" s="1">
        <f t="shared" si="5"/>
        <v>1</v>
      </c>
    </row>
    <row r="7" spans="1:34" x14ac:dyDescent="0.25">
      <c r="A7" t="s">
        <v>27</v>
      </c>
      <c r="B7">
        <v>-80</v>
      </c>
      <c r="C7">
        <v>10.3</v>
      </c>
      <c r="D7">
        <v>6</v>
      </c>
      <c r="E7">
        <v>735</v>
      </c>
      <c r="F7">
        <v>15.6</v>
      </c>
      <c r="G7">
        <v>0</v>
      </c>
      <c r="I7">
        <v>-487</v>
      </c>
      <c r="J7">
        <f>I7-370</f>
        <v>-857</v>
      </c>
      <c r="K7">
        <f>J7-80</f>
        <v>-937</v>
      </c>
      <c r="L7">
        <f>K7</f>
        <v>-937</v>
      </c>
      <c r="M7">
        <v>0</v>
      </c>
      <c r="N7">
        <f t="shared" si="3"/>
        <v>0</v>
      </c>
      <c r="O7">
        <f t="shared" si="0"/>
        <v>0.51974386339381007</v>
      </c>
      <c r="P7">
        <f t="shared" si="1"/>
        <v>0.91462113127001066</v>
      </c>
      <c r="Q7">
        <f>K7/L7</f>
        <v>1</v>
      </c>
      <c r="R7">
        <f t="shared" si="2"/>
        <v>1</v>
      </c>
      <c r="S7" t="s">
        <v>28</v>
      </c>
      <c r="V7" s="1" t="s">
        <v>8</v>
      </c>
      <c r="W7" s="1">
        <f>_xlfn.STDEV.S($M$3:$M$9)</f>
        <v>0</v>
      </c>
      <c r="X7" s="1">
        <f>_xlfn.STDEV.S($N$3:$N$9)</f>
        <v>9.6960140834800479E-2</v>
      </c>
      <c r="Y7" s="1">
        <f t="shared" ref="Y7:AB7" si="6">_xlfn.STDEV.S($N$3:$N$9)</f>
        <v>9.6960140834800479E-2</v>
      </c>
      <c r="Z7" s="1">
        <f t="shared" si="6"/>
        <v>9.6960140834800479E-2</v>
      </c>
      <c r="AA7" s="1">
        <f t="shared" si="6"/>
        <v>9.6960140834800479E-2</v>
      </c>
      <c r="AB7" s="1">
        <f t="shared" si="6"/>
        <v>9.6960140834800479E-2</v>
      </c>
      <c r="AC7" s="1">
        <f t="shared" ref="AC7:AH7" si="7">_xlfn.STDEV.S(M11:M15)</f>
        <v>0</v>
      </c>
      <c r="AD7" s="1">
        <f t="shared" si="7"/>
        <v>1.7207128520288949E-2</v>
      </c>
      <c r="AE7" s="1">
        <f t="shared" si="7"/>
        <v>0.15012735638670183</v>
      </c>
      <c r="AF7" s="1">
        <f t="shared" si="7"/>
        <v>0.22243835586412355</v>
      </c>
      <c r="AG7" s="1">
        <f t="shared" si="7"/>
        <v>3.9485269468326423E-2</v>
      </c>
      <c r="AH7" s="1">
        <f t="shared" si="7"/>
        <v>0</v>
      </c>
    </row>
    <row r="8" spans="1:34" x14ac:dyDescent="0.25">
      <c r="A8" t="s">
        <v>29</v>
      </c>
      <c r="B8">
        <v>-80</v>
      </c>
      <c r="C8">
        <v>8.1999999999999993</v>
      </c>
      <c r="D8">
        <v>3</v>
      </c>
      <c r="E8">
        <v>303</v>
      </c>
      <c r="F8">
        <v>13</v>
      </c>
      <c r="G8">
        <v>0</v>
      </c>
      <c r="H8">
        <v>-219</v>
      </c>
      <c r="I8">
        <f>H8-798</f>
        <v>-1017</v>
      </c>
      <c r="J8">
        <f>I8-631</f>
        <v>-1648</v>
      </c>
      <c r="K8">
        <f>J8-233</f>
        <v>-1881</v>
      </c>
      <c r="L8">
        <f>K8</f>
        <v>-1881</v>
      </c>
      <c r="M8">
        <v>0</v>
      </c>
      <c r="N8">
        <f t="shared" si="3"/>
        <v>0.11642743221690591</v>
      </c>
      <c r="O8">
        <f t="shared" si="0"/>
        <v>0.54066985645933019</v>
      </c>
      <c r="P8">
        <f t="shared" si="1"/>
        <v>0.87612971823498142</v>
      </c>
      <c r="Q8">
        <f>K8/L8</f>
        <v>1</v>
      </c>
      <c r="R8">
        <f t="shared" si="2"/>
        <v>1</v>
      </c>
      <c r="S8" t="s">
        <v>30</v>
      </c>
      <c r="V8" s="1" t="s">
        <v>9</v>
      </c>
      <c r="W8" s="1">
        <f t="shared" ref="W8:AB8" si="8">COUNT(M3:M9)</f>
        <v>7</v>
      </c>
      <c r="X8" s="1">
        <f t="shared" si="8"/>
        <v>6</v>
      </c>
      <c r="Y8" s="1">
        <f t="shared" si="8"/>
        <v>7</v>
      </c>
      <c r="Z8" s="1">
        <f t="shared" si="8"/>
        <v>7</v>
      </c>
      <c r="AA8" s="1">
        <f t="shared" si="8"/>
        <v>6</v>
      </c>
      <c r="AB8" s="1">
        <f t="shared" si="8"/>
        <v>7</v>
      </c>
      <c r="AC8" s="1">
        <f t="shared" ref="AC8:AH8" si="9">COUNT(M11:M15)</f>
        <v>5</v>
      </c>
      <c r="AD8" s="1">
        <f t="shared" si="9"/>
        <v>5</v>
      </c>
      <c r="AE8" s="1">
        <f t="shared" si="9"/>
        <v>5</v>
      </c>
      <c r="AF8" s="1">
        <f t="shared" si="9"/>
        <v>5</v>
      </c>
      <c r="AG8" s="1">
        <f t="shared" si="9"/>
        <v>5</v>
      </c>
      <c r="AH8" s="1">
        <f t="shared" si="9"/>
        <v>5</v>
      </c>
    </row>
    <row r="9" spans="1:34" x14ac:dyDescent="0.25">
      <c r="A9" t="s">
        <v>31</v>
      </c>
      <c r="B9">
        <v>-80</v>
      </c>
      <c r="C9">
        <v>11.2</v>
      </c>
      <c r="D9">
        <v>6</v>
      </c>
      <c r="E9">
        <v>4500</v>
      </c>
      <c r="F9">
        <v>18.8</v>
      </c>
      <c r="G9">
        <v>0</v>
      </c>
      <c r="H9">
        <v>-117</v>
      </c>
      <c r="I9">
        <f>H9-434</f>
        <v>-551</v>
      </c>
      <c r="J9">
        <f>I9-221</f>
        <v>-772</v>
      </c>
      <c r="K9">
        <f>J9-19</f>
        <v>-791</v>
      </c>
      <c r="L9">
        <f>K9</f>
        <v>-791</v>
      </c>
      <c r="M9">
        <v>0</v>
      </c>
      <c r="N9">
        <f t="shared" si="3"/>
        <v>0.14791403286978508</v>
      </c>
      <c r="O9">
        <f t="shared" si="0"/>
        <v>0.69658659924146649</v>
      </c>
      <c r="P9">
        <f t="shared" si="1"/>
        <v>0.97597977243994938</v>
      </c>
      <c r="Q9">
        <f>K9/L9</f>
        <v>1</v>
      </c>
      <c r="R9">
        <f t="shared" si="2"/>
        <v>1</v>
      </c>
      <c r="V9" s="1" t="s">
        <v>6</v>
      </c>
      <c r="W9" s="1">
        <f t="shared" ref="W9:AH9" si="10">W7/SQRT(W8)</f>
        <v>0</v>
      </c>
      <c r="X9" s="1">
        <f t="shared" si="10"/>
        <v>3.9583811738942695E-2</v>
      </c>
      <c r="Y9" s="1">
        <f t="shared" si="10"/>
        <v>3.6647488533525813E-2</v>
      </c>
      <c r="Z9" s="1">
        <f t="shared" si="10"/>
        <v>3.6647488533525813E-2</v>
      </c>
      <c r="AA9" s="1">
        <f t="shared" si="10"/>
        <v>3.9583811738942695E-2</v>
      </c>
      <c r="AB9" s="1">
        <f t="shared" si="10"/>
        <v>3.6647488533525813E-2</v>
      </c>
      <c r="AC9" s="1">
        <f t="shared" si="10"/>
        <v>0</v>
      </c>
      <c r="AD9" s="1">
        <f t="shared" si="10"/>
        <v>7.6952618137882921E-3</v>
      </c>
      <c r="AE9" s="1">
        <f t="shared" si="10"/>
        <v>6.7138994832600496E-2</v>
      </c>
      <c r="AF9" s="1">
        <f t="shared" si="10"/>
        <v>9.9477456903093842E-2</v>
      </c>
      <c r="AG9" s="1">
        <f t="shared" si="10"/>
        <v>1.7658349328214973E-2</v>
      </c>
      <c r="AH9" s="1">
        <f t="shared" si="10"/>
        <v>0</v>
      </c>
    </row>
    <row r="11" spans="1:34" x14ac:dyDescent="0.25">
      <c r="A11" t="s">
        <v>24</v>
      </c>
      <c r="B11">
        <v>-10</v>
      </c>
      <c r="C11">
        <v>11.2</v>
      </c>
      <c r="D11">
        <v>9</v>
      </c>
      <c r="E11">
        <v>4500</v>
      </c>
      <c r="F11">
        <v>12.8</v>
      </c>
      <c r="G11">
        <v>0</v>
      </c>
      <c r="H11">
        <v>0</v>
      </c>
      <c r="I11">
        <v>-60</v>
      </c>
      <c r="J11">
        <f>I11-115</f>
        <v>-175</v>
      </c>
      <c r="K11">
        <f>J11-24</f>
        <v>-199</v>
      </c>
      <c r="L11">
        <f>K11</f>
        <v>-199</v>
      </c>
      <c r="M11">
        <v>0</v>
      </c>
      <c r="N11">
        <f t="shared" ref="N11" si="11">H11/L11</f>
        <v>0</v>
      </c>
      <c r="O11">
        <f t="shared" ref="O11" si="12">I11/L11</f>
        <v>0.30150753768844218</v>
      </c>
      <c r="P11">
        <f t="shared" ref="P11" si="13">J11/L11</f>
        <v>0.87939698492462315</v>
      </c>
      <c r="Q11">
        <f t="shared" ref="Q11" si="14">K11/L11</f>
        <v>1</v>
      </c>
      <c r="R11">
        <f t="shared" ref="R11" si="15">L11/L11</f>
        <v>1</v>
      </c>
    </row>
    <row r="12" spans="1:34" x14ac:dyDescent="0.25">
      <c r="A12" t="s">
        <v>25</v>
      </c>
      <c r="B12">
        <v>-10</v>
      </c>
      <c r="C12">
        <v>8.5</v>
      </c>
      <c r="D12">
        <v>1.6</v>
      </c>
      <c r="E12">
        <v>3600</v>
      </c>
      <c r="F12">
        <v>8.5</v>
      </c>
      <c r="G12">
        <v>0</v>
      </c>
      <c r="H12">
        <v>-16</v>
      </c>
      <c r="I12">
        <f>H12-56</f>
        <v>-72</v>
      </c>
      <c r="J12">
        <f>I12-157</f>
        <v>-229</v>
      </c>
      <c r="K12">
        <f>J12-227</f>
        <v>-456</v>
      </c>
      <c r="L12">
        <f>K12</f>
        <v>-456</v>
      </c>
      <c r="M12">
        <v>0</v>
      </c>
      <c r="N12">
        <f t="shared" ref="N12" si="16">H12/L12</f>
        <v>3.5087719298245612E-2</v>
      </c>
      <c r="O12">
        <f t="shared" ref="O12" si="17">I12/L12</f>
        <v>0.15789473684210525</v>
      </c>
      <c r="P12">
        <f t="shared" ref="P12" si="18">J12/L12</f>
        <v>0.5021929824561403</v>
      </c>
      <c r="Q12">
        <f t="shared" ref="Q12" si="19">K12/L12</f>
        <v>1</v>
      </c>
      <c r="R12">
        <f t="shared" ref="R12" si="20">L12/L12</f>
        <v>1</v>
      </c>
    </row>
    <row r="13" spans="1:34" x14ac:dyDescent="0.25">
      <c r="A13" t="s">
        <v>26</v>
      </c>
      <c r="B13">
        <v>-10</v>
      </c>
      <c r="C13">
        <v>9.1999999999999993</v>
      </c>
      <c r="D13">
        <v>2.6</v>
      </c>
      <c r="E13">
        <v>421</v>
      </c>
      <c r="F13">
        <v>17.8</v>
      </c>
      <c r="G13">
        <v>0</v>
      </c>
      <c r="H13">
        <v>0</v>
      </c>
      <c r="I13">
        <v>-2.5</v>
      </c>
      <c r="J13">
        <f>I13-18</f>
        <v>-20.5</v>
      </c>
      <c r="K13">
        <f>J13-27</f>
        <v>-47.5</v>
      </c>
      <c r="L13">
        <f>K13-4.6</f>
        <v>-52.1</v>
      </c>
      <c r="M13">
        <v>0</v>
      </c>
      <c r="N13">
        <f t="shared" ref="N13" si="21">H13/L13</f>
        <v>0</v>
      </c>
      <c r="O13">
        <f t="shared" ref="O13" si="22">I13/L13</f>
        <v>4.7984644913627639E-2</v>
      </c>
      <c r="P13">
        <f t="shared" ref="P13" si="23">J13/L13</f>
        <v>0.39347408829174663</v>
      </c>
      <c r="Q13">
        <f t="shared" ref="Q13" si="24">K13/L13</f>
        <v>0.91170825335892514</v>
      </c>
      <c r="R13">
        <f t="shared" ref="R13" si="25">L13/L13</f>
        <v>1</v>
      </c>
    </row>
    <row r="14" spans="1:34" x14ac:dyDescent="0.25">
      <c r="A14" t="s">
        <v>27</v>
      </c>
      <c r="B14">
        <v>-10</v>
      </c>
      <c r="C14">
        <v>10.3</v>
      </c>
      <c r="D14">
        <v>6</v>
      </c>
      <c r="E14">
        <v>735</v>
      </c>
      <c r="F14">
        <v>15.6</v>
      </c>
      <c r="G14">
        <v>0</v>
      </c>
      <c r="H14">
        <v>0</v>
      </c>
      <c r="I14">
        <f>H14-95</f>
        <v>-95</v>
      </c>
      <c r="J14">
        <f>I14-100</f>
        <v>-195</v>
      </c>
      <c r="K14">
        <f>J14-47</f>
        <v>-242</v>
      </c>
      <c r="L14">
        <f>K14</f>
        <v>-242</v>
      </c>
      <c r="M14">
        <v>0</v>
      </c>
      <c r="N14">
        <f t="shared" ref="N14" si="26">H14/L14</f>
        <v>0</v>
      </c>
      <c r="O14">
        <f t="shared" ref="O14" si="27">I14/L14</f>
        <v>0.3925619834710744</v>
      </c>
      <c r="P14">
        <f t="shared" ref="P14" si="28">J14/L14</f>
        <v>0.80578512396694213</v>
      </c>
      <c r="Q14">
        <f t="shared" ref="Q14" si="29">K14/L14</f>
        <v>1</v>
      </c>
      <c r="R14">
        <f t="shared" ref="R14" si="30">L14/L14</f>
        <v>1</v>
      </c>
    </row>
    <row r="15" spans="1:34" x14ac:dyDescent="0.25">
      <c r="A15" t="s">
        <v>31</v>
      </c>
      <c r="B15">
        <v>-10</v>
      </c>
      <c r="C15">
        <v>11.2</v>
      </c>
      <c r="D15">
        <v>6</v>
      </c>
      <c r="E15">
        <v>4500</v>
      </c>
      <c r="F15">
        <v>18.8</v>
      </c>
      <c r="G15">
        <v>0</v>
      </c>
      <c r="H15">
        <v>-1.5</v>
      </c>
      <c r="I15">
        <f>H15-20</f>
        <v>-21.5</v>
      </c>
      <c r="J15">
        <f>I15-26</f>
        <v>-47.5</v>
      </c>
      <c r="K15">
        <f>J15-8.4</f>
        <v>-55.9</v>
      </c>
      <c r="L15">
        <f>K15</f>
        <v>-55.9</v>
      </c>
      <c r="M15">
        <v>0</v>
      </c>
      <c r="N15">
        <f t="shared" ref="N15" si="31">H15/L15</f>
        <v>2.6833631484794278E-2</v>
      </c>
      <c r="O15">
        <f t="shared" ref="O15" si="32">I15/L15</f>
        <v>0.38461538461538464</v>
      </c>
      <c r="P15">
        <f t="shared" ref="P15" si="33">J15/L15</f>
        <v>0.84973166368515207</v>
      </c>
      <c r="Q15">
        <f t="shared" ref="Q15" si="34">K15/L15</f>
        <v>1</v>
      </c>
      <c r="R15">
        <f t="shared" ref="R15" si="35">L15/L15</f>
        <v>1</v>
      </c>
    </row>
    <row r="38" ht="23.25" customHeight="1" x14ac:dyDescent="0.25"/>
    <row r="39" ht="23.25" customHeight="1" x14ac:dyDescent="0.25"/>
  </sheetData>
  <mergeCells count="6">
    <mergeCell ref="B1:F1"/>
    <mergeCell ref="V2:AH3"/>
    <mergeCell ref="AC4:AH4"/>
    <mergeCell ref="W4:AB4"/>
    <mergeCell ref="G1:L1"/>
    <mergeCell ref="M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GIRK1 + GIRK2 + 5HT1B Perfusion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ziv bentulila</dc:creator>
  <cp:lastModifiedBy>Ziv Bentulila</cp:lastModifiedBy>
  <dcterms:created xsi:type="dcterms:W3CDTF">2015-06-05T18:17:20Z</dcterms:created>
  <dcterms:modified xsi:type="dcterms:W3CDTF">2025-04-27T21:57:15Z</dcterms:modified>
</cp:coreProperties>
</file>